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onroy.lax\Documents\dev\"/>
    </mc:Choice>
  </mc:AlternateContent>
  <xr:revisionPtr revIDLastSave="0" documentId="13_ncr:1_{7F80B62A-F9ED-4E91-923E-1952F5A9B7C4}" xr6:coauthVersionLast="47" xr6:coauthVersionMax="47" xr10:uidLastSave="{00000000-0000-0000-0000-000000000000}"/>
  <bookViews>
    <workbookView xWindow="-120" yWindow="-120" windowWidth="29040" windowHeight="15840" xr2:uid="{0C6EF10C-55B5-42C7-BD2D-F93124C05088}"/>
  </bookViews>
  <sheets>
    <sheet name="020123" sheetId="76" r:id="rId1"/>
    <sheet name="120522" sheetId="75" r:id="rId2"/>
    <sheet name="DRAYAGE" sheetId="1" r:id="rId3"/>
    <sheet name="111422" sheetId="74" r:id="rId4"/>
    <sheet name="110222" sheetId="73" r:id="rId5"/>
    <sheet name="100122" sheetId="72" r:id="rId6"/>
    <sheet name="090622" sheetId="71" r:id="rId7"/>
    <sheet name="082522" sheetId="70" r:id="rId8"/>
    <sheet name="OCEAN and ARB" sheetId="2" r:id="rId9"/>
    <sheet name="080822" sheetId="69" r:id="rId10"/>
    <sheet name="071822" sheetId="68" r:id="rId11"/>
    <sheet name="070122" sheetId="67" r:id="rId12"/>
    <sheet name="063022" sheetId="66" r:id="rId13"/>
    <sheet name="061622" sheetId="65" r:id="rId14"/>
    <sheet name="052522" sheetId="64" r:id="rId15"/>
    <sheet name="051222" sheetId="63" r:id="rId16"/>
    <sheet name="042922" sheetId="62" r:id="rId17"/>
    <sheet name="041922" sheetId="61" r:id="rId18"/>
    <sheet name="040122" sheetId="60" r:id="rId19"/>
    <sheet name="031522" sheetId="59" r:id="rId20"/>
    <sheet name="030122" sheetId="58" r:id="rId21"/>
    <sheet name="021522" sheetId="57" r:id="rId22"/>
    <sheet name="020122" sheetId="56" r:id="rId23"/>
    <sheet name="011522" sheetId="55" r:id="rId24"/>
    <sheet name="010122" sheetId="54" r:id="rId25"/>
  </sheets>
  <externalReferences>
    <externalReference r:id="rId26"/>
    <externalReference r:id="rId27"/>
  </externalReferences>
  <definedNames>
    <definedName name="_xlnm._FilterDatabase" localSheetId="24" hidden="1">'010122'!$A$75:$WWE$154</definedName>
    <definedName name="_xlnm._FilterDatabase" localSheetId="23" hidden="1">'011522'!$A$73:$WWE$152</definedName>
    <definedName name="_xlnm._FilterDatabase" localSheetId="22" hidden="1">'020122'!$A$76:$WWE$155</definedName>
    <definedName name="_xlnm._FilterDatabase" localSheetId="0" hidden="1">'020123'!$A$97:$WWE$161</definedName>
    <definedName name="_xlnm._FilterDatabase" localSheetId="21" hidden="1">'021522'!$A$76:$WWE$155</definedName>
    <definedName name="_xlnm._FilterDatabase" localSheetId="20" hidden="1">'030122'!$A$78:$WWE$157</definedName>
    <definedName name="_xlnm._FilterDatabase" localSheetId="19" hidden="1">'031522'!$A$77:$WWE$156</definedName>
    <definedName name="_xlnm._FilterDatabase" localSheetId="18" hidden="1">'040122'!$A$79:$WWE$79</definedName>
    <definedName name="_xlnm._FilterDatabase" localSheetId="17" hidden="1">'041922'!$A$80:$WWE$80</definedName>
    <definedName name="_xlnm._FilterDatabase" localSheetId="16" hidden="1">'042922'!$A$80:$WWE$80</definedName>
    <definedName name="_xlnm._FilterDatabase" localSheetId="15" hidden="1">'051222'!$A$86:$WWE$86</definedName>
    <definedName name="_xlnm._FilterDatabase" localSheetId="14" hidden="1">'052522'!$A$81:$WWE$81</definedName>
    <definedName name="_xlnm._FilterDatabase" localSheetId="13" hidden="1">'061622'!$A$80:$WWE$144</definedName>
    <definedName name="_xlnm._FilterDatabase" localSheetId="12" hidden="1">'063022'!$A$95:$WWE$159</definedName>
    <definedName name="_xlnm._FilterDatabase" localSheetId="11" hidden="1">'070122'!$A$97:$WWE$161</definedName>
    <definedName name="_xlnm._FilterDatabase" localSheetId="10" hidden="1">'071822'!$A$97:$WWE$161</definedName>
    <definedName name="_xlnm._FilterDatabase" localSheetId="9" hidden="1">'080822'!$A$88:$WWE$152</definedName>
    <definedName name="_xlnm._FilterDatabase" localSheetId="7" hidden="1">'082522'!$A$89:$WWE$153</definedName>
    <definedName name="_xlnm._FilterDatabase" localSheetId="6" hidden="1">'090622'!$A$95:$WWE$159</definedName>
    <definedName name="_xlnm._FilterDatabase" localSheetId="5" hidden="1">'100122'!$A$97:$WWE$161</definedName>
    <definedName name="_xlnm._FilterDatabase" localSheetId="4" hidden="1">'110222'!$A$98:$WWE$162</definedName>
    <definedName name="_xlnm._FilterDatabase" localSheetId="3" hidden="1">'111422'!$A$99:$WWE$163</definedName>
    <definedName name="_xlnm._FilterDatabase" localSheetId="1" hidden="1">'120522'!$A$98:$WWE$162</definedName>
    <definedName name="_xlnm._FilterDatabase" localSheetId="2" hidden="1">DRAYAGE!$A$1:$Q$6</definedName>
    <definedName name="_xlnm.Print_Area" localSheetId="24">'010122'!$A$1:$I$154</definedName>
    <definedName name="_xlnm.Print_Area" localSheetId="23">'011522'!$A$1:$I$152</definedName>
    <definedName name="_xlnm.Print_Area" localSheetId="22">'020122'!$A$1:$I$155</definedName>
    <definedName name="_xlnm.Print_Area" localSheetId="0">'020123'!$A$1:$J$176</definedName>
    <definedName name="_xlnm.Print_Area" localSheetId="21">'021522'!$A$1:$I$155</definedName>
    <definedName name="_xlnm.Print_Area" localSheetId="20">'030122'!$A$1:$I$157</definedName>
    <definedName name="_xlnm.Print_Area" localSheetId="19">'031522'!$A$1:$I$156</definedName>
    <definedName name="_xlnm.Print_Area" localSheetId="18">'040122'!$A$1:$J$159</definedName>
    <definedName name="_xlnm.Print_Area" localSheetId="17">'041922'!$A$1:$J$160</definedName>
    <definedName name="_xlnm.Print_Area" localSheetId="16">'042922'!$A$1:$J$160</definedName>
    <definedName name="_xlnm.Print_Area" localSheetId="15">'051222'!$A$1:$J$165</definedName>
    <definedName name="_xlnm.Print_Area" localSheetId="14">'052522'!$A$1:$J$160</definedName>
    <definedName name="_xlnm.Print_Area" localSheetId="13">'061622'!$A$1:$J$159</definedName>
    <definedName name="_xlnm.Print_Area" localSheetId="12">'063022'!$A$1:$J$174</definedName>
    <definedName name="_xlnm.Print_Area" localSheetId="11">'070122'!$A$1:$J$176</definedName>
    <definedName name="_xlnm.Print_Area" localSheetId="10">'071822'!$A$1:$J$176</definedName>
    <definedName name="_xlnm.Print_Area" localSheetId="9">'080822'!$A$1:$J$167</definedName>
    <definedName name="_xlnm.Print_Area" localSheetId="7">'082522'!$A$1:$J$168</definedName>
    <definedName name="_xlnm.Print_Area" localSheetId="6">'090622'!$A$1:$J$174</definedName>
    <definedName name="_xlnm.Print_Area" localSheetId="5">'100122'!$A$1:$J$176</definedName>
    <definedName name="_xlnm.Print_Area" localSheetId="4">'110222'!$A$1:$J$177</definedName>
    <definedName name="_xlnm.Print_Area" localSheetId="3">'111422'!$A$1:$J$178</definedName>
    <definedName name="_xlnm.Print_Area" localSheetId="1">'120522'!$A$1:$J$177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76" l="1"/>
  <c r="X12" i="76"/>
  <c r="H12" i="76" s="1"/>
  <c r="V27" i="76"/>
  <c r="V26" i="76"/>
  <c r="V25" i="76"/>
  <c r="V24" i="76"/>
  <c r="V23" i="76"/>
  <c r="V22" i="76"/>
  <c r="V21" i="76"/>
  <c r="V20" i="76"/>
  <c r="V19" i="76"/>
  <c r="V18" i="76"/>
  <c r="V17" i="76"/>
  <c r="V16" i="76"/>
  <c r="J16" i="76" s="1"/>
  <c r="V15" i="76"/>
  <c r="J15" i="76" s="1"/>
  <c r="V14" i="76"/>
  <c r="J14" i="76" s="1"/>
  <c r="V13" i="76"/>
  <c r="V12" i="76"/>
  <c r="I16" i="76"/>
  <c r="H16" i="76"/>
  <c r="I15" i="76"/>
  <c r="H15" i="76"/>
  <c r="I12" i="76"/>
  <c r="G16" i="76"/>
  <c r="G12" i="76"/>
  <c r="J13" i="76" l="1"/>
  <c r="I13" i="76"/>
  <c r="G13" i="76"/>
  <c r="J12" i="76"/>
  <c r="I14" i="76"/>
  <c r="G15" i="76"/>
  <c r="T67" i="76"/>
  <c r="T47" i="76"/>
  <c r="T46" i="76"/>
  <c r="T45" i="76"/>
  <c r="N6" i="76"/>
  <c r="O6" i="76"/>
  <c r="P6" i="76"/>
  <c r="T43" i="76"/>
  <c r="T42" i="76"/>
  <c r="T37" i="76"/>
  <c r="U6" i="76"/>
  <c r="T6" i="76"/>
  <c r="S6" i="76"/>
  <c r="Q6" i="76"/>
  <c r="H14" i="76" l="1"/>
  <c r="G14" i="76"/>
  <c r="T30" i="76"/>
  <c r="T31" i="76" s="1"/>
  <c r="T29" i="76"/>
  <c r="U29" i="76" s="1"/>
  <c r="O13" i="75"/>
  <c r="T13" i="75"/>
  <c r="T17" i="75"/>
  <c r="T24" i="75"/>
  <c r="I101" i="76"/>
  <c r="T75" i="76"/>
  <c r="U75" i="76" s="1"/>
  <c r="Q75" i="76"/>
  <c r="O75" i="76"/>
  <c r="Q74" i="76"/>
  <c r="O74" i="76"/>
  <c r="Q73" i="76"/>
  <c r="O73" i="76"/>
  <c r="Q72" i="76"/>
  <c r="O72" i="76"/>
  <c r="Q71" i="76"/>
  <c r="O71" i="76"/>
  <c r="Q70" i="76"/>
  <c r="O70" i="76"/>
  <c r="Q69" i="76"/>
  <c r="O69" i="76"/>
  <c r="U67" i="76"/>
  <c r="V67" i="76" s="1"/>
  <c r="S67" i="76"/>
  <c r="P67" i="76"/>
  <c r="O67" i="76"/>
  <c r="I67" i="76" s="1"/>
  <c r="T66" i="76"/>
  <c r="U66" i="76" s="1"/>
  <c r="P66" i="76"/>
  <c r="O66" i="76"/>
  <c r="T65" i="76"/>
  <c r="T73" i="76" s="1"/>
  <c r="P65" i="76"/>
  <c r="O65" i="76"/>
  <c r="P64" i="76"/>
  <c r="O64" i="76"/>
  <c r="V63" i="76"/>
  <c r="J63" i="76" s="1"/>
  <c r="U63" i="76"/>
  <c r="I63" i="76" s="1"/>
  <c r="T63" i="76"/>
  <c r="S63" i="76"/>
  <c r="P63" i="76"/>
  <c r="O63" i="76"/>
  <c r="G63" i="76" s="1"/>
  <c r="U62" i="76"/>
  <c r="I62" i="76" s="1"/>
  <c r="T62" i="76"/>
  <c r="P62" i="76"/>
  <c r="O62" i="76"/>
  <c r="T61" i="76"/>
  <c r="T69" i="76" s="1"/>
  <c r="S69" i="76" s="1"/>
  <c r="G69" i="76" s="1"/>
  <c r="P61" i="76"/>
  <c r="O61" i="76"/>
  <c r="H61" i="76"/>
  <c r="T59" i="76"/>
  <c r="S59" i="76" s="1"/>
  <c r="G59" i="76" s="1"/>
  <c r="O59" i="76"/>
  <c r="O58" i="76"/>
  <c r="O57" i="76"/>
  <c r="O56" i="76"/>
  <c r="O55" i="76"/>
  <c r="O54" i="76"/>
  <c r="O52" i="76"/>
  <c r="T51" i="76"/>
  <c r="H51" i="76" s="1"/>
  <c r="O51" i="76"/>
  <c r="U50" i="76"/>
  <c r="V50" i="76" s="1"/>
  <c r="T50" i="76"/>
  <c r="S50" i="76" s="1"/>
  <c r="O50" i="76"/>
  <c r="O48" i="76"/>
  <c r="V47" i="76"/>
  <c r="J47" i="76" s="1"/>
  <c r="U47" i="76"/>
  <c r="I47" i="76" s="1"/>
  <c r="S47" i="76"/>
  <c r="O47" i="76"/>
  <c r="H47" i="76"/>
  <c r="U46" i="76"/>
  <c r="S46" i="76"/>
  <c r="O46" i="76"/>
  <c r="H46" i="76" s="1"/>
  <c r="T48" i="76"/>
  <c r="O45" i="76"/>
  <c r="U43" i="76"/>
  <c r="O43" i="76"/>
  <c r="S42" i="76"/>
  <c r="O42" i="76"/>
  <c r="H42" i="76" s="1"/>
  <c r="T41" i="76"/>
  <c r="U41" i="76" s="1"/>
  <c r="O41" i="76"/>
  <c r="O40" i="76"/>
  <c r="O39" i="76"/>
  <c r="O38" i="76"/>
  <c r="T38" i="76"/>
  <c r="S37" i="76"/>
  <c r="G37" i="76" s="1"/>
  <c r="O37" i="76"/>
  <c r="H37" i="76"/>
  <c r="O35" i="76"/>
  <c r="O34" i="76"/>
  <c r="O33" i="76"/>
  <c r="O31" i="76"/>
  <c r="O30" i="76"/>
  <c r="O29" i="76"/>
  <c r="T27" i="76"/>
  <c r="U27" i="76" s="1"/>
  <c r="O26" i="76"/>
  <c r="N26" i="76"/>
  <c r="O25" i="76"/>
  <c r="N25" i="76"/>
  <c r="O24" i="76"/>
  <c r="N24" i="76"/>
  <c r="U23" i="76"/>
  <c r="I23" i="76" s="1"/>
  <c r="T23" i="76"/>
  <c r="S23" i="76" s="1"/>
  <c r="O23" i="76"/>
  <c r="N23" i="76"/>
  <c r="O22" i="76"/>
  <c r="N22" i="76"/>
  <c r="O21" i="76"/>
  <c r="N21" i="76"/>
  <c r="O20" i="76"/>
  <c r="N20" i="76"/>
  <c r="T19" i="76"/>
  <c r="T25" i="76" s="1"/>
  <c r="O19" i="76"/>
  <c r="N19" i="76"/>
  <c r="O18" i="76"/>
  <c r="N18" i="76"/>
  <c r="T17" i="76"/>
  <c r="S17" i="76" s="1"/>
  <c r="O17" i="76"/>
  <c r="N17" i="76"/>
  <c r="T16" i="76"/>
  <c r="S16" i="76" s="1"/>
  <c r="O16" i="76"/>
  <c r="N16" i="76"/>
  <c r="O15" i="76"/>
  <c r="N15" i="76"/>
  <c r="O14" i="76"/>
  <c r="N14" i="76"/>
  <c r="T13" i="76"/>
  <c r="S13" i="76" s="1"/>
  <c r="O13" i="76"/>
  <c r="N13" i="76"/>
  <c r="T12" i="76"/>
  <c r="U12" i="76" s="1"/>
  <c r="S12" i="76"/>
  <c r="O12" i="76"/>
  <c r="N12" i="76"/>
  <c r="G5" i="76"/>
  <c r="J27" i="76" l="1"/>
  <c r="I27" i="76"/>
  <c r="S66" i="76"/>
  <c r="G66" i="76" s="1"/>
  <c r="T24" i="76"/>
  <c r="H27" i="76"/>
  <c r="U16" i="76"/>
  <c r="G47" i="76"/>
  <c r="H63" i="76"/>
  <c r="H67" i="76"/>
  <c r="S27" i="76"/>
  <c r="G27" i="76" s="1"/>
  <c r="G67" i="76"/>
  <c r="G17" i="76"/>
  <c r="U17" i="76"/>
  <c r="J17" i="76" s="1"/>
  <c r="H23" i="76"/>
  <c r="G42" i="76"/>
  <c r="G50" i="76"/>
  <c r="S61" i="76"/>
  <c r="G61" i="76" s="1"/>
  <c r="H65" i="76"/>
  <c r="J67" i="76"/>
  <c r="J50" i="76"/>
  <c r="U61" i="76"/>
  <c r="V61" i="76" s="1"/>
  <c r="J61" i="76" s="1"/>
  <c r="G23" i="76"/>
  <c r="S51" i="76"/>
  <c r="G51" i="76" s="1"/>
  <c r="S65" i="76"/>
  <c r="G65" i="76" s="1"/>
  <c r="S19" i="76"/>
  <c r="G19" i="76" s="1"/>
  <c r="J23" i="76"/>
  <c r="T26" i="76"/>
  <c r="U26" i="76" s="1"/>
  <c r="H62" i="76"/>
  <c r="U65" i="76"/>
  <c r="I29" i="76"/>
  <c r="G46" i="76"/>
  <c r="T35" i="76"/>
  <c r="S31" i="76"/>
  <c r="G31" i="76" s="1"/>
  <c r="U30" i="76"/>
  <c r="V30" i="76" s="1"/>
  <c r="J30" i="76" s="1"/>
  <c r="S30" i="76"/>
  <c r="G30" i="76" s="1"/>
  <c r="S29" i="76"/>
  <c r="G29" i="76" s="1"/>
  <c r="U25" i="76"/>
  <c r="S25" i="76"/>
  <c r="U35" i="76"/>
  <c r="S35" i="76"/>
  <c r="G35" i="76" s="1"/>
  <c r="H35" i="76"/>
  <c r="V75" i="76"/>
  <c r="J75" i="76" s="1"/>
  <c r="I75" i="76"/>
  <c r="S48" i="76"/>
  <c r="G48" i="76" s="1"/>
  <c r="H48" i="76"/>
  <c r="U48" i="76"/>
  <c r="U73" i="76"/>
  <c r="S73" i="76"/>
  <c r="G73" i="76" s="1"/>
  <c r="H73" i="76"/>
  <c r="V46" i="76"/>
  <c r="J46" i="76" s="1"/>
  <c r="I46" i="76"/>
  <c r="V43" i="76"/>
  <c r="J43" i="76" s="1"/>
  <c r="I43" i="76"/>
  <c r="V66" i="76"/>
  <c r="J66" i="76" s="1"/>
  <c r="I66" i="76"/>
  <c r="U38" i="76"/>
  <c r="H38" i="76"/>
  <c r="S38" i="76"/>
  <c r="G38" i="76" s="1"/>
  <c r="T55" i="76"/>
  <c r="V41" i="76"/>
  <c r="J41" i="76" s="1"/>
  <c r="I41" i="76"/>
  <c r="H17" i="76"/>
  <c r="T18" i="76"/>
  <c r="U31" i="76"/>
  <c r="U51" i="76"/>
  <c r="H30" i="76"/>
  <c r="T34" i="76"/>
  <c r="U42" i="76"/>
  <c r="S45" i="76"/>
  <c r="G45" i="76" s="1"/>
  <c r="H50" i="76"/>
  <c r="T54" i="76"/>
  <c r="S62" i="76"/>
  <c r="G62" i="76" s="1"/>
  <c r="H41" i="76"/>
  <c r="I50" i="76"/>
  <c r="T71" i="76"/>
  <c r="U45" i="76"/>
  <c r="I61" i="76"/>
  <c r="U59" i="76"/>
  <c r="H19" i="76"/>
  <c r="T20" i="76"/>
  <c r="U37" i="76"/>
  <c r="H43" i="76"/>
  <c r="V62" i="76"/>
  <c r="J62" i="76" s="1"/>
  <c r="H66" i="76"/>
  <c r="H75" i="76"/>
  <c r="U13" i="76"/>
  <c r="V29" i="76"/>
  <c r="J29" i="76" s="1"/>
  <c r="U69" i="76"/>
  <c r="T39" i="76"/>
  <c r="T58" i="76"/>
  <c r="S41" i="76"/>
  <c r="G41" i="76" s="1"/>
  <c r="T64" i="76"/>
  <c r="T14" i="76"/>
  <c r="H29" i="76"/>
  <c r="T33" i="76"/>
  <c r="S43" i="76"/>
  <c r="G43" i="76" s="1"/>
  <c r="T52" i="76"/>
  <c r="H69" i="76"/>
  <c r="T70" i="76"/>
  <c r="H59" i="76"/>
  <c r="S75" i="76"/>
  <c r="G75" i="76" s="1"/>
  <c r="U19" i="76"/>
  <c r="H31" i="76"/>
  <c r="H45" i="76"/>
  <c r="C2" i="1"/>
  <c r="S26" i="76" l="1"/>
  <c r="I17" i="76"/>
  <c r="U24" i="76"/>
  <c r="S24" i="76"/>
  <c r="I65" i="76"/>
  <c r="V65" i="76"/>
  <c r="J65" i="76" s="1"/>
  <c r="I30" i="76"/>
  <c r="U58" i="76"/>
  <c r="S58" i="76"/>
  <c r="G58" i="76" s="1"/>
  <c r="H58" i="76"/>
  <c r="H71" i="76"/>
  <c r="U71" i="76"/>
  <c r="S71" i="76"/>
  <c r="G71" i="76" s="1"/>
  <c r="U39" i="76"/>
  <c r="S39" i="76"/>
  <c r="G39" i="76" s="1"/>
  <c r="T56" i="76"/>
  <c r="T40" i="76"/>
  <c r="H39" i="76"/>
  <c r="V45" i="76"/>
  <c r="J45" i="76" s="1"/>
  <c r="I45" i="76"/>
  <c r="J19" i="76"/>
  <c r="I19" i="76"/>
  <c r="I69" i="76"/>
  <c r="V69" i="76"/>
  <c r="J69" i="76" s="1"/>
  <c r="U55" i="76"/>
  <c r="S55" i="76"/>
  <c r="G55" i="76" s="1"/>
  <c r="H55" i="76"/>
  <c r="V73" i="76"/>
  <c r="J73" i="76" s="1"/>
  <c r="I73" i="76"/>
  <c r="I48" i="76"/>
  <c r="V48" i="76"/>
  <c r="J48" i="76" s="1"/>
  <c r="T72" i="76"/>
  <c r="U70" i="76"/>
  <c r="S70" i="76"/>
  <c r="G70" i="76" s="1"/>
  <c r="H70" i="76"/>
  <c r="T74" i="76"/>
  <c r="I42" i="76"/>
  <c r="V42" i="76"/>
  <c r="J42" i="76" s="1"/>
  <c r="U52" i="76"/>
  <c r="S52" i="76"/>
  <c r="G52" i="76" s="1"/>
  <c r="H52" i="76"/>
  <c r="U33" i="76"/>
  <c r="S33" i="76"/>
  <c r="G33" i="76" s="1"/>
  <c r="H33" i="76"/>
  <c r="V37" i="76"/>
  <c r="J37" i="76" s="1"/>
  <c r="I37" i="76"/>
  <c r="H34" i="76"/>
  <c r="U34" i="76"/>
  <c r="S34" i="76"/>
  <c r="G34" i="76" s="1"/>
  <c r="H54" i="76"/>
  <c r="U54" i="76"/>
  <c r="S54" i="76"/>
  <c r="G54" i="76" s="1"/>
  <c r="I38" i="76"/>
  <c r="V38" i="76"/>
  <c r="J38" i="76" s="1"/>
  <c r="H20" i="76"/>
  <c r="U20" i="76"/>
  <c r="S20" i="76"/>
  <c r="G20" i="76" s="1"/>
  <c r="U14" i="76"/>
  <c r="S14" i="76"/>
  <c r="T15" i="76"/>
  <c r="I51" i="76"/>
  <c r="V51" i="76"/>
  <c r="J51" i="76" s="1"/>
  <c r="V35" i="76"/>
  <c r="J35" i="76" s="1"/>
  <c r="I35" i="76"/>
  <c r="I59" i="76"/>
  <c r="V59" i="76"/>
  <c r="J59" i="76" s="1"/>
  <c r="I31" i="76"/>
  <c r="V31" i="76"/>
  <c r="J31" i="76" s="1"/>
  <c r="U64" i="76"/>
  <c r="S64" i="76"/>
  <c r="G64" i="76" s="1"/>
  <c r="H64" i="76"/>
  <c r="H18" i="76"/>
  <c r="S18" i="76"/>
  <c r="G18" i="76" s="1"/>
  <c r="U18" i="76"/>
  <c r="V58" i="76" l="1"/>
  <c r="J58" i="76" s="1"/>
  <c r="I58" i="76"/>
  <c r="H74" i="76"/>
  <c r="U74" i="76"/>
  <c r="S74" i="76"/>
  <c r="G74" i="76" s="1"/>
  <c r="I54" i="76"/>
  <c r="V54" i="76"/>
  <c r="J54" i="76" s="1"/>
  <c r="V55" i="76"/>
  <c r="J55" i="76" s="1"/>
  <c r="I55" i="76"/>
  <c r="V52" i="76"/>
  <c r="J52" i="76" s="1"/>
  <c r="I52" i="76"/>
  <c r="V64" i="76"/>
  <c r="J64" i="76" s="1"/>
  <c r="I64" i="76"/>
  <c r="V70" i="76"/>
  <c r="J70" i="76" s="1"/>
  <c r="I70" i="76"/>
  <c r="U72" i="76"/>
  <c r="S72" i="76"/>
  <c r="G72" i="76" s="1"/>
  <c r="H72" i="76"/>
  <c r="S40" i="76"/>
  <c r="G40" i="76" s="1"/>
  <c r="T57" i="76"/>
  <c r="H40" i="76"/>
  <c r="U40" i="76"/>
  <c r="U56" i="76"/>
  <c r="S56" i="76"/>
  <c r="G56" i="76" s="1"/>
  <c r="H56" i="76"/>
  <c r="T21" i="76"/>
  <c r="T22" i="76"/>
  <c r="U15" i="76"/>
  <c r="S15" i="76"/>
  <c r="J20" i="76"/>
  <c r="I20" i="76"/>
  <c r="I34" i="76"/>
  <c r="V34" i="76"/>
  <c r="J34" i="76" s="1"/>
  <c r="V39" i="76"/>
  <c r="J39" i="76" s="1"/>
  <c r="I39" i="76"/>
  <c r="I18" i="76"/>
  <c r="J18" i="76"/>
  <c r="V33" i="76"/>
  <c r="J33" i="76" s="1"/>
  <c r="I33" i="76"/>
  <c r="I71" i="76"/>
  <c r="V71" i="76"/>
  <c r="J71" i="76" s="1"/>
  <c r="T68" i="75"/>
  <c r="S68" i="75" s="1"/>
  <c r="T66" i="75"/>
  <c r="T74" i="75" s="1"/>
  <c r="T64" i="75"/>
  <c r="T72" i="75" s="1"/>
  <c r="T63" i="75"/>
  <c r="T65" i="75" s="1"/>
  <c r="U65" i="75" s="1"/>
  <c r="T62" i="75"/>
  <c r="T51" i="75"/>
  <c r="T52" i="75" s="1"/>
  <c r="T53" i="75" s="1"/>
  <c r="T48" i="75"/>
  <c r="U48" i="75" s="1"/>
  <c r="V48" i="75" s="1"/>
  <c r="T47" i="75"/>
  <c r="T46" i="75"/>
  <c r="U46" i="75" s="1"/>
  <c r="T44" i="75"/>
  <c r="S44" i="75" s="1"/>
  <c r="T43" i="75"/>
  <c r="S43" i="75" s="1"/>
  <c r="T38" i="75"/>
  <c r="T31" i="75"/>
  <c r="T30" i="75"/>
  <c r="T28" i="75"/>
  <c r="U28" i="75" s="1"/>
  <c r="T18" i="75"/>
  <c r="S18" i="75" s="1"/>
  <c r="S17" i="75"/>
  <c r="T15" i="75"/>
  <c r="S15" i="75" s="1"/>
  <c r="T21" i="75"/>
  <c r="M18" i="1"/>
  <c r="M16" i="1"/>
  <c r="M15" i="1"/>
  <c r="G5" i="75"/>
  <c r="I102" i="75"/>
  <c r="Q76" i="75"/>
  <c r="Q75" i="75"/>
  <c r="Q74" i="75"/>
  <c r="Q73" i="75"/>
  <c r="Q72" i="75"/>
  <c r="Q71" i="75"/>
  <c r="O71" i="75"/>
  <c r="Q70" i="75"/>
  <c r="T76" i="75"/>
  <c r="P68" i="75"/>
  <c r="P67" i="75"/>
  <c r="P66" i="75"/>
  <c r="P65" i="75"/>
  <c r="P64" i="75"/>
  <c r="P63" i="75"/>
  <c r="O63" i="75"/>
  <c r="T70" i="75"/>
  <c r="S62" i="75"/>
  <c r="P62" i="75"/>
  <c r="O60" i="75"/>
  <c r="O59" i="75"/>
  <c r="O58" i="75"/>
  <c r="O57" i="75"/>
  <c r="O56" i="75"/>
  <c r="O55" i="75"/>
  <c r="O53" i="75"/>
  <c r="O52" i="75"/>
  <c r="O51" i="75"/>
  <c r="O49" i="75"/>
  <c r="S48" i="75"/>
  <c r="O48" i="75"/>
  <c r="H48" i="75" s="1"/>
  <c r="O47" i="75"/>
  <c r="T49" i="75"/>
  <c r="O46" i="75"/>
  <c r="O44" i="75"/>
  <c r="O43" i="75"/>
  <c r="T42" i="75"/>
  <c r="U42" i="75" s="1"/>
  <c r="O42" i="75"/>
  <c r="O41" i="75"/>
  <c r="O40" i="75"/>
  <c r="O39" i="75"/>
  <c r="O38" i="75"/>
  <c r="O36" i="75"/>
  <c r="O35" i="75"/>
  <c r="T34" i="75"/>
  <c r="S34" i="75" s="1"/>
  <c r="O34" i="75"/>
  <c r="O32" i="75"/>
  <c r="S31" i="75"/>
  <c r="O31" i="75"/>
  <c r="H31" i="75" s="1"/>
  <c r="U30" i="75"/>
  <c r="V30" i="75" s="1"/>
  <c r="S30" i="75"/>
  <c r="O30" i="75"/>
  <c r="H28" i="75"/>
  <c r="AB27" i="75"/>
  <c r="AA27" i="75"/>
  <c r="Y27" i="75"/>
  <c r="O27" i="75"/>
  <c r="N27" i="75"/>
  <c r="AB26" i="75"/>
  <c r="AA26" i="75"/>
  <c r="Y26" i="75"/>
  <c r="O26" i="75"/>
  <c r="N26" i="75"/>
  <c r="AB25" i="75"/>
  <c r="AA25" i="75"/>
  <c r="Y25" i="75"/>
  <c r="O25" i="75"/>
  <c r="N25" i="75"/>
  <c r="S24" i="75"/>
  <c r="O24" i="75"/>
  <c r="N24" i="75"/>
  <c r="AB23" i="75"/>
  <c r="AA23" i="75"/>
  <c r="Y23" i="75"/>
  <c r="O23" i="75"/>
  <c r="N23" i="75"/>
  <c r="O22" i="75"/>
  <c r="N22" i="75"/>
  <c r="O21" i="75"/>
  <c r="N21" i="75"/>
  <c r="O20" i="75"/>
  <c r="N20" i="75"/>
  <c r="T19" i="75"/>
  <c r="S19" i="75" s="1"/>
  <c r="O19" i="75"/>
  <c r="N19" i="75"/>
  <c r="O18" i="75"/>
  <c r="N18" i="75"/>
  <c r="O17" i="75"/>
  <c r="N17" i="75"/>
  <c r="O16" i="75"/>
  <c r="N16" i="75"/>
  <c r="O15" i="75"/>
  <c r="N15" i="75"/>
  <c r="T14" i="75"/>
  <c r="S14" i="75" s="1"/>
  <c r="O14" i="75"/>
  <c r="N14" i="75"/>
  <c r="N13" i="75"/>
  <c r="T77" i="74"/>
  <c r="T68" i="74"/>
  <c r="T75" i="74"/>
  <c r="T73" i="74"/>
  <c r="M3" i="1"/>
  <c r="T72" i="74"/>
  <c r="T71" i="74"/>
  <c r="T31" i="74"/>
  <c r="I74" i="76" l="1"/>
  <c r="V74" i="76"/>
  <c r="J74" i="76" s="1"/>
  <c r="I72" i="76"/>
  <c r="V72" i="76"/>
  <c r="J72" i="76" s="1"/>
  <c r="S22" i="76"/>
  <c r="G22" i="76" s="1"/>
  <c r="U22" i="76"/>
  <c r="H22" i="76"/>
  <c r="S21" i="76"/>
  <c r="G21" i="76" s="1"/>
  <c r="H21" i="76"/>
  <c r="U21" i="76"/>
  <c r="V56" i="76"/>
  <c r="J56" i="76" s="1"/>
  <c r="I56" i="76"/>
  <c r="I40" i="76"/>
  <c r="V40" i="76"/>
  <c r="J40" i="76" s="1"/>
  <c r="U57" i="76"/>
  <c r="S57" i="76"/>
  <c r="G57" i="76" s="1"/>
  <c r="H57" i="76"/>
  <c r="S64" i="75"/>
  <c r="S51" i="75"/>
  <c r="U51" i="75"/>
  <c r="S28" i="75"/>
  <c r="G28" i="75" s="1"/>
  <c r="U17" i="75"/>
  <c r="V17" i="75" s="1"/>
  <c r="J17" i="75" s="1"/>
  <c r="S13" i="75"/>
  <c r="G13" i="75" s="1"/>
  <c r="T71" i="75"/>
  <c r="U14" i="75"/>
  <c r="V14" i="75" s="1"/>
  <c r="J14" i="75" s="1"/>
  <c r="U24" i="75"/>
  <c r="V24" i="75" s="1"/>
  <c r="J24" i="75" s="1"/>
  <c r="U63" i="75"/>
  <c r="V63" i="75" s="1"/>
  <c r="J63" i="75" s="1"/>
  <c r="U13" i="75"/>
  <c r="V13" i="75" s="1"/>
  <c r="J13" i="75" s="1"/>
  <c r="S46" i="75"/>
  <c r="G46" i="75" s="1"/>
  <c r="G63" i="75"/>
  <c r="H18" i="75"/>
  <c r="U31" i="75"/>
  <c r="V31" i="75" s="1"/>
  <c r="J31" i="75" s="1"/>
  <c r="T35" i="75"/>
  <c r="S35" i="75" s="1"/>
  <c r="H14" i="75"/>
  <c r="U18" i="75"/>
  <c r="I18" i="75" s="1"/>
  <c r="I30" i="75"/>
  <c r="T32" i="75"/>
  <c r="T36" i="75" s="1"/>
  <c r="G51" i="75"/>
  <c r="S63" i="75"/>
  <c r="S66" i="75"/>
  <c r="H71" i="75"/>
  <c r="H13" i="75"/>
  <c r="H51" i="75"/>
  <c r="G31" i="75"/>
  <c r="I17" i="75"/>
  <c r="G30" i="75"/>
  <c r="I48" i="75"/>
  <c r="I51" i="75"/>
  <c r="H17" i="75"/>
  <c r="H30" i="75"/>
  <c r="J48" i="75"/>
  <c r="G17" i="75"/>
  <c r="G14" i="75"/>
  <c r="H47" i="75"/>
  <c r="H38" i="75"/>
  <c r="G43" i="75"/>
  <c r="G18" i="75"/>
  <c r="J30" i="75"/>
  <c r="G34" i="75"/>
  <c r="H24" i="75"/>
  <c r="G44" i="75"/>
  <c r="G15" i="75"/>
  <c r="G19" i="75"/>
  <c r="G24" i="75"/>
  <c r="G48" i="75"/>
  <c r="V65" i="75"/>
  <c r="H53" i="75"/>
  <c r="U53" i="75"/>
  <c r="S53" i="75"/>
  <c r="G53" i="75" s="1"/>
  <c r="S74" i="75"/>
  <c r="U74" i="75"/>
  <c r="H19" i="75"/>
  <c r="U19" i="75"/>
  <c r="U49" i="75"/>
  <c r="S49" i="75"/>
  <c r="G49" i="75" s="1"/>
  <c r="G35" i="75"/>
  <c r="T60" i="75"/>
  <c r="H43" i="75"/>
  <c r="U43" i="75"/>
  <c r="I46" i="75"/>
  <c r="H35" i="75"/>
  <c r="S70" i="75"/>
  <c r="U70" i="75"/>
  <c r="V18" i="75"/>
  <c r="J18" i="75" s="1"/>
  <c r="H21" i="75"/>
  <c r="U21" i="75"/>
  <c r="S21" i="75"/>
  <c r="G21" i="75" s="1"/>
  <c r="H44" i="75"/>
  <c r="H49" i="75"/>
  <c r="V51" i="75"/>
  <c r="J51" i="75" s="1"/>
  <c r="I42" i="75"/>
  <c r="V42" i="75"/>
  <c r="J42" i="75" s="1"/>
  <c r="S52" i="75"/>
  <c r="G52" i="75" s="1"/>
  <c r="H52" i="75"/>
  <c r="H34" i="75"/>
  <c r="U34" i="75"/>
  <c r="U52" i="75"/>
  <c r="S65" i="75"/>
  <c r="T16" i="75"/>
  <c r="H15" i="75"/>
  <c r="U15" i="75"/>
  <c r="V28" i="75"/>
  <c r="J28" i="75" s="1"/>
  <c r="I28" i="75"/>
  <c r="S42" i="75"/>
  <c r="G42" i="75" s="1"/>
  <c r="T59" i="75"/>
  <c r="H42" i="75"/>
  <c r="T55" i="75"/>
  <c r="U62" i="75"/>
  <c r="U66" i="75"/>
  <c r="T75" i="75"/>
  <c r="T20" i="75"/>
  <c r="T26" i="75" s="1"/>
  <c r="U35" i="75"/>
  <c r="S38" i="75"/>
  <c r="G38" i="75" s="1"/>
  <c r="U44" i="75"/>
  <c r="S47" i="75"/>
  <c r="G47" i="75" s="1"/>
  <c r="T67" i="75"/>
  <c r="U71" i="75"/>
  <c r="S72" i="75"/>
  <c r="S76" i="75"/>
  <c r="U38" i="75"/>
  <c r="T39" i="75"/>
  <c r="V46" i="75"/>
  <c r="J46" i="75" s="1"/>
  <c r="U47" i="75"/>
  <c r="H63" i="75"/>
  <c r="U72" i="75"/>
  <c r="U76" i="75"/>
  <c r="T40" i="75"/>
  <c r="H46" i="75"/>
  <c r="U64" i="75"/>
  <c r="U68" i="75"/>
  <c r="T66" i="74"/>
  <c r="I13" i="75" l="1"/>
  <c r="I14" i="75"/>
  <c r="I57" i="76"/>
  <c r="V57" i="76"/>
  <c r="J57" i="76" s="1"/>
  <c r="I21" i="76"/>
  <c r="J21" i="76"/>
  <c r="J22" i="76"/>
  <c r="I22" i="76"/>
  <c r="I63" i="75"/>
  <c r="I31" i="75"/>
  <c r="S32" i="75"/>
  <c r="G32" i="75" s="1"/>
  <c r="I24" i="75"/>
  <c r="H32" i="75"/>
  <c r="U32" i="75"/>
  <c r="I32" i="75" s="1"/>
  <c r="T73" i="75"/>
  <c r="S71" i="75"/>
  <c r="G71" i="75" s="1"/>
  <c r="V64" i="75"/>
  <c r="V21" i="75"/>
  <c r="J21" i="75" s="1"/>
  <c r="I21" i="75"/>
  <c r="T22" i="75"/>
  <c r="H16" i="75"/>
  <c r="S16" i="75"/>
  <c r="G16" i="75" s="1"/>
  <c r="U16" i="75"/>
  <c r="T23" i="75"/>
  <c r="V70" i="75"/>
  <c r="H20" i="75"/>
  <c r="T27" i="75"/>
  <c r="S20" i="75"/>
  <c r="G20" i="75" s="1"/>
  <c r="U20" i="75"/>
  <c r="T25" i="75"/>
  <c r="V74" i="75"/>
  <c r="V38" i="75"/>
  <c r="J38" i="75" s="1"/>
  <c r="I38" i="75"/>
  <c r="V35" i="75"/>
  <c r="J35" i="75" s="1"/>
  <c r="I35" i="75"/>
  <c r="U75" i="75"/>
  <c r="S75" i="75"/>
  <c r="I52" i="75"/>
  <c r="V52" i="75"/>
  <c r="J52" i="75" s="1"/>
  <c r="I53" i="75"/>
  <c r="V53" i="75"/>
  <c r="J53" i="75" s="1"/>
  <c r="V76" i="75"/>
  <c r="V71" i="75"/>
  <c r="J71" i="75" s="1"/>
  <c r="I71" i="75"/>
  <c r="I49" i="75"/>
  <c r="V49" i="75"/>
  <c r="J49" i="75" s="1"/>
  <c r="U39" i="75"/>
  <c r="S39" i="75"/>
  <c r="G39" i="75" s="1"/>
  <c r="T56" i="75"/>
  <c r="H39" i="75"/>
  <c r="U59" i="75"/>
  <c r="S59" i="75"/>
  <c r="G59" i="75" s="1"/>
  <c r="H59" i="75"/>
  <c r="S60" i="75"/>
  <c r="G60" i="75" s="1"/>
  <c r="H60" i="75"/>
  <c r="U60" i="75"/>
  <c r="T41" i="75"/>
  <c r="U40" i="75"/>
  <c r="T57" i="75"/>
  <c r="S40" i="75"/>
  <c r="G40" i="75" s="1"/>
  <c r="H40" i="75"/>
  <c r="V66" i="75"/>
  <c r="I34" i="75"/>
  <c r="V34" i="75"/>
  <c r="J34" i="75" s="1"/>
  <c r="U67" i="75"/>
  <c r="S67" i="75"/>
  <c r="V62" i="75"/>
  <c r="V32" i="75"/>
  <c r="J32" i="75" s="1"/>
  <c r="U36" i="75"/>
  <c r="H36" i="75"/>
  <c r="S36" i="75"/>
  <c r="G36" i="75" s="1"/>
  <c r="V19" i="75"/>
  <c r="J19" i="75" s="1"/>
  <c r="I19" i="75"/>
  <c r="V44" i="75"/>
  <c r="J44" i="75" s="1"/>
  <c r="I44" i="75"/>
  <c r="V72" i="75"/>
  <c r="V68" i="75"/>
  <c r="V47" i="75"/>
  <c r="J47" i="75" s="1"/>
  <c r="I47" i="75"/>
  <c r="H55" i="75"/>
  <c r="U55" i="75"/>
  <c r="S55" i="75"/>
  <c r="G55" i="75" s="1"/>
  <c r="V15" i="75"/>
  <c r="J15" i="75" s="1"/>
  <c r="I15" i="75"/>
  <c r="I43" i="75"/>
  <c r="V43" i="75"/>
  <c r="J43" i="75" s="1"/>
  <c r="T64" i="74"/>
  <c r="T63" i="74"/>
  <c r="T62" i="74"/>
  <c r="T51" i="74"/>
  <c r="T48" i="74"/>
  <c r="T47" i="74"/>
  <c r="T46" i="74"/>
  <c r="T44" i="74"/>
  <c r="T43" i="74"/>
  <c r="T38" i="74"/>
  <c r="T39" i="74" s="1"/>
  <c r="T32" i="74"/>
  <c r="T30" i="74"/>
  <c r="T28" i="74"/>
  <c r="T24" i="74"/>
  <c r="T18" i="74"/>
  <c r="T15" i="74"/>
  <c r="T16" i="74" s="1"/>
  <c r="T13" i="74"/>
  <c r="T14" i="74" s="1"/>
  <c r="S73" i="75" l="1"/>
  <c r="U73" i="75"/>
  <c r="V73" i="75" s="1"/>
  <c r="S22" i="75"/>
  <c r="G22" i="75" s="1"/>
  <c r="U22" i="75"/>
  <c r="H22" i="75"/>
  <c r="I20" i="75"/>
  <c r="V20" i="75"/>
  <c r="J20" i="75" s="1"/>
  <c r="V55" i="75"/>
  <c r="J55" i="75" s="1"/>
  <c r="I55" i="75"/>
  <c r="H26" i="75"/>
  <c r="U26" i="75"/>
  <c r="S26" i="75"/>
  <c r="G26" i="75" s="1"/>
  <c r="V39" i="75"/>
  <c r="J39" i="75" s="1"/>
  <c r="I39" i="75"/>
  <c r="H57" i="75"/>
  <c r="U57" i="75"/>
  <c r="S57" i="75"/>
  <c r="G57" i="75" s="1"/>
  <c r="V67" i="75"/>
  <c r="I40" i="75"/>
  <c r="V40" i="75"/>
  <c r="J40" i="75" s="1"/>
  <c r="I60" i="75"/>
  <c r="V60" i="75"/>
  <c r="J60" i="75" s="1"/>
  <c r="I16" i="75"/>
  <c r="V16" i="75"/>
  <c r="J16" i="75" s="1"/>
  <c r="H27" i="75"/>
  <c r="U27" i="75"/>
  <c r="S27" i="75"/>
  <c r="G27" i="75" s="1"/>
  <c r="I59" i="75"/>
  <c r="V59" i="75"/>
  <c r="J59" i="75" s="1"/>
  <c r="I36" i="75"/>
  <c r="V36" i="75"/>
  <c r="J36" i="75" s="1"/>
  <c r="S41" i="75"/>
  <c r="G41" i="75" s="1"/>
  <c r="T58" i="75"/>
  <c r="H41" i="75"/>
  <c r="U41" i="75"/>
  <c r="U56" i="75"/>
  <c r="H56" i="75"/>
  <c r="S56" i="75"/>
  <c r="G56" i="75" s="1"/>
  <c r="V75" i="75"/>
  <c r="S25" i="75"/>
  <c r="G25" i="75" s="1"/>
  <c r="H25" i="75"/>
  <c r="U25" i="75"/>
  <c r="H23" i="75"/>
  <c r="U23" i="75"/>
  <c r="S23" i="75"/>
  <c r="G23" i="75" s="1"/>
  <c r="T52" i="74"/>
  <c r="Q77" i="74"/>
  <c r="Q76" i="74"/>
  <c r="Q75" i="74"/>
  <c r="Q74" i="74"/>
  <c r="Q73" i="74"/>
  <c r="Q72" i="74"/>
  <c r="Q71" i="74"/>
  <c r="I103" i="74"/>
  <c r="T76" i="74"/>
  <c r="O72" i="74"/>
  <c r="T69" i="74"/>
  <c r="U69" i="74" s="1"/>
  <c r="O69" i="74"/>
  <c r="U68" i="74"/>
  <c r="S68" i="74"/>
  <c r="P68" i="74"/>
  <c r="T67" i="74"/>
  <c r="S67" i="74" s="1"/>
  <c r="P67" i="74"/>
  <c r="S66" i="74"/>
  <c r="P66" i="74"/>
  <c r="P65" i="74"/>
  <c r="U64" i="74"/>
  <c r="V64" i="74" s="1"/>
  <c r="P64" i="74"/>
  <c r="U63" i="74"/>
  <c r="T65" i="74"/>
  <c r="S63" i="74"/>
  <c r="P63" i="74"/>
  <c r="O63" i="74"/>
  <c r="H63" i="74" s="1"/>
  <c r="U62" i="74"/>
  <c r="P62" i="74"/>
  <c r="O60" i="74"/>
  <c r="O59" i="74"/>
  <c r="O58" i="74"/>
  <c r="O57" i="74"/>
  <c r="O56" i="74"/>
  <c r="O55" i="74"/>
  <c r="O53" i="74"/>
  <c r="O52" i="74"/>
  <c r="V51" i="74"/>
  <c r="U51" i="74"/>
  <c r="S51" i="74"/>
  <c r="O51" i="74"/>
  <c r="H51" i="74" s="1"/>
  <c r="O49" i="74"/>
  <c r="U48" i="74"/>
  <c r="O48" i="74"/>
  <c r="U47" i="74"/>
  <c r="V47" i="74" s="1"/>
  <c r="S47" i="74"/>
  <c r="O47" i="74"/>
  <c r="S46" i="74"/>
  <c r="O46" i="74"/>
  <c r="U43" i="74"/>
  <c r="U39" i="74"/>
  <c r="U38" i="74"/>
  <c r="V38" i="74" s="1"/>
  <c r="T42" i="74"/>
  <c r="T36" i="74"/>
  <c r="S36" i="74" s="1"/>
  <c r="O36" i="74"/>
  <c r="O35" i="74"/>
  <c r="T34" i="74"/>
  <c r="U34" i="74" s="1"/>
  <c r="O34" i="74"/>
  <c r="U32" i="74"/>
  <c r="V32" i="74" s="1"/>
  <c r="S32" i="74"/>
  <c r="O32" i="74"/>
  <c r="S31" i="74"/>
  <c r="O31" i="74"/>
  <c r="H31" i="74" s="1"/>
  <c r="U30" i="74"/>
  <c r="S30" i="74"/>
  <c r="O30" i="74"/>
  <c r="H30" i="74" s="1"/>
  <c r="U28" i="74"/>
  <c r="V28" i="74" s="1"/>
  <c r="J28" i="74" s="1"/>
  <c r="S28" i="74"/>
  <c r="G28" i="74" s="1"/>
  <c r="AB27" i="74"/>
  <c r="AA27" i="74"/>
  <c r="Y27" i="74"/>
  <c r="O27" i="74"/>
  <c r="N27" i="74"/>
  <c r="AB26" i="74"/>
  <c r="AA26" i="74"/>
  <c r="Y26" i="74"/>
  <c r="O26" i="74"/>
  <c r="N26" i="74"/>
  <c r="AB25" i="74"/>
  <c r="AA25" i="74"/>
  <c r="Y25" i="74"/>
  <c r="O25" i="74"/>
  <c r="N25" i="74"/>
  <c r="O24" i="74"/>
  <c r="N24" i="74"/>
  <c r="AB23" i="74"/>
  <c r="AA23" i="74"/>
  <c r="Y23" i="74"/>
  <c r="T23" i="74"/>
  <c r="S23" i="74" s="1"/>
  <c r="O23" i="74"/>
  <c r="N23" i="74"/>
  <c r="O22" i="74"/>
  <c r="N22" i="74"/>
  <c r="T21" i="74"/>
  <c r="U21" i="74" s="1"/>
  <c r="O21" i="74"/>
  <c r="N21" i="74"/>
  <c r="T20" i="74"/>
  <c r="O20" i="74"/>
  <c r="N20" i="74"/>
  <c r="O19" i="74"/>
  <c r="N19" i="74"/>
  <c r="U18" i="74"/>
  <c r="O18" i="74"/>
  <c r="N18" i="74"/>
  <c r="T17" i="74"/>
  <c r="U17" i="74" s="1"/>
  <c r="O17" i="74"/>
  <c r="N17" i="74"/>
  <c r="U16" i="74"/>
  <c r="T22" i="74"/>
  <c r="S16" i="74"/>
  <c r="O16" i="74"/>
  <c r="N16" i="74"/>
  <c r="U15" i="74"/>
  <c r="O15" i="74"/>
  <c r="N15" i="74"/>
  <c r="S14" i="74"/>
  <c r="O14" i="74"/>
  <c r="H14" i="74" s="1"/>
  <c r="N14" i="74"/>
  <c r="S13" i="74"/>
  <c r="O13" i="74"/>
  <c r="N13" i="74"/>
  <c r="G5" i="74"/>
  <c r="T27" i="73"/>
  <c r="J28" i="73"/>
  <c r="I28" i="73"/>
  <c r="H28" i="73"/>
  <c r="G28" i="73"/>
  <c r="T28" i="73"/>
  <c r="U28" i="73" s="1"/>
  <c r="V28" i="73" s="1"/>
  <c r="S28" i="73"/>
  <c r="T71" i="73"/>
  <c r="S71" i="73" s="1"/>
  <c r="T69" i="73"/>
  <c r="U69" i="73" s="1"/>
  <c r="T68" i="73"/>
  <c r="T66" i="73"/>
  <c r="S66" i="73" s="1"/>
  <c r="T64" i="73"/>
  <c r="T73" i="73" s="1"/>
  <c r="S73" i="73" s="1"/>
  <c r="T63" i="73"/>
  <c r="T72" i="73" s="1"/>
  <c r="T62" i="73"/>
  <c r="T51" i="73"/>
  <c r="U51" i="73" s="1"/>
  <c r="V51" i="73" s="1"/>
  <c r="T49" i="73"/>
  <c r="S49" i="73" s="1"/>
  <c r="T48" i="73"/>
  <c r="S48" i="73" s="1"/>
  <c r="T47" i="73"/>
  <c r="S47" i="73" s="1"/>
  <c r="T46" i="73"/>
  <c r="T43" i="73"/>
  <c r="T41" i="73"/>
  <c r="S41" i="73" s="1"/>
  <c r="T39" i="73"/>
  <c r="S39" i="73" s="1"/>
  <c r="T38" i="73"/>
  <c r="T44" i="73" s="1"/>
  <c r="T32" i="73"/>
  <c r="T36" i="73" s="1"/>
  <c r="T31" i="73"/>
  <c r="S31" i="73" s="1"/>
  <c r="T30" i="73"/>
  <c r="T23" i="73"/>
  <c r="U23" i="73" s="1"/>
  <c r="T22" i="73"/>
  <c r="U22" i="73" s="1"/>
  <c r="T21" i="73"/>
  <c r="U21" i="73" s="1"/>
  <c r="T19" i="73"/>
  <c r="S19" i="73" s="1"/>
  <c r="T17" i="73"/>
  <c r="U17" i="73" s="1"/>
  <c r="T16" i="73"/>
  <c r="U16" i="73" s="1"/>
  <c r="T15" i="73"/>
  <c r="T14" i="73"/>
  <c r="U14" i="73" s="1"/>
  <c r="T13" i="73"/>
  <c r="T20" i="73" s="1"/>
  <c r="I102" i="73"/>
  <c r="O72" i="73"/>
  <c r="O69" i="73"/>
  <c r="H69" i="73"/>
  <c r="P68" i="73"/>
  <c r="P67" i="73"/>
  <c r="P66" i="73"/>
  <c r="P65" i="73"/>
  <c r="P64" i="73"/>
  <c r="T65" i="73"/>
  <c r="S63" i="73"/>
  <c r="P63" i="73"/>
  <c r="O63" i="73"/>
  <c r="S62" i="73"/>
  <c r="P62" i="73"/>
  <c r="O60" i="73"/>
  <c r="O59" i="73"/>
  <c r="O58" i="73"/>
  <c r="O57" i="73"/>
  <c r="O56" i="73"/>
  <c r="O55" i="73"/>
  <c r="O53" i="73"/>
  <c r="O52" i="73"/>
  <c r="O51" i="73"/>
  <c r="O49" i="73"/>
  <c r="O48" i="73"/>
  <c r="U47" i="73"/>
  <c r="O47" i="73"/>
  <c r="H47" i="73" s="1"/>
  <c r="O46" i="73"/>
  <c r="O36" i="73"/>
  <c r="O35" i="73"/>
  <c r="O34" i="73"/>
  <c r="O32" i="73"/>
  <c r="T35" i="73"/>
  <c r="O31" i="73"/>
  <c r="S30" i="73"/>
  <c r="O30" i="73"/>
  <c r="AB27" i="73"/>
  <c r="AA27" i="73"/>
  <c r="Y27" i="73"/>
  <c r="O27" i="73"/>
  <c r="N27" i="73"/>
  <c r="AB26" i="73"/>
  <c r="AA26" i="73"/>
  <c r="Y26" i="73"/>
  <c r="O26" i="73"/>
  <c r="N26" i="73"/>
  <c r="AB25" i="73"/>
  <c r="AA25" i="73"/>
  <c r="Y25" i="73"/>
  <c r="O25" i="73"/>
  <c r="N25" i="73"/>
  <c r="O24" i="73"/>
  <c r="N24" i="73"/>
  <c r="AB23" i="73"/>
  <c r="AA23" i="73"/>
  <c r="Y23" i="73"/>
  <c r="S23" i="73"/>
  <c r="O23" i="73"/>
  <c r="N23" i="73"/>
  <c r="O22" i="73"/>
  <c r="N22" i="73"/>
  <c r="S21" i="73"/>
  <c r="O21" i="73"/>
  <c r="N21" i="73"/>
  <c r="O20" i="73"/>
  <c r="N20" i="73"/>
  <c r="O19" i="73"/>
  <c r="N19" i="73"/>
  <c r="O18" i="73"/>
  <c r="N18" i="73"/>
  <c r="O17" i="73"/>
  <c r="N17" i="73"/>
  <c r="T18" i="73"/>
  <c r="O16" i="73"/>
  <c r="N16" i="73"/>
  <c r="S15" i="73"/>
  <c r="O15" i="73"/>
  <c r="H15" i="73" s="1"/>
  <c r="N15" i="73"/>
  <c r="O14" i="73"/>
  <c r="N14" i="73"/>
  <c r="S13" i="73"/>
  <c r="O13" i="73"/>
  <c r="N13" i="73"/>
  <c r="G5" i="73"/>
  <c r="T68" i="72"/>
  <c r="T67" i="72"/>
  <c r="T65" i="72"/>
  <c r="T63" i="72"/>
  <c r="T62" i="72"/>
  <c r="T66" i="72" s="1"/>
  <c r="T61" i="72"/>
  <c r="T52" i="72"/>
  <c r="T51" i="72"/>
  <c r="T50" i="72"/>
  <c r="T48" i="72"/>
  <c r="T47" i="72"/>
  <c r="T46" i="72"/>
  <c r="T45" i="72"/>
  <c r="T42" i="72"/>
  <c r="T41" i="72"/>
  <c r="T40" i="72"/>
  <c r="T39" i="72"/>
  <c r="T38" i="72"/>
  <c r="T37" i="72"/>
  <c r="T31" i="72"/>
  <c r="T30" i="72"/>
  <c r="T29" i="72"/>
  <c r="T17" i="72"/>
  <c r="T16" i="72"/>
  <c r="T15" i="72"/>
  <c r="T14" i="72"/>
  <c r="T13" i="72"/>
  <c r="T76" i="72"/>
  <c r="U76" i="72" s="1"/>
  <c r="V76" i="72" s="1"/>
  <c r="T74" i="72"/>
  <c r="S74" i="72" s="1"/>
  <c r="T72" i="72"/>
  <c r="U72" i="72" s="1"/>
  <c r="V72" i="72" s="1"/>
  <c r="T71" i="72"/>
  <c r="U71" i="72" s="1"/>
  <c r="V71" i="72" s="1"/>
  <c r="T70" i="72"/>
  <c r="U70" i="72" s="1"/>
  <c r="V70" i="72" s="1"/>
  <c r="O71" i="72"/>
  <c r="H71" i="72" s="1"/>
  <c r="U74" i="72"/>
  <c r="V74" i="72" s="1"/>
  <c r="C18" i="1"/>
  <c r="O67" i="74" s="1"/>
  <c r="M14" i="1"/>
  <c r="O75" i="72" l="1"/>
  <c r="H75" i="72" s="1"/>
  <c r="O67" i="73"/>
  <c r="O67" i="75"/>
  <c r="O75" i="75"/>
  <c r="J75" i="75" s="1"/>
  <c r="O76" i="73"/>
  <c r="O76" i="74"/>
  <c r="H76" i="74" s="1"/>
  <c r="V57" i="75"/>
  <c r="J57" i="75" s="1"/>
  <c r="I57" i="75"/>
  <c r="I23" i="75"/>
  <c r="V23" i="75"/>
  <c r="J23" i="75" s="1"/>
  <c r="U58" i="75"/>
  <c r="S58" i="75"/>
  <c r="G58" i="75" s="1"/>
  <c r="H58" i="75"/>
  <c r="I56" i="75"/>
  <c r="V56" i="75"/>
  <c r="J56" i="75" s="1"/>
  <c r="I25" i="75"/>
  <c r="V25" i="75"/>
  <c r="J25" i="75" s="1"/>
  <c r="I41" i="75"/>
  <c r="V41" i="75"/>
  <c r="J41" i="75" s="1"/>
  <c r="I22" i="75"/>
  <c r="V22" i="75"/>
  <c r="J22" i="75" s="1"/>
  <c r="I27" i="75"/>
  <c r="V27" i="75"/>
  <c r="J27" i="75" s="1"/>
  <c r="V26" i="75"/>
  <c r="J26" i="75" s="1"/>
  <c r="I26" i="75"/>
  <c r="J75" i="72"/>
  <c r="I71" i="72"/>
  <c r="J71" i="72"/>
  <c r="G36" i="74"/>
  <c r="G47" i="74"/>
  <c r="I75" i="72"/>
  <c r="H13" i="73"/>
  <c r="J47" i="74"/>
  <c r="G15" i="73"/>
  <c r="H13" i="74"/>
  <c r="G63" i="74"/>
  <c r="I22" i="73"/>
  <c r="I63" i="74"/>
  <c r="G71" i="72"/>
  <c r="G75" i="72"/>
  <c r="I47" i="73"/>
  <c r="G14" i="74"/>
  <c r="G48" i="73"/>
  <c r="H52" i="74"/>
  <c r="G16" i="74"/>
  <c r="S20" i="74"/>
  <c r="G20" i="74" s="1"/>
  <c r="T27" i="74"/>
  <c r="S27" i="74" s="1"/>
  <c r="G27" i="74" s="1"/>
  <c r="T25" i="74"/>
  <c r="T26" i="74"/>
  <c r="G51" i="74"/>
  <c r="G13" i="74"/>
  <c r="I16" i="74"/>
  <c r="G31" i="74"/>
  <c r="I51" i="74"/>
  <c r="G32" i="74"/>
  <c r="J32" i="74"/>
  <c r="G46" i="74"/>
  <c r="U52" i="74"/>
  <c r="J51" i="74"/>
  <c r="T53" i="74"/>
  <c r="G30" i="74"/>
  <c r="G23" i="74"/>
  <c r="H16" i="74"/>
  <c r="G67" i="74"/>
  <c r="V68" i="74"/>
  <c r="T74" i="74"/>
  <c r="U74" i="74" s="1"/>
  <c r="V63" i="74"/>
  <c r="J63" i="74" s="1"/>
  <c r="S72" i="74"/>
  <c r="G72" i="74" s="1"/>
  <c r="U53" i="74"/>
  <c r="S52" i="74"/>
  <c r="G52" i="74" s="1"/>
  <c r="U23" i="74"/>
  <c r="V23" i="74" s="1"/>
  <c r="J23" i="74" s="1"/>
  <c r="U24" i="74"/>
  <c r="V24" i="74" s="1"/>
  <c r="J24" i="74" s="1"/>
  <c r="S18" i="74"/>
  <c r="G18" i="74" s="1"/>
  <c r="V16" i="74"/>
  <c r="J16" i="74" s="1"/>
  <c r="H18" i="74"/>
  <c r="H20" i="74"/>
  <c r="V48" i="74"/>
  <c r="J48" i="74" s="1"/>
  <c r="I48" i="74"/>
  <c r="V34" i="74"/>
  <c r="J34" i="74" s="1"/>
  <c r="I34" i="74"/>
  <c r="U65" i="74"/>
  <c r="S65" i="74"/>
  <c r="V69" i="74"/>
  <c r="J69" i="74" s="1"/>
  <c r="I69" i="74"/>
  <c r="V17" i="74"/>
  <c r="J17" i="74" s="1"/>
  <c r="I17" i="74"/>
  <c r="V43" i="74"/>
  <c r="I15" i="74"/>
  <c r="V15" i="74"/>
  <c r="J15" i="74" s="1"/>
  <c r="S42" i="74"/>
  <c r="T59" i="74"/>
  <c r="U42" i="74"/>
  <c r="U73" i="74"/>
  <c r="S73" i="74"/>
  <c r="I21" i="74"/>
  <c r="V21" i="74"/>
  <c r="J21" i="74" s="1"/>
  <c r="V62" i="74"/>
  <c r="I30" i="74"/>
  <c r="V30" i="74"/>
  <c r="J30" i="74" s="1"/>
  <c r="S76" i="74"/>
  <c r="U76" i="74"/>
  <c r="I18" i="74"/>
  <c r="V18" i="74"/>
  <c r="J18" i="74" s="1"/>
  <c r="V39" i="74"/>
  <c r="U22" i="74"/>
  <c r="S22" i="74"/>
  <c r="G22" i="74" s="1"/>
  <c r="H22" i="74"/>
  <c r="U77" i="74"/>
  <c r="S77" i="74"/>
  <c r="U14" i="74"/>
  <c r="H24" i="74"/>
  <c r="U31" i="74"/>
  <c r="U36" i="74"/>
  <c r="T19" i="74"/>
  <c r="H28" i="74"/>
  <c r="H69" i="74"/>
  <c r="U72" i="74"/>
  <c r="H17" i="74"/>
  <c r="I23" i="74"/>
  <c r="U46" i="74"/>
  <c r="U67" i="74"/>
  <c r="U13" i="74"/>
  <c r="I28" i="74"/>
  <c r="T35" i="74"/>
  <c r="T40" i="74"/>
  <c r="T41" i="74" s="1"/>
  <c r="S41" i="74" s="1"/>
  <c r="T49" i="74"/>
  <c r="T55" i="74"/>
  <c r="U66" i="74"/>
  <c r="T56" i="74"/>
  <c r="T60" i="74"/>
  <c r="H34" i="74"/>
  <c r="H15" i="74"/>
  <c r="H21" i="74"/>
  <c r="H32" i="74"/>
  <c r="H47" i="74"/>
  <c r="H23" i="74"/>
  <c r="H26" i="74"/>
  <c r="U20" i="74"/>
  <c r="H48" i="74"/>
  <c r="S17" i="74"/>
  <c r="G17" i="74" s="1"/>
  <c r="I32" i="74"/>
  <c r="S34" i="74"/>
  <c r="G34" i="74" s="1"/>
  <c r="S39" i="74"/>
  <c r="S43" i="74"/>
  <c r="I47" i="74"/>
  <c r="S48" i="74"/>
  <c r="G48" i="74" s="1"/>
  <c r="S64" i="74"/>
  <c r="S24" i="74"/>
  <c r="G24" i="74" s="1"/>
  <c r="H67" i="74"/>
  <c r="S69" i="74"/>
  <c r="G69" i="74" s="1"/>
  <c r="H46" i="74"/>
  <c r="H36" i="74"/>
  <c r="S38" i="74"/>
  <c r="H72" i="74"/>
  <c r="S15" i="74"/>
  <c r="G15" i="74" s="1"/>
  <c r="S21" i="74"/>
  <c r="G21" i="74" s="1"/>
  <c r="S62" i="74"/>
  <c r="U72" i="73"/>
  <c r="V72" i="73" s="1"/>
  <c r="J72" i="73" s="1"/>
  <c r="S72" i="73"/>
  <c r="G72" i="73" s="1"/>
  <c r="T74" i="73"/>
  <c r="H72" i="73"/>
  <c r="T24" i="73"/>
  <c r="H24" i="73" s="1"/>
  <c r="U20" i="73"/>
  <c r="I20" i="73" s="1"/>
  <c r="S20" i="73"/>
  <c r="G20" i="73" s="1"/>
  <c r="T25" i="73"/>
  <c r="T26" i="73"/>
  <c r="S26" i="73" s="1"/>
  <c r="G26" i="73" s="1"/>
  <c r="G19" i="73"/>
  <c r="G23" i="73"/>
  <c r="G49" i="73"/>
  <c r="G13" i="73"/>
  <c r="U38" i="73"/>
  <c r="H22" i="73"/>
  <c r="S69" i="73"/>
  <c r="G69" i="73" s="1"/>
  <c r="I14" i="73"/>
  <c r="T42" i="73"/>
  <c r="U19" i="73"/>
  <c r="I19" i="73" s="1"/>
  <c r="T52" i="73"/>
  <c r="T53" i="73" s="1"/>
  <c r="S53" i="73" s="1"/>
  <c r="H20" i="73"/>
  <c r="S22" i="73"/>
  <c r="G22" i="73" s="1"/>
  <c r="H30" i="73"/>
  <c r="G30" i="73"/>
  <c r="T40" i="73"/>
  <c r="S40" i="73" s="1"/>
  <c r="G63" i="73"/>
  <c r="I16" i="73"/>
  <c r="G31" i="73"/>
  <c r="H46" i="73"/>
  <c r="T75" i="73"/>
  <c r="T55" i="73"/>
  <c r="H55" i="73" s="1"/>
  <c r="U71" i="73"/>
  <c r="V71" i="73" s="1"/>
  <c r="G47" i="73"/>
  <c r="T77" i="73"/>
  <c r="S75" i="73"/>
  <c r="S74" i="73"/>
  <c r="H49" i="73"/>
  <c r="U46" i="73"/>
  <c r="S38" i="73"/>
  <c r="S55" i="73"/>
  <c r="G55" i="73" s="1"/>
  <c r="H32" i="73"/>
  <c r="S32" i="73"/>
  <c r="G32" i="73" s="1"/>
  <c r="U32" i="73"/>
  <c r="I32" i="73" s="1"/>
  <c r="V23" i="73"/>
  <c r="J23" i="73" s="1"/>
  <c r="I23" i="73"/>
  <c r="H23" i="73"/>
  <c r="I21" i="73"/>
  <c r="V21" i="73"/>
  <c r="J21" i="73" s="1"/>
  <c r="G21" i="73"/>
  <c r="U27" i="73"/>
  <c r="V27" i="73" s="1"/>
  <c r="J27" i="73" s="1"/>
  <c r="S27" i="73"/>
  <c r="G27" i="73" s="1"/>
  <c r="U25" i="73"/>
  <c r="I25" i="73" s="1"/>
  <c r="S24" i="73"/>
  <c r="G24" i="73" s="1"/>
  <c r="H27" i="73"/>
  <c r="H19" i="73"/>
  <c r="H17" i="73"/>
  <c r="S17" i="73"/>
  <c r="G17" i="73" s="1"/>
  <c r="S16" i="73"/>
  <c r="G16" i="73" s="1"/>
  <c r="H14" i="73"/>
  <c r="S14" i="73"/>
  <c r="G14" i="73" s="1"/>
  <c r="U36" i="73"/>
  <c r="S36" i="73"/>
  <c r="G36" i="73" s="1"/>
  <c r="H36" i="73"/>
  <c r="U44" i="73"/>
  <c r="S44" i="73"/>
  <c r="V17" i="73"/>
  <c r="J17" i="73" s="1"/>
  <c r="I17" i="73"/>
  <c r="V46" i="73"/>
  <c r="J46" i="73" s="1"/>
  <c r="I46" i="73"/>
  <c r="U35" i="73"/>
  <c r="S35" i="73"/>
  <c r="G35" i="73" s="1"/>
  <c r="H35" i="73"/>
  <c r="S18" i="73"/>
  <c r="G18" i="73" s="1"/>
  <c r="U18" i="73"/>
  <c r="H18" i="73"/>
  <c r="U65" i="73"/>
  <c r="S65" i="73"/>
  <c r="V69" i="73"/>
  <c r="J69" i="73" s="1"/>
  <c r="I69" i="73"/>
  <c r="V14" i="73"/>
  <c r="J14" i="73" s="1"/>
  <c r="V47" i="73"/>
  <c r="J47" i="73" s="1"/>
  <c r="U73" i="73"/>
  <c r="U24" i="73"/>
  <c r="H26" i="73"/>
  <c r="U30" i="73"/>
  <c r="U40" i="73"/>
  <c r="U49" i="73"/>
  <c r="U55" i="73"/>
  <c r="T56" i="73"/>
  <c r="T67" i="73"/>
  <c r="U74" i="73"/>
  <c r="U26" i="73"/>
  <c r="V38" i="73"/>
  <c r="U15" i="73"/>
  <c r="V20" i="73"/>
  <c r="J20" i="73" s="1"/>
  <c r="U31" i="73"/>
  <c r="U41" i="73"/>
  <c r="S43" i="73"/>
  <c r="H48" i="73"/>
  <c r="T57" i="73"/>
  <c r="U63" i="73"/>
  <c r="S64" i="73"/>
  <c r="S68" i="73"/>
  <c r="I72" i="73"/>
  <c r="U75" i="73"/>
  <c r="T76" i="73"/>
  <c r="T34" i="73"/>
  <c r="T58" i="73"/>
  <c r="H63" i="73"/>
  <c r="U39" i="73"/>
  <c r="U48" i="73"/>
  <c r="H16" i="73"/>
  <c r="V16" i="73"/>
  <c r="J16" i="73" s="1"/>
  <c r="H21" i="73"/>
  <c r="V22" i="73"/>
  <c r="J22" i="73" s="1"/>
  <c r="V25" i="73"/>
  <c r="J25" i="73" s="1"/>
  <c r="H31" i="73"/>
  <c r="V32" i="73"/>
  <c r="J32" i="73" s="1"/>
  <c r="U43" i="73"/>
  <c r="S46" i="73"/>
  <c r="G46" i="73" s="1"/>
  <c r="S51" i="73"/>
  <c r="U64" i="73"/>
  <c r="U68" i="73"/>
  <c r="U62" i="73"/>
  <c r="U66" i="73"/>
  <c r="U13" i="73"/>
  <c r="T60" i="73"/>
  <c r="T64" i="72"/>
  <c r="S72" i="72"/>
  <c r="S70" i="72"/>
  <c r="T75" i="72"/>
  <c r="S75" i="72" s="1"/>
  <c r="S71" i="72"/>
  <c r="T73" i="72"/>
  <c r="S76" i="72"/>
  <c r="C13" i="1"/>
  <c r="C14" i="1"/>
  <c r="O62" i="71" s="1"/>
  <c r="C15" i="1"/>
  <c r="O63" i="71" s="1"/>
  <c r="C16" i="1"/>
  <c r="C17" i="1"/>
  <c r="O66" i="72"/>
  <c r="C19" i="1"/>
  <c r="I101" i="72"/>
  <c r="U68" i="72"/>
  <c r="S68" i="72"/>
  <c r="O68" i="72"/>
  <c r="H68" i="72" s="1"/>
  <c r="U67" i="72"/>
  <c r="P67" i="72"/>
  <c r="P66" i="72"/>
  <c r="U65" i="72"/>
  <c r="V65" i="72" s="1"/>
  <c r="S65" i="72"/>
  <c r="P65" i="72"/>
  <c r="P64" i="72"/>
  <c r="U63" i="72"/>
  <c r="S63" i="72"/>
  <c r="P63" i="72"/>
  <c r="P62" i="72"/>
  <c r="S61" i="72"/>
  <c r="P61" i="72"/>
  <c r="T58" i="72"/>
  <c r="S58" i="72" s="1"/>
  <c r="T57" i="72"/>
  <c r="T56" i="72"/>
  <c r="U56" i="72" s="1"/>
  <c r="S56" i="72"/>
  <c r="T55" i="72"/>
  <c r="T54" i="72"/>
  <c r="S54" i="72" s="1"/>
  <c r="S52" i="72"/>
  <c r="U51" i="72"/>
  <c r="V51" i="72" s="1"/>
  <c r="S50" i="72"/>
  <c r="U48" i="72"/>
  <c r="S48" i="72"/>
  <c r="S47" i="72"/>
  <c r="U46" i="72"/>
  <c r="V46" i="72" s="1"/>
  <c r="S46" i="72"/>
  <c r="U45" i="72"/>
  <c r="V45" i="72" s="1"/>
  <c r="S45" i="72"/>
  <c r="T43" i="72"/>
  <c r="S43" i="72" s="1"/>
  <c r="T59" i="72"/>
  <c r="U41" i="72"/>
  <c r="V41" i="72" s="1"/>
  <c r="S41" i="72"/>
  <c r="U40" i="72"/>
  <c r="V40" i="72" s="1"/>
  <c r="S40" i="72"/>
  <c r="U39" i="72"/>
  <c r="V39" i="72" s="1"/>
  <c r="S39" i="72"/>
  <c r="U38" i="72"/>
  <c r="V38" i="72" s="1"/>
  <c r="S38" i="72"/>
  <c r="U37" i="72"/>
  <c r="V37" i="72" s="1"/>
  <c r="S37" i="72"/>
  <c r="T35" i="72"/>
  <c r="U35" i="72" s="1"/>
  <c r="V35" i="72" s="1"/>
  <c r="T34" i="72"/>
  <c r="U34" i="72" s="1"/>
  <c r="U31" i="72"/>
  <c r="V31" i="72" s="1"/>
  <c r="S31" i="72"/>
  <c r="U30" i="72"/>
  <c r="V30" i="72" s="1"/>
  <c r="S30" i="72"/>
  <c r="T33" i="72"/>
  <c r="AB27" i="72"/>
  <c r="AA27" i="72"/>
  <c r="Y27" i="72"/>
  <c r="T27" i="72"/>
  <c r="S27" i="72" s="1"/>
  <c r="N27" i="72"/>
  <c r="AB26" i="72"/>
  <c r="AA26" i="72"/>
  <c r="Y26" i="72"/>
  <c r="T26" i="72"/>
  <c r="U26" i="72" s="1"/>
  <c r="N26" i="72"/>
  <c r="AB25" i="72"/>
  <c r="AA25" i="72"/>
  <c r="Y25" i="72"/>
  <c r="T25" i="72"/>
  <c r="U25" i="72" s="1"/>
  <c r="N25" i="72"/>
  <c r="T24" i="72"/>
  <c r="U24" i="72" s="1"/>
  <c r="N24" i="72"/>
  <c r="AB23" i="72"/>
  <c r="AA23" i="72"/>
  <c r="Y23" i="72"/>
  <c r="U23" i="72"/>
  <c r="V23" i="72" s="1"/>
  <c r="S23" i="72"/>
  <c r="N23" i="72"/>
  <c r="U22" i="72"/>
  <c r="V22" i="72" s="1"/>
  <c r="S22" i="72"/>
  <c r="N22" i="72"/>
  <c r="U21" i="72"/>
  <c r="V21" i="72" s="1"/>
  <c r="S21" i="72"/>
  <c r="N21" i="72"/>
  <c r="U20" i="72"/>
  <c r="S20" i="72"/>
  <c r="N20" i="72"/>
  <c r="U19" i="72"/>
  <c r="V19" i="72" s="1"/>
  <c r="S19" i="72"/>
  <c r="N19" i="72"/>
  <c r="T18" i="72"/>
  <c r="U18" i="72" s="1"/>
  <c r="V18" i="72" s="1"/>
  <c r="N18" i="72"/>
  <c r="U17" i="72"/>
  <c r="S17" i="72"/>
  <c r="N17" i="72"/>
  <c r="U16" i="72"/>
  <c r="V16" i="72" s="1"/>
  <c r="S16" i="72"/>
  <c r="N16" i="72"/>
  <c r="U15" i="72"/>
  <c r="V15" i="72" s="1"/>
  <c r="S15" i="72"/>
  <c r="N15" i="72"/>
  <c r="U14" i="72"/>
  <c r="V14" i="72" s="1"/>
  <c r="S14" i="72"/>
  <c r="N14" i="72"/>
  <c r="U13" i="72"/>
  <c r="S13" i="72"/>
  <c r="N13" i="72"/>
  <c r="G5" i="72"/>
  <c r="J75" i="71"/>
  <c r="I75" i="71"/>
  <c r="H75" i="71"/>
  <c r="G75" i="71"/>
  <c r="N74" i="71"/>
  <c r="T75" i="71"/>
  <c r="T74" i="71"/>
  <c r="U74" i="71" s="1"/>
  <c r="V74" i="71" s="1"/>
  <c r="U75" i="71"/>
  <c r="V75" i="71" s="1"/>
  <c r="I99" i="71"/>
  <c r="U68" i="71"/>
  <c r="V68" i="71" s="1"/>
  <c r="S68" i="71"/>
  <c r="O68" i="71"/>
  <c r="H68" i="71" s="1"/>
  <c r="T67" i="71"/>
  <c r="S67" i="71" s="1"/>
  <c r="P67" i="71"/>
  <c r="P66" i="71"/>
  <c r="O66" i="71"/>
  <c r="U65" i="71"/>
  <c r="V65" i="71" s="1"/>
  <c r="S65" i="71"/>
  <c r="P65" i="71"/>
  <c r="P64" i="71"/>
  <c r="V63" i="71"/>
  <c r="U63" i="71"/>
  <c r="S63" i="71"/>
  <c r="P63" i="71"/>
  <c r="T62" i="71"/>
  <c r="T64" i="71" s="1"/>
  <c r="P62" i="71"/>
  <c r="T61" i="71"/>
  <c r="P61" i="71"/>
  <c r="O61" i="71"/>
  <c r="T58" i="71"/>
  <c r="S58" i="71" s="1"/>
  <c r="T57" i="71"/>
  <c r="U57" i="71" s="1"/>
  <c r="T56" i="71"/>
  <c r="U56" i="71" s="1"/>
  <c r="T55" i="71"/>
  <c r="U55" i="71" s="1"/>
  <c r="T54" i="71"/>
  <c r="T52" i="71"/>
  <c r="U52" i="71" s="1"/>
  <c r="V52" i="71" s="1"/>
  <c r="T51" i="71"/>
  <c r="U51" i="71" s="1"/>
  <c r="V51" i="71" s="1"/>
  <c r="T50" i="71"/>
  <c r="S50" i="71" s="1"/>
  <c r="U48" i="71"/>
  <c r="V48" i="71" s="1"/>
  <c r="S48" i="71"/>
  <c r="T47" i="71"/>
  <c r="U46" i="71"/>
  <c r="S46" i="71"/>
  <c r="U45" i="71"/>
  <c r="S45" i="71"/>
  <c r="T43" i="71"/>
  <c r="T42" i="71"/>
  <c r="U42" i="71" s="1"/>
  <c r="U41" i="71"/>
  <c r="S41" i="71"/>
  <c r="U40" i="71"/>
  <c r="S40" i="71"/>
  <c r="U39" i="71"/>
  <c r="S39" i="71"/>
  <c r="U38" i="71"/>
  <c r="S38" i="71"/>
  <c r="U37" i="71"/>
  <c r="S37" i="71"/>
  <c r="T35" i="71"/>
  <c r="S35" i="71" s="1"/>
  <c r="T34" i="71"/>
  <c r="S34" i="71" s="1"/>
  <c r="U31" i="71"/>
  <c r="V31" i="71" s="1"/>
  <c r="S31" i="71"/>
  <c r="U30" i="71"/>
  <c r="V30" i="71" s="1"/>
  <c r="S30" i="71"/>
  <c r="T29" i="71"/>
  <c r="T33" i="71" s="1"/>
  <c r="AB27" i="71"/>
  <c r="AA27" i="71"/>
  <c r="Y27" i="71"/>
  <c r="T27" i="71"/>
  <c r="S27" i="71" s="1"/>
  <c r="N27" i="71"/>
  <c r="AB26" i="71"/>
  <c r="AA26" i="71"/>
  <c r="Y26" i="71"/>
  <c r="T26" i="71"/>
  <c r="N26" i="71"/>
  <c r="AB25" i="71"/>
  <c r="AA25" i="71"/>
  <c r="Y25" i="71"/>
  <c r="T25" i="71"/>
  <c r="S25" i="71" s="1"/>
  <c r="N25" i="71"/>
  <c r="T24" i="71"/>
  <c r="U24" i="71" s="1"/>
  <c r="N24" i="71"/>
  <c r="AB23" i="71"/>
  <c r="AA23" i="71"/>
  <c r="Y23" i="71"/>
  <c r="U23" i="71"/>
  <c r="V23" i="71" s="1"/>
  <c r="S23" i="71"/>
  <c r="N23" i="71"/>
  <c r="U22" i="71"/>
  <c r="S22" i="71"/>
  <c r="N22" i="71"/>
  <c r="U21" i="71"/>
  <c r="V21" i="71" s="1"/>
  <c r="S21" i="71"/>
  <c r="N21" i="71"/>
  <c r="U20" i="71"/>
  <c r="S20" i="71"/>
  <c r="N20" i="71"/>
  <c r="U19" i="71"/>
  <c r="V19" i="71" s="1"/>
  <c r="S19" i="71"/>
  <c r="N19" i="71"/>
  <c r="T18" i="71"/>
  <c r="S18" i="71" s="1"/>
  <c r="N18" i="71"/>
  <c r="U17" i="71"/>
  <c r="S17" i="71"/>
  <c r="N17" i="71"/>
  <c r="U16" i="71"/>
  <c r="V16" i="71" s="1"/>
  <c r="S16" i="71"/>
  <c r="N16" i="71"/>
  <c r="U15" i="71"/>
  <c r="S15" i="71"/>
  <c r="N15" i="71"/>
  <c r="U14" i="71"/>
  <c r="S14" i="71"/>
  <c r="N14" i="71"/>
  <c r="U13" i="71"/>
  <c r="S13" i="71"/>
  <c r="N13" i="71"/>
  <c r="G5" i="71"/>
  <c r="N27" i="70"/>
  <c r="N26" i="70"/>
  <c r="N25" i="70"/>
  <c r="N24" i="70"/>
  <c r="N23" i="70"/>
  <c r="N22" i="70"/>
  <c r="N21" i="70"/>
  <c r="N20" i="70"/>
  <c r="N19" i="70"/>
  <c r="N18" i="70"/>
  <c r="N17" i="70"/>
  <c r="N16" i="70"/>
  <c r="N15" i="70"/>
  <c r="N14" i="70"/>
  <c r="N13" i="70"/>
  <c r="G76" i="74" l="1"/>
  <c r="H75" i="75"/>
  <c r="G75" i="75"/>
  <c r="I75" i="75"/>
  <c r="H67" i="75"/>
  <c r="G67" i="75"/>
  <c r="I67" i="75"/>
  <c r="J67" i="75"/>
  <c r="O74" i="75"/>
  <c r="O66" i="75"/>
  <c r="O75" i="74"/>
  <c r="H75" i="74" s="1"/>
  <c r="O75" i="73"/>
  <c r="I75" i="73" s="1"/>
  <c r="O66" i="73"/>
  <c r="I66" i="73" s="1"/>
  <c r="O74" i="72"/>
  <c r="O66" i="74"/>
  <c r="I66" i="74" s="1"/>
  <c r="O73" i="75"/>
  <c r="O65" i="75"/>
  <c r="O65" i="74"/>
  <c r="H65" i="74" s="1"/>
  <c r="O73" i="72"/>
  <c r="O74" i="74"/>
  <c r="I74" i="74" s="1"/>
  <c r="O65" i="73"/>
  <c r="H65" i="73" s="1"/>
  <c r="O74" i="73"/>
  <c r="H74" i="73" s="1"/>
  <c r="O63" i="72"/>
  <c r="H63" i="72" s="1"/>
  <c r="O64" i="75"/>
  <c r="O72" i="75"/>
  <c r="O73" i="74"/>
  <c r="H73" i="74" s="1"/>
  <c r="O64" i="74"/>
  <c r="O64" i="73"/>
  <c r="H64" i="73" s="1"/>
  <c r="O72" i="72"/>
  <c r="O73" i="73"/>
  <c r="O61" i="72"/>
  <c r="H61" i="72" s="1"/>
  <c r="O62" i="75"/>
  <c r="O70" i="75"/>
  <c r="O70" i="72"/>
  <c r="O71" i="73"/>
  <c r="J71" i="73" s="1"/>
  <c r="O71" i="74"/>
  <c r="H71" i="74" s="1"/>
  <c r="O62" i="74"/>
  <c r="O62" i="73"/>
  <c r="O68" i="75"/>
  <c r="O76" i="75"/>
  <c r="O77" i="74"/>
  <c r="H77" i="74" s="1"/>
  <c r="O77" i="73"/>
  <c r="H77" i="73" s="1"/>
  <c r="O76" i="72"/>
  <c r="O68" i="73"/>
  <c r="H68" i="73" s="1"/>
  <c r="O68" i="74"/>
  <c r="J68" i="74" s="1"/>
  <c r="V58" i="75"/>
  <c r="J58" i="75" s="1"/>
  <c r="I58" i="75"/>
  <c r="V53" i="74"/>
  <c r="J53" i="74" s="1"/>
  <c r="I53" i="74"/>
  <c r="U27" i="74"/>
  <c r="T58" i="74"/>
  <c r="H27" i="74"/>
  <c r="U41" i="74"/>
  <c r="S53" i="74"/>
  <c r="G53" i="74" s="1"/>
  <c r="H53" i="74"/>
  <c r="V52" i="74"/>
  <c r="J52" i="74" s="1"/>
  <c r="I52" i="74"/>
  <c r="V74" i="74"/>
  <c r="S74" i="74"/>
  <c r="I24" i="74"/>
  <c r="S26" i="74"/>
  <c r="G26" i="74" s="1"/>
  <c r="U26" i="74"/>
  <c r="I20" i="74"/>
  <c r="V20" i="74"/>
  <c r="J20" i="74" s="1"/>
  <c r="S60" i="74"/>
  <c r="G60" i="74" s="1"/>
  <c r="H60" i="74"/>
  <c r="U60" i="74"/>
  <c r="I31" i="74"/>
  <c r="V31" i="74"/>
  <c r="J31" i="74" s="1"/>
  <c r="S56" i="74"/>
  <c r="G56" i="74" s="1"/>
  <c r="H56" i="74"/>
  <c r="U56" i="74"/>
  <c r="U71" i="74"/>
  <c r="S71" i="74"/>
  <c r="H55" i="74"/>
  <c r="U55" i="74"/>
  <c r="S55" i="74"/>
  <c r="G55" i="74" s="1"/>
  <c r="I14" i="74"/>
  <c r="V14" i="74"/>
  <c r="J14" i="74" s="1"/>
  <c r="H49" i="74"/>
  <c r="U49" i="74"/>
  <c r="S49" i="74"/>
  <c r="G49" i="74" s="1"/>
  <c r="I76" i="74"/>
  <c r="V76" i="74"/>
  <c r="J76" i="74" s="1"/>
  <c r="I46" i="74"/>
  <c r="V46" i="74"/>
  <c r="J46" i="74" s="1"/>
  <c r="V66" i="74"/>
  <c r="U44" i="74"/>
  <c r="S44" i="74"/>
  <c r="V73" i="74"/>
  <c r="T57" i="74"/>
  <c r="U40" i="74"/>
  <c r="S40" i="74"/>
  <c r="I72" i="74"/>
  <c r="V72" i="74"/>
  <c r="J72" i="74" s="1"/>
  <c r="V77" i="74"/>
  <c r="V42" i="74"/>
  <c r="U75" i="74"/>
  <c r="S75" i="74"/>
  <c r="V41" i="74"/>
  <c r="H35" i="74"/>
  <c r="U35" i="74"/>
  <c r="S35" i="74"/>
  <c r="G35" i="74" s="1"/>
  <c r="U58" i="74"/>
  <c r="S58" i="74"/>
  <c r="G58" i="74" s="1"/>
  <c r="H58" i="74"/>
  <c r="I36" i="74"/>
  <c r="V36" i="74"/>
  <c r="J36" i="74" s="1"/>
  <c r="H25" i="74"/>
  <c r="U25" i="74"/>
  <c r="S25" i="74"/>
  <c r="G25" i="74" s="1"/>
  <c r="H59" i="74"/>
  <c r="U59" i="74"/>
  <c r="S59" i="74"/>
  <c r="G59" i="74" s="1"/>
  <c r="I13" i="74"/>
  <c r="V13" i="74"/>
  <c r="J13" i="74" s="1"/>
  <c r="H19" i="74"/>
  <c r="U19" i="74"/>
  <c r="S19" i="74"/>
  <c r="G19" i="74" s="1"/>
  <c r="I22" i="74"/>
  <c r="V22" i="74"/>
  <c r="J22" i="74" s="1"/>
  <c r="V65" i="74"/>
  <c r="I67" i="74"/>
  <c r="V67" i="74"/>
  <c r="J67" i="74" s="1"/>
  <c r="I27" i="73"/>
  <c r="V19" i="73"/>
  <c r="J19" i="73" s="1"/>
  <c r="T59" i="73"/>
  <c r="S42" i="73"/>
  <c r="U42" i="73"/>
  <c r="U53" i="73"/>
  <c r="V53" i="73" s="1"/>
  <c r="U77" i="73"/>
  <c r="S77" i="73"/>
  <c r="H25" i="73"/>
  <c r="S25" i="73"/>
  <c r="G25" i="73" s="1"/>
  <c r="V68" i="73"/>
  <c r="H58" i="73"/>
  <c r="U58" i="73"/>
  <c r="S58" i="73"/>
  <c r="G58" i="73" s="1"/>
  <c r="I63" i="73"/>
  <c r="V63" i="73"/>
  <c r="J63" i="73" s="1"/>
  <c r="V73" i="73"/>
  <c r="V64" i="73"/>
  <c r="H34" i="73"/>
  <c r="U34" i="73"/>
  <c r="S34" i="73"/>
  <c r="G34" i="73" s="1"/>
  <c r="H57" i="73"/>
  <c r="U57" i="73"/>
  <c r="S57" i="73"/>
  <c r="G57" i="73" s="1"/>
  <c r="I15" i="73"/>
  <c r="V15" i="73"/>
  <c r="J15" i="73" s="1"/>
  <c r="H56" i="73"/>
  <c r="U56" i="73"/>
  <c r="S56" i="73"/>
  <c r="G56" i="73" s="1"/>
  <c r="V65" i="73"/>
  <c r="V62" i="73"/>
  <c r="H76" i="73"/>
  <c r="U76" i="73"/>
  <c r="S76" i="73"/>
  <c r="G76" i="73" s="1"/>
  <c r="I55" i="73"/>
  <c r="V55" i="73"/>
  <c r="J55" i="73" s="1"/>
  <c r="V35" i="73"/>
  <c r="J35" i="73" s="1"/>
  <c r="I35" i="73"/>
  <c r="I24" i="73"/>
  <c r="V24" i="73"/>
  <c r="J24" i="73" s="1"/>
  <c r="V75" i="73"/>
  <c r="I49" i="73"/>
  <c r="V49" i="73"/>
  <c r="J49" i="73" s="1"/>
  <c r="V18" i="73"/>
  <c r="J18" i="73" s="1"/>
  <c r="I18" i="73"/>
  <c r="V44" i="73"/>
  <c r="V13" i="73"/>
  <c r="J13" i="73" s="1"/>
  <c r="I13" i="73"/>
  <c r="I48" i="73"/>
  <c r="V48" i="73"/>
  <c r="J48" i="73" s="1"/>
  <c r="V74" i="73"/>
  <c r="I30" i="73"/>
  <c r="V30" i="73"/>
  <c r="J30" i="73" s="1"/>
  <c r="U60" i="73"/>
  <c r="S60" i="73"/>
  <c r="G60" i="73" s="1"/>
  <c r="H60" i="73"/>
  <c r="V43" i="73"/>
  <c r="V41" i="73"/>
  <c r="I26" i="73"/>
  <c r="V26" i="73"/>
  <c r="J26" i="73" s="1"/>
  <c r="V40" i="73"/>
  <c r="V66" i="73"/>
  <c r="V39" i="73"/>
  <c r="V31" i="73"/>
  <c r="J31" i="73" s="1"/>
  <c r="I31" i="73"/>
  <c r="S67" i="73"/>
  <c r="G67" i="73" s="1"/>
  <c r="H67" i="73"/>
  <c r="U67" i="73"/>
  <c r="V36" i="73"/>
  <c r="J36" i="73" s="1"/>
  <c r="I36" i="73"/>
  <c r="U75" i="72"/>
  <c r="V75" i="72" s="1"/>
  <c r="U73" i="72"/>
  <c r="V73" i="72" s="1"/>
  <c r="S73" i="72"/>
  <c r="S51" i="72"/>
  <c r="S24" i="72"/>
  <c r="U47" i="72"/>
  <c r="V47" i="72" s="1"/>
  <c r="S35" i="72"/>
  <c r="U58" i="72"/>
  <c r="V58" i="72" s="1"/>
  <c r="U54" i="72"/>
  <c r="V54" i="72" s="1"/>
  <c r="G68" i="72"/>
  <c r="U27" i="72"/>
  <c r="V27" i="72" s="1"/>
  <c r="U50" i="72"/>
  <c r="V50" i="72" s="1"/>
  <c r="I68" i="72"/>
  <c r="S34" i="72"/>
  <c r="S29" i="72"/>
  <c r="U29" i="72"/>
  <c r="V29" i="72" s="1"/>
  <c r="S18" i="72"/>
  <c r="S66" i="72"/>
  <c r="G66" i="72" s="1"/>
  <c r="V68" i="72"/>
  <c r="J68" i="72" s="1"/>
  <c r="U42" i="72"/>
  <c r="V42" i="72" s="1"/>
  <c r="S25" i="72"/>
  <c r="O62" i="72"/>
  <c r="H62" i="72" s="1"/>
  <c r="I63" i="72"/>
  <c r="U59" i="72"/>
  <c r="S59" i="72"/>
  <c r="V26" i="72"/>
  <c r="V67" i="72"/>
  <c r="V34" i="72"/>
  <c r="V25" i="72"/>
  <c r="U64" i="72"/>
  <c r="S64" i="72"/>
  <c r="V17" i="72"/>
  <c r="S26" i="72"/>
  <c r="U43" i="72"/>
  <c r="U52" i="72"/>
  <c r="V52" i="72" s="1"/>
  <c r="S55" i="72"/>
  <c r="U61" i="72"/>
  <c r="S62" i="72"/>
  <c r="S67" i="72"/>
  <c r="S33" i="72"/>
  <c r="V48" i="72"/>
  <c r="U55" i="72"/>
  <c r="S57" i="72"/>
  <c r="U62" i="72"/>
  <c r="V13" i="72"/>
  <c r="V20" i="72"/>
  <c r="V24" i="72"/>
  <c r="U33" i="72"/>
  <c r="V56" i="72"/>
  <c r="U57" i="72"/>
  <c r="V63" i="72"/>
  <c r="S42" i="72"/>
  <c r="S75" i="71"/>
  <c r="S74" i="71"/>
  <c r="U27" i="71"/>
  <c r="V27" i="71" s="1"/>
  <c r="J63" i="71"/>
  <c r="V45" i="71"/>
  <c r="H61" i="71"/>
  <c r="V46" i="71"/>
  <c r="S24" i="71"/>
  <c r="S42" i="71"/>
  <c r="S51" i="71"/>
  <c r="J68" i="71"/>
  <c r="T66" i="71"/>
  <c r="U66" i="71" s="1"/>
  <c r="V57" i="71"/>
  <c r="V14" i="71"/>
  <c r="S29" i="71"/>
  <c r="V37" i="71"/>
  <c r="V39" i="71"/>
  <c r="V41" i="71"/>
  <c r="V13" i="71"/>
  <c r="U58" i="71"/>
  <c r="U34" i="71"/>
  <c r="S57" i="71"/>
  <c r="G63" i="71"/>
  <c r="G68" i="71"/>
  <c r="U25" i="71"/>
  <c r="T59" i="71"/>
  <c r="S59" i="71" s="1"/>
  <c r="H63" i="71"/>
  <c r="U54" i="71"/>
  <c r="V38" i="71"/>
  <c r="V40" i="71"/>
  <c r="I63" i="71"/>
  <c r="V20" i="71"/>
  <c r="U47" i="71"/>
  <c r="S47" i="71"/>
  <c r="S54" i="71"/>
  <c r="S56" i="71"/>
  <c r="V56" i="71"/>
  <c r="V24" i="71"/>
  <c r="U33" i="71"/>
  <c r="S33" i="71"/>
  <c r="V55" i="71"/>
  <c r="S64" i="71"/>
  <c r="U64" i="71"/>
  <c r="V15" i="71"/>
  <c r="V22" i="71"/>
  <c r="U35" i="71"/>
  <c r="S43" i="71"/>
  <c r="U50" i="71"/>
  <c r="V50" i="71" s="1"/>
  <c r="S52" i="71"/>
  <c r="S61" i="71"/>
  <c r="G61" i="71" s="1"/>
  <c r="I68" i="71"/>
  <c r="V17" i="71"/>
  <c r="S26" i="71"/>
  <c r="V42" i="71"/>
  <c r="U43" i="71"/>
  <c r="S55" i="71"/>
  <c r="U61" i="71"/>
  <c r="S62" i="71"/>
  <c r="G62" i="71" s="1"/>
  <c r="U18" i="71"/>
  <c r="U26" i="71"/>
  <c r="U62" i="71"/>
  <c r="U67" i="71"/>
  <c r="U29" i="71"/>
  <c r="H62" i="71"/>
  <c r="O68" i="70"/>
  <c r="T52" i="70"/>
  <c r="T51" i="70"/>
  <c r="T50" i="70"/>
  <c r="T42" i="70"/>
  <c r="T29" i="70"/>
  <c r="U68" i="70"/>
  <c r="I68" i="70" s="1"/>
  <c r="S68" i="70"/>
  <c r="H68" i="70"/>
  <c r="T67" i="70"/>
  <c r="T62" i="70"/>
  <c r="T61" i="70"/>
  <c r="T47" i="70"/>
  <c r="T43" i="70"/>
  <c r="G75" i="74" l="1"/>
  <c r="G65" i="73"/>
  <c r="H75" i="73"/>
  <c r="G75" i="73"/>
  <c r="J65" i="73"/>
  <c r="I65" i="73"/>
  <c r="G63" i="72"/>
  <c r="J74" i="73"/>
  <c r="I74" i="73"/>
  <c r="J75" i="73"/>
  <c r="J66" i="74"/>
  <c r="G74" i="73"/>
  <c r="J66" i="73"/>
  <c r="J64" i="73"/>
  <c r="I77" i="74"/>
  <c r="G74" i="74"/>
  <c r="H66" i="74"/>
  <c r="G66" i="74"/>
  <c r="H74" i="74"/>
  <c r="J74" i="74"/>
  <c r="I74" i="72"/>
  <c r="H74" i="72"/>
  <c r="J74" i="72"/>
  <c r="G74" i="72"/>
  <c r="G66" i="73"/>
  <c r="H66" i="73"/>
  <c r="J63" i="72"/>
  <c r="I65" i="74"/>
  <c r="G66" i="75"/>
  <c r="H66" i="75"/>
  <c r="I66" i="75"/>
  <c r="J66" i="75"/>
  <c r="H74" i="75"/>
  <c r="I74" i="75"/>
  <c r="G74" i="75"/>
  <c r="J74" i="75"/>
  <c r="J65" i="74"/>
  <c r="J73" i="74"/>
  <c r="H73" i="72"/>
  <c r="G73" i="72"/>
  <c r="J73" i="72"/>
  <c r="I73" i="72"/>
  <c r="I73" i="74"/>
  <c r="G65" i="74"/>
  <c r="H65" i="75"/>
  <c r="I65" i="75"/>
  <c r="G65" i="75"/>
  <c r="J65" i="75"/>
  <c r="H73" i="75"/>
  <c r="G73" i="75"/>
  <c r="I73" i="75"/>
  <c r="J73" i="75"/>
  <c r="G61" i="72"/>
  <c r="G73" i="74"/>
  <c r="H73" i="73"/>
  <c r="G73" i="73"/>
  <c r="J72" i="72"/>
  <c r="G72" i="72"/>
  <c r="H72" i="72"/>
  <c r="I72" i="72"/>
  <c r="I64" i="73"/>
  <c r="H64" i="74"/>
  <c r="I64" i="74"/>
  <c r="J64" i="74"/>
  <c r="J73" i="73"/>
  <c r="I73" i="73"/>
  <c r="G64" i="73"/>
  <c r="H72" i="75"/>
  <c r="G72" i="75"/>
  <c r="I72" i="75"/>
  <c r="J72" i="75"/>
  <c r="G64" i="75"/>
  <c r="H64" i="75"/>
  <c r="I64" i="75"/>
  <c r="J64" i="75"/>
  <c r="G64" i="74"/>
  <c r="H62" i="74"/>
  <c r="I62" i="74"/>
  <c r="G62" i="73"/>
  <c r="H62" i="73"/>
  <c r="J62" i="73"/>
  <c r="J68" i="73"/>
  <c r="I62" i="73"/>
  <c r="I68" i="73"/>
  <c r="G71" i="73"/>
  <c r="H71" i="73"/>
  <c r="I71" i="73"/>
  <c r="G71" i="74"/>
  <c r="G68" i="73"/>
  <c r="J62" i="74"/>
  <c r="H70" i="75"/>
  <c r="G70" i="75"/>
  <c r="I70" i="75"/>
  <c r="J70" i="75"/>
  <c r="I70" i="72"/>
  <c r="J70" i="72"/>
  <c r="G70" i="72"/>
  <c r="H70" i="72"/>
  <c r="G62" i="74"/>
  <c r="H62" i="75"/>
  <c r="G62" i="75"/>
  <c r="I62" i="75"/>
  <c r="J62" i="75"/>
  <c r="J77" i="74"/>
  <c r="G77" i="74"/>
  <c r="I68" i="74"/>
  <c r="G68" i="74"/>
  <c r="H68" i="74"/>
  <c r="G68" i="75"/>
  <c r="H68" i="75"/>
  <c r="I68" i="75"/>
  <c r="J68" i="75"/>
  <c r="G77" i="73"/>
  <c r="I76" i="72"/>
  <c r="J76" i="72"/>
  <c r="H76" i="72"/>
  <c r="G76" i="72"/>
  <c r="H76" i="75"/>
  <c r="G76" i="75"/>
  <c r="I76" i="75"/>
  <c r="J76" i="75"/>
  <c r="I27" i="74"/>
  <c r="V27" i="74"/>
  <c r="J27" i="74" s="1"/>
  <c r="V26" i="74"/>
  <c r="J26" i="74" s="1"/>
  <c r="I26" i="74"/>
  <c r="V58" i="74"/>
  <c r="J58" i="74" s="1"/>
  <c r="I58" i="74"/>
  <c r="I55" i="74"/>
  <c r="V55" i="74"/>
  <c r="J55" i="74" s="1"/>
  <c r="V40" i="74"/>
  <c r="I56" i="74"/>
  <c r="V56" i="74"/>
  <c r="J56" i="74" s="1"/>
  <c r="I19" i="74"/>
  <c r="V19" i="74"/>
  <c r="J19" i="74" s="1"/>
  <c r="V44" i="74"/>
  <c r="I35" i="74"/>
  <c r="V35" i="74"/>
  <c r="J35" i="74" s="1"/>
  <c r="V25" i="74"/>
  <c r="J25" i="74" s="1"/>
  <c r="I25" i="74"/>
  <c r="V75" i="74"/>
  <c r="J75" i="74" s="1"/>
  <c r="I75" i="74"/>
  <c r="I49" i="74"/>
  <c r="V49" i="74"/>
  <c r="J49" i="74" s="1"/>
  <c r="I60" i="74"/>
  <c r="V60" i="74"/>
  <c r="J60" i="74" s="1"/>
  <c r="I59" i="74"/>
  <c r="V59" i="74"/>
  <c r="J59" i="74" s="1"/>
  <c r="V71" i="74"/>
  <c r="J71" i="74" s="1"/>
  <c r="I71" i="74"/>
  <c r="U57" i="74"/>
  <c r="S57" i="74"/>
  <c r="G57" i="74" s="1"/>
  <c r="H57" i="74"/>
  <c r="I77" i="73"/>
  <c r="V77" i="73"/>
  <c r="J77" i="73" s="1"/>
  <c r="V42" i="73"/>
  <c r="S59" i="73"/>
  <c r="G59" i="73" s="1"/>
  <c r="H59" i="73"/>
  <c r="U59" i="73"/>
  <c r="I67" i="73"/>
  <c r="V67" i="73"/>
  <c r="J67" i="73" s="1"/>
  <c r="I56" i="73"/>
  <c r="V56" i="73"/>
  <c r="J56" i="73" s="1"/>
  <c r="I34" i="73"/>
  <c r="V34" i="73"/>
  <c r="J34" i="73" s="1"/>
  <c r="I57" i="73"/>
  <c r="V57" i="73"/>
  <c r="J57" i="73" s="1"/>
  <c r="V60" i="73"/>
  <c r="J60" i="73" s="1"/>
  <c r="I60" i="73"/>
  <c r="I76" i="73"/>
  <c r="V76" i="73"/>
  <c r="J76" i="73" s="1"/>
  <c r="V58" i="73"/>
  <c r="J58" i="73" s="1"/>
  <c r="I58" i="73"/>
  <c r="H66" i="72"/>
  <c r="U66" i="72"/>
  <c r="I66" i="72" s="1"/>
  <c r="G62" i="72"/>
  <c r="I62" i="72"/>
  <c r="V62" i="72"/>
  <c r="J62" i="72" s="1"/>
  <c r="V57" i="72"/>
  <c r="V59" i="72"/>
  <c r="V55" i="72"/>
  <c r="V43" i="72"/>
  <c r="V64" i="72"/>
  <c r="I61" i="72"/>
  <c r="V61" i="72"/>
  <c r="J61" i="72" s="1"/>
  <c r="V33" i="72"/>
  <c r="U59" i="71"/>
  <c r="V25" i="71"/>
  <c r="V58" i="71"/>
  <c r="S66" i="71"/>
  <c r="G66" i="71" s="1"/>
  <c r="V34" i="71"/>
  <c r="H66" i="71"/>
  <c r="V47" i="71"/>
  <c r="V54" i="71"/>
  <c r="I61" i="71"/>
  <c r="V61" i="71"/>
  <c r="J61" i="71" s="1"/>
  <c r="I66" i="71"/>
  <c r="V66" i="71"/>
  <c r="J66" i="71" s="1"/>
  <c r="V29" i="71"/>
  <c r="V67" i="71"/>
  <c r="V64" i="71"/>
  <c r="I62" i="71"/>
  <c r="V62" i="71"/>
  <c r="J62" i="71" s="1"/>
  <c r="V43" i="71"/>
  <c r="V26" i="71"/>
  <c r="V35" i="71"/>
  <c r="V33" i="71"/>
  <c r="V18" i="71"/>
  <c r="V68" i="70"/>
  <c r="J68" i="70" s="1"/>
  <c r="G68" i="70"/>
  <c r="I93" i="70"/>
  <c r="U67" i="70"/>
  <c r="V67" i="70" s="1"/>
  <c r="S67" i="70"/>
  <c r="P67" i="70"/>
  <c r="T66" i="70"/>
  <c r="P66" i="70"/>
  <c r="O66" i="70"/>
  <c r="U65" i="70"/>
  <c r="S65" i="70"/>
  <c r="P65" i="70"/>
  <c r="T64" i="70"/>
  <c r="S64" i="70" s="1"/>
  <c r="P64" i="70"/>
  <c r="U63" i="70"/>
  <c r="S63" i="70"/>
  <c r="P63" i="70"/>
  <c r="O63" i="70"/>
  <c r="H63" i="70" s="1"/>
  <c r="U62" i="70"/>
  <c r="V62" i="70" s="1"/>
  <c r="S62" i="70"/>
  <c r="P62" i="70"/>
  <c r="O62" i="70"/>
  <c r="I62" i="70" s="1"/>
  <c r="U61" i="70"/>
  <c r="S61" i="70"/>
  <c r="P61" i="70"/>
  <c r="O61" i="70"/>
  <c r="T58" i="70"/>
  <c r="T57" i="70"/>
  <c r="S57" i="70" s="1"/>
  <c r="T56" i="70"/>
  <c r="U56" i="70" s="1"/>
  <c r="T55" i="70"/>
  <c r="U55" i="70" s="1"/>
  <c r="S55" i="70"/>
  <c r="T54" i="70"/>
  <c r="U54" i="70" s="1"/>
  <c r="U52" i="70"/>
  <c r="V52" i="70" s="1"/>
  <c r="S52" i="70"/>
  <c r="U51" i="70"/>
  <c r="V51" i="70" s="1"/>
  <c r="S51" i="70"/>
  <c r="U50" i="70"/>
  <c r="V50" i="70" s="1"/>
  <c r="S50" i="70"/>
  <c r="U48" i="70"/>
  <c r="S48" i="70"/>
  <c r="S47" i="70"/>
  <c r="U45" i="70"/>
  <c r="S45" i="70"/>
  <c r="S43" i="70"/>
  <c r="S42" i="70"/>
  <c r="U41" i="70"/>
  <c r="S41" i="70"/>
  <c r="U40" i="70"/>
  <c r="S40" i="70"/>
  <c r="U39" i="70"/>
  <c r="S39" i="70"/>
  <c r="U38" i="70"/>
  <c r="S38" i="70"/>
  <c r="U37" i="70"/>
  <c r="S37" i="70"/>
  <c r="T35" i="70"/>
  <c r="S35" i="70" s="1"/>
  <c r="T34" i="70"/>
  <c r="U34" i="70" s="1"/>
  <c r="S34" i="70"/>
  <c r="U31" i="70"/>
  <c r="V31" i="70" s="1"/>
  <c r="S31" i="70"/>
  <c r="U30" i="70"/>
  <c r="V30" i="70" s="1"/>
  <c r="S30" i="70"/>
  <c r="S29" i="70"/>
  <c r="AB27" i="70"/>
  <c r="AA27" i="70"/>
  <c r="Y27" i="70"/>
  <c r="T27" i="70"/>
  <c r="S27" i="70" s="1"/>
  <c r="AB26" i="70"/>
  <c r="AA26" i="70"/>
  <c r="Y26" i="70"/>
  <c r="T26" i="70"/>
  <c r="AB25" i="70"/>
  <c r="AA25" i="70"/>
  <c r="Y25" i="70"/>
  <c r="T25" i="70"/>
  <c r="U25" i="70" s="1"/>
  <c r="T24" i="70"/>
  <c r="U24" i="70" s="1"/>
  <c r="AB23" i="70"/>
  <c r="AA23" i="70"/>
  <c r="Y23" i="70"/>
  <c r="U23" i="70"/>
  <c r="S23" i="70"/>
  <c r="U22" i="70"/>
  <c r="V22" i="70" s="1"/>
  <c r="S22" i="70"/>
  <c r="U21" i="70"/>
  <c r="V21" i="70" s="1"/>
  <c r="S21" i="70"/>
  <c r="U20" i="70"/>
  <c r="V20" i="70" s="1"/>
  <c r="S20" i="70"/>
  <c r="U19" i="70"/>
  <c r="S19" i="70"/>
  <c r="T18" i="70"/>
  <c r="U18" i="70" s="1"/>
  <c r="S18" i="70"/>
  <c r="S17" i="70"/>
  <c r="U16" i="70"/>
  <c r="V16" i="70" s="1"/>
  <c r="S16" i="70"/>
  <c r="U15" i="70"/>
  <c r="V15" i="70" s="1"/>
  <c r="S15" i="70"/>
  <c r="U14" i="70"/>
  <c r="V14" i="70" s="1"/>
  <c r="S14" i="70"/>
  <c r="U13" i="70"/>
  <c r="S13" i="70"/>
  <c r="G5" i="70"/>
  <c r="T61" i="69"/>
  <c r="T52" i="69"/>
  <c r="T51" i="69"/>
  <c r="T50" i="69"/>
  <c r="T48" i="69"/>
  <c r="T47" i="69"/>
  <c r="T46" i="69"/>
  <c r="T45" i="69"/>
  <c r="T43" i="69"/>
  <c r="T42" i="69"/>
  <c r="V57" i="74" l="1"/>
  <c r="J57" i="74" s="1"/>
  <c r="I57" i="74"/>
  <c r="V59" i="73"/>
  <c r="J59" i="73" s="1"/>
  <c r="I59" i="73"/>
  <c r="V66" i="72"/>
  <c r="J66" i="72" s="1"/>
  <c r="V59" i="71"/>
  <c r="G61" i="70"/>
  <c r="I63" i="70"/>
  <c r="G62" i="70"/>
  <c r="H66" i="70"/>
  <c r="J62" i="70"/>
  <c r="U35" i="70"/>
  <c r="S54" i="70"/>
  <c r="H62" i="70"/>
  <c r="G63" i="70"/>
  <c r="V65" i="70"/>
  <c r="V63" i="70"/>
  <c r="J63" i="70" s="1"/>
  <c r="S58" i="70"/>
  <c r="S56" i="70"/>
  <c r="S25" i="70"/>
  <c r="S24" i="70"/>
  <c r="I61" i="70"/>
  <c r="V61" i="70"/>
  <c r="J61" i="70" s="1"/>
  <c r="V55" i="70"/>
  <c r="V25" i="70"/>
  <c r="V34" i="70"/>
  <c r="V54" i="70"/>
  <c r="V24" i="70"/>
  <c r="V48" i="70"/>
  <c r="V23" i="70"/>
  <c r="U27" i="70"/>
  <c r="V37" i="70"/>
  <c r="V38" i="70"/>
  <c r="V39" i="70"/>
  <c r="V40" i="70"/>
  <c r="V41" i="70"/>
  <c r="U42" i="70"/>
  <c r="V56" i="70"/>
  <c r="U57" i="70"/>
  <c r="U64" i="70"/>
  <c r="S26" i="70"/>
  <c r="U43" i="70"/>
  <c r="S46" i="70"/>
  <c r="U58" i="70"/>
  <c r="T59" i="70"/>
  <c r="S66" i="70"/>
  <c r="G66" i="70" s="1"/>
  <c r="V45" i="70"/>
  <c r="U46" i="70"/>
  <c r="U66" i="70"/>
  <c r="V18" i="70"/>
  <c r="V19" i="70"/>
  <c r="H61" i="70"/>
  <c r="U17" i="70"/>
  <c r="U26" i="70"/>
  <c r="V13" i="70"/>
  <c r="U29" i="70"/>
  <c r="T33" i="70"/>
  <c r="U47" i="70"/>
  <c r="I92" i="69"/>
  <c r="U67" i="69"/>
  <c r="S67" i="69"/>
  <c r="P67" i="69"/>
  <c r="P66" i="69"/>
  <c r="O66" i="69"/>
  <c r="S65" i="69"/>
  <c r="P65" i="69"/>
  <c r="P64" i="69"/>
  <c r="U63" i="69"/>
  <c r="P63" i="69"/>
  <c r="O63" i="69"/>
  <c r="T64" i="69"/>
  <c r="P62" i="69"/>
  <c r="O62" i="69"/>
  <c r="S61" i="69"/>
  <c r="P61" i="69"/>
  <c r="O61" i="69"/>
  <c r="T58" i="69"/>
  <c r="U58" i="69" s="1"/>
  <c r="T57" i="69"/>
  <c r="T56" i="69"/>
  <c r="S56" i="69" s="1"/>
  <c r="T55" i="69"/>
  <c r="T54" i="69"/>
  <c r="S54" i="69" s="1"/>
  <c r="S52" i="69"/>
  <c r="U51" i="69"/>
  <c r="V51" i="69" s="1"/>
  <c r="U50" i="69"/>
  <c r="V50" i="69" s="1"/>
  <c r="U48" i="69"/>
  <c r="S47" i="69"/>
  <c r="U45" i="69"/>
  <c r="U43" i="69"/>
  <c r="U41" i="69"/>
  <c r="V41" i="69" s="1"/>
  <c r="S41" i="69"/>
  <c r="U40" i="69"/>
  <c r="S40" i="69"/>
  <c r="U39" i="69"/>
  <c r="S39" i="69"/>
  <c r="U38" i="69"/>
  <c r="V38" i="69" s="1"/>
  <c r="S38" i="69"/>
  <c r="U37" i="69"/>
  <c r="V37" i="69" s="1"/>
  <c r="S37" i="69"/>
  <c r="T35" i="69"/>
  <c r="U35" i="69" s="1"/>
  <c r="T34" i="69"/>
  <c r="U31" i="69"/>
  <c r="S31" i="69"/>
  <c r="U30" i="69"/>
  <c r="V30" i="69" s="1"/>
  <c r="S30" i="69"/>
  <c r="T29" i="69"/>
  <c r="S29" i="69" s="1"/>
  <c r="AB27" i="69"/>
  <c r="AA27" i="69"/>
  <c r="Y27" i="69"/>
  <c r="T27" i="69"/>
  <c r="N27" i="69"/>
  <c r="AB26" i="69"/>
  <c r="AA26" i="69"/>
  <c r="Y26" i="69"/>
  <c r="T26" i="69"/>
  <c r="N26" i="69"/>
  <c r="AB25" i="69"/>
  <c r="AA25" i="69"/>
  <c r="Y25" i="69"/>
  <c r="T25" i="69"/>
  <c r="S25" i="69" s="1"/>
  <c r="N25" i="69"/>
  <c r="T24" i="69"/>
  <c r="N24" i="69"/>
  <c r="AB23" i="69"/>
  <c r="AA23" i="69"/>
  <c r="Y23" i="69"/>
  <c r="U23" i="69"/>
  <c r="S23" i="69"/>
  <c r="N23" i="69"/>
  <c r="U22" i="69"/>
  <c r="V22" i="69" s="1"/>
  <c r="S22" i="69"/>
  <c r="N22" i="69"/>
  <c r="U21" i="69"/>
  <c r="V21" i="69" s="1"/>
  <c r="S21" i="69"/>
  <c r="N21" i="69"/>
  <c r="U20" i="69"/>
  <c r="V20" i="69" s="1"/>
  <c r="S20" i="69"/>
  <c r="N20" i="69"/>
  <c r="U19" i="69"/>
  <c r="S19" i="69"/>
  <c r="N19" i="69"/>
  <c r="T18" i="69"/>
  <c r="U18" i="69" s="1"/>
  <c r="N18" i="69"/>
  <c r="T17" i="69"/>
  <c r="N17" i="69"/>
  <c r="U16" i="69"/>
  <c r="S16" i="69"/>
  <c r="N16" i="69"/>
  <c r="U15" i="69"/>
  <c r="S15" i="69"/>
  <c r="N15" i="69"/>
  <c r="U14" i="69"/>
  <c r="S14" i="69"/>
  <c r="N14" i="69"/>
  <c r="U13" i="69"/>
  <c r="S13" i="69"/>
  <c r="N13" i="69"/>
  <c r="G5" i="69"/>
  <c r="I101" i="68"/>
  <c r="T76" i="68"/>
  <c r="P76" i="68"/>
  <c r="P75" i="68"/>
  <c r="O75" i="68"/>
  <c r="T74" i="68"/>
  <c r="S74" i="68" s="1"/>
  <c r="P74" i="68"/>
  <c r="P73" i="68"/>
  <c r="T72" i="68"/>
  <c r="P72" i="68"/>
  <c r="O72" i="68"/>
  <c r="T71" i="68"/>
  <c r="T73" i="68" s="1"/>
  <c r="S71" i="68"/>
  <c r="P71" i="68"/>
  <c r="O71" i="68"/>
  <c r="H71" i="68" s="1"/>
  <c r="T70" i="68"/>
  <c r="S70" i="68" s="1"/>
  <c r="P70" i="68"/>
  <c r="O70" i="68"/>
  <c r="U67" i="68"/>
  <c r="V67" i="68" s="1"/>
  <c r="T67" i="68"/>
  <c r="S67" i="68"/>
  <c r="T66" i="68"/>
  <c r="U65" i="68"/>
  <c r="T65" i="68"/>
  <c r="S65" i="68"/>
  <c r="T64" i="68"/>
  <c r="S64" i="68"/>
  <c r="T63" i="68"/>
  <c r="S63" i="68"/>
  <c r="T61" i="68"/>
  <c r="S61" i="68" s="1"/>
  <c r="U60" i="68"/>
  <c r="V60" i="68" s="1"/>
  <c r="T60" i="68"/>
  <c r="S60" i="68"/>
  <c r="T59" i="68"/>
  <c r="U59" i="68" s="1"/>
  <c r="V59" i="68" s="1"/>
  <c r="T57" i="68"/>
  <c r="S57" i="68"/>
  <c r="T56" i="68"/>
  <c r="S56" i="68" s="1"/>
  <c r="U55" i="68"/>
  <c r="T55" i="68"/>
  <c r="S55" i="68"/>
  <c r="T54" i="68"/>
  <c r="U54" i="68" s="1"/>
  <c r="U52" i="68"/>
  <c r="V52" i="68" s="1"/>
  <c r="T52" i="68"/>
  <c r="S52" i="68"/>
  <c r="T51" i="68"/>
  <c r="U50" i="68"/>
  <c r="V50" i="68" s="1"/>
  <c r="S50" i="68"/>
  <c r="U49" i="68"/>
  <c r="V49" i="68" s="1"/>
  <c r="S49" i="68"/>
  <c r="U48" i="68"/>
  <c r="V48" i="68" s="1"/>
  <c r="S48" i="68"/>
  <c r="U47" i="68"/>
  <c r="V47" i="68" s="1"/>
  <c r="S47" i="68"/>
  <c r="U46" i="68"/>
  <c r="V46" i="68" s="1"/>
  <c r="S46" i="68"/>
  <c r="U44" i="68"/>
  <c r="T44" i="68"/>
  <c r="S44" i="68"/>
  <c r="T43" i="68"/>
  <c r="S43" i="68"/>
  <c r="U40" i="68"/>
  <c r="S40" i="68"/>
  <c r="U39" i="68"/>
  <c r="S39" i="68"/>
  <c r="T38" i="68"/>
  <c r="S38" i="68" s="1"/>
  <c r="U36" i="68"/>
  <c r="I36" i="68" s="1"/>
  <c r="T36" i="68"/>
  <c r="S36" i="68"/>
  <c r="N36" i="68"/>
  <c r="H36" i="68"/>
  <c r="G36" i="68"/>
  <c r="T35" i="68"/>
  <c r="U35" i="68" s="1"/>
  <c r="N35" i="68"/>
  <c r="H35" i="68"/>
  <c r="AB34" i="68"/>
  <c r="AA34" i="68"/>
  <c r="Y34" i="68"/>
  <c r="T34" i="68"/>
  <c r="U34" i="68" s="1"/>
  <c r="S34" i="68"/>
  <c r="N34" i="68"/>
  <c r="AB33" i="68"/>
  <c r="AA33" i="68"/>
  <c r="Y33" i="68"/>
  <c r="T33" i="68"/>
  <c r="U33" i="68" s="1"/>
  <c r="S33" i="68"/>
  <c r="N33" i="68"/>
  <c r="U32" i="68"/>
  <c r="I32" i="68" s="1"/>
  <c r="T32" i="68"/>
  <c r="S32" i="68"/>
  <c r="G32" i="68" s="1"/>
  <c r="N32" i="68"/>
  <c r="H32" i="68" s="1"/>
  <c r="AB31" i="68"/>
  <c r="AA31" i="68"/>
  <c r="Y31" i="68"/>
  <c r="T31" i="68"/>
  <c r="S31" i="68" s="1"/>
  <c r="N31" i="68"/>
  <c r="V30" i="68"/>
  <c r="U30" i="68"/>
  <c r="T30" i="68"/>
  <c r="S30" i="68"/>
  <c r="N30" i="68"/>
  <c r="AB29" i="68"/>
  <c r="AA29" i="68"/>
  <c r="Y29" i="68"/>
  <c r="U29" i="68"/>
  <c r="S29" i="68"/>
  <c r="N29" i="68"/>
  <c r="U28" i="68"/>
  <c r="I28" i="68" s="1"/>
  <c r="T28" i="68"/>
  <c r="S28" i="68" s="1"/>
  <c r="G28" i="68" s="1"/>
  <c r="N28" i="68"/>
  <c r="H28" i="68"/>
  <c r="U27" i="68"/>
  <c r="V27" i="68" s="1"/>
  <c r="S27" i="68"/>
  <c r="N27" i="68"/>
  <c r="T26" i="68"/>
  <c r="U26" i="68" s="1"/>
  <c r="S26" i="68"/>
  <c r="G26" i="68" s="1"/>
  <c r="N26" i="68"/>
  <c r="H26" i="68"/>
  <c r="U25" i="68"/>
  <c r="V25" i="68" s="1"/>
  <c r="S25" i="68"/>
  <c r="N25" i="68"/>
  <c r="U24" i="68"/>
  <c r="S24" i="68"/>
  <c r="N24" i="68"/>
  <c r="T23" i="68"/>
  <c r="H23" i="68" s="1"/>
  <c r="S23" i="68"/>
  <c r="G23" i="68" s="1"/>
  <c r="N23" i="68"/>
  <c r="U22" i="68"/>
  <c r="S22" i="68"/>
  <c r="N22" i="68"/>
  <c r="T21" i="68"/>
  <c r="S21" i="68" s="1"/>
  <c r="G21" i="68" s="1"/>
  <c r="N21" i="68"/>
  <c r="T20" i="68"/>
  <c r="S20" i="68" s="1"/>
  <c r="N20" i="68"/>
  <c r="T19" i="68"/>
  <c r="N19" i="68"/>
  <c r="U18" i="68"/>
  <c r="I18" i="68" s="1"/>
  <c r="T18" i="68"/>
  <c r="H18" i="68" s="1"/>
  <c r="S18" i="68"/>
  <c r="G18" i="68" s="1"/>
  <c r="N18" i="68"/>
  <c r="V17" i="68"/>
  <c r="U17" i="68"/>
  <c r="S17" i="68"/>
  <c r="N17" i="68"/>
  <c r="U16" i="68"/>
  <c r="S16" i="68"/>
  <c r="N16" i="68"/>
  <c r="T15" i="68"/>
  <c r="S15" i="68" s="1"/>
  <c r="G15" i="68" s="1"/>
  <c r="N15" i="68"/>
  <c r="U14" i="68"/>
  <c r="S14" i="68"/>
  <c r="N14" i="68"/>
  <c r="U13" i="68"/>
  <c r="V13" i="68" s="1"/>
  <c r="S13" i="68"/>
  <c r="N13" i="68"/>
  <c r="G5" i="68"/>
  <c r="N36" i="67"/>
  <c r="N35" i="67"/>
  <c r="N34" i="67"/>
  <c r="N33" i="67"/>
  <c r="N32" i="67"/>
  <c r="N31" i="67"/>
  <c r="N30" i="67"/>
  <c r="N29" i="67"/>
  <c r="N28" i="67"/>
  <c r="N27" i="67"/>
  <c r="N26" i="67"/>
  <c r="N25" i="67"/>
  <c r="N24" i="67"/>
  <c r="N23" i="67"/>
  <c r="N22" i="67"/>
  <c r="N21" i="67"/>
  <c r="N20" i="67"/>
  <c r="N19" i="67"/>
  <c r="N18" i="67"/>
  <c r="N17" i="67"/>
  <c r="N16" i="67"/>
  <c r="N15" i="67"/>
  <c r="N14" i="67"/>
  <c r="N13" i="67"/>
  <c r="T76" i="67"/>
  <c r="T74" i="67"/>
  <c r="T72" i="67"/>
  <c r="T71" i="67"/>
  <c r="T70" i="67"/>
  <c r="P76" i="67"/>
  <c r="P75" i="67"/>
  <c r="P74" i="67"/>
  <c r="P73" i="67"/>
  <c r="P72" i="67"/>
  <c r="P71" i="67"/>
  <c r="P70" i="67"/>
  <c r="G70" i="68" l="1"/>
  <c r="H72" i="68"/>
  <c r="G71" i="68"/>
  <c r="V35" i="70"/>
  <c r="V47" i="70"/>
  <c r="V43" i="70"/>
  <c r="U33" i="70"/>
  <c r="S33" i="70"/>
  <c r="V64" i="70"/>
  <c r="V46" i="70"/>
  <c r="V29" i="70"/>
  <c r="U59" i="70"/>
  <c r="S59" i="70"/>
  <c r="V57" i="70"/>
  <c r="V58" i="70"/>
  <c r="V27" i="70"/>
  <c r="V17" i="70"/>
  <c r="V26" i="70"/>
  <c r="I66" i="70"/>
  <c r="V66" i="70"/>
  <c r="J66" i="70" s="1"/>
  <c r="V42" i="70"/>
  <c r="S18" i="69"/>
  <c r="S51" i="69"/>
  <c r="S46" i="69"/>
  <c r="S35" i="69"/>
  <c r="U46" i="69"/>
  <c r="H61" i="69"/>
  <c r="U25" i="69"/>
  <c r="U42" i="69"/>
  <c r="V42" i="69" s="1"/>
  <c r="V40" i="69"/>
  <c r="S48" i="69"/>
  <c r="V35" i="69"/>
  <c r="V23" i="69"/>
  <c r="V31" i="69"/>
  <c r="V39" i="69"/>
  <c r="U54" i="69"/>
  <c r="V16" i="69"/>
  <c r="H63" i="69"/>
  <c r="I63" i="69"/>
  <c r="U56" i="69"/>
  <c r="S50" i="69"/>
  <c r="U57" i="69"/>
  <c r="V57" i="69" s="1"/>
  <c r="G61" i="69"/>
  <c r="S45" i="69"/>
  <c r="V13" i="69"/>
  <c r="V43" i="69"/>
  <c r="V45" i="69"/>
  <c r="V58" i="69"/>
  <c r="U64" i="69"/>
  <c r="S64" i="69"/>
  <c r="V67" i="69"/>
  <c r="V14" i="69"/>
  <c r="V18" i="69"/>
  <c r="S27" i="69"/>
  <c r="U29" i="69"/>
  <c r="T33" i="69"/>
  <c r="S34" i="69"/>
  <c r="U47" i="69"/>
  <c r="U52" i="69"/>
  <c r="V52" i="69" s="1"/>
  <c r="S55" i="69"/>
  <c r="U61" i="69"/>
  <c r="S62" i="69"/>
  <c r="G62" i="69" s="1"/>
  <c r="U65" i="69"/>
  <c r="T66" i="69"/>
  <c r="V15" i="69"/>
  <c r="V19" i="69"/>
  <c r="U27" i="69"/>
  <c r="U34" i="69"/>
  <c r="S42" i="69"/>
  <c r="V48" i="69"/>
  <c r="U55" i="69"/>
  <c r="S57" i="69"/>
  <c r="U62" i="69"/>
  <c r="S63" i="69"/>
  <c r="G63" i="69" s="1"/>
  <c r="S17" i="69"/>
  <c r="S24" i="69"/>
  <c r="S26" i="69"/>
  <c r="S43" i="69"/>
  <c r="S58" i="69"/>
  <c r="H62" i="69"/>
  <c r="U17" i="69"/>
  <c r="U24" i="69"/>
  <c r="U26" i="69"/>
  <c r="T59" i="69"/>
  <c r="V63" i="69"/>
  <c r="J63" i="69" s="1"/>
  <c r="V33" i="68"/>
  <c r="U31" i="68"/>
  <c r="U20" i="68"/>
  <c r="V20" i="68" s="1"/>
  <c r="S19" i="68"/>
  <c r="U73" i="68"/>
  <c r="S73" i="68"/>
  <c r="V26" i="68"/>
  <c r="J26" i="68" s="1"/>
  <c r="I26" i="68"/>
  <c r="V54" i="68"/>
  <c r="I35" i="68"/>
  <c r="V35" i="68"/>
  <c r="J35" i="68" s="1"/>
  <c r="V34" i="68"/>
  <c r="V36" i="68"/>
  <c r="J36" i="68" s="1"/>
  <c r="V55" i="68"/>
  <c r="U56" i="68"/>
  <c r="U61" i="68"/>
  <c r="V61" i="68" s="1"/>
  <c r="U74" i="68"/>
  <c r="V29" i="68"/>
  <c r="V39" i="68"/>
  <c r="V40" i="68"/>
  <c r="U57" i="68"/>
  <c r="U63" i="68"/>
  <c r="H70" i="68"/>
  <c r="T75" i="68"/>
  <c r="V14" i="68"/>
  <c r="V28" i="68"/>
  <c r="J28" i="68" s="1"/>
  <c r="U38" i="68"/>
  <c r="T42" i="68"/>
  <c r="U70" i="68"/>
  <c r="H15" i="68"/>
  <c r="V16" i="68"/>
  <c r="H21" i="68"/>
  <c r="V22" i="68"/>
  <c r="U23" i="68"/>
  <c r="U43" i="68"/>
  <c r="S51" i="68"/>
  <c r="U64" i="68"/>
  <c r="S66" i="68"/>
  <c r="U71" i="68"/>
  <c r="S72" i="68"/>
  <c r="G72" i="68" s="1"/>
  <c r="S76" i="68"/>
  <c r="V18" i="68"/>
  <c r="J18" i="68" s="1"/>
  <c r="V24" i="68"/>
  <c r="V32" i="68"/>
  <c r="J32" i="68" s="1"/>
  <c r="S35" i="68"/>
  <c r="G35" i="68" s="1"/>
  <c r="V44" i="68"/>
  <c r="U51" i="68"/>
  <c r="S54" i="68"/>
  <c r="S59" i="68"/>
  <c r="V65" i="68"/>
  <c r="U66" i="68"/>
  <c r="U72" i="68"/>
  <c r="U76" i="68"/>
  <c r="U15" i="68"/>
  <c r="U21" i="68"/>
  <c r="U19" i="68"/>
  <c r="T68" i="68"/>
  <c r="T32" i="67"/>
  <c r="U32" i="67" s="1"/>
  <c r="T31" i="67"/>
  <c r="S31" i="67" s="1"/>
  <c r="T36" i="67"/>
  <c r="H36" i="67" s="1"/>
  <c r="T35" i="67"/>
  <c r="T15" i="67"/>
  <c r="S15" i="67" s="1"/>
  <c r="G15" i="67" s="1"/>
  <c r="I101" i="67"/>
  <c r="U76" i="67"/>
  <c r="V76" i="67" s="1"/>
  <c r="U74" i="67"/>
  <c r="V74" i="67" s="1"/>
  <c r="S72" i="67"/>
  <c r="T75" i="67"/>
  <c r="U70" i="67"/>
  <c r="V70" i="67" s="1"/>
  <c r="T67" i="67"/>
  <c r="S67" i="67" s="1"/>
  <c r="T66" i="67"/>
  <c r="U66" i="67" s="1"/>
  <c r="T65" i="67"/>
  <c r="U65" i="67" s="1"/>
  <c r="T64" i="67"/>
  <c r="U64" i="67" s="1"/>
  <c r="T63" i="67"/>
  <c r="U63" i="67" s="1"/>
  <c r="V63" i="67" s="1"/>
  <c r="T61" i="67"/>
  <c r="U61" i="67" s="1"/>
  <c r="V61" i="67" s="1"/>
  <c r="T60" i="67"/>
  <c r="U60" i="67" s="1"/>
  <c r="V60" i="67" s="1"/>
  <c r="T59" i="67"/>
  <c r="S59" i="67" s="1"/>
  <c r="T57" i="67"/>
  <c r="T56" i="67"/>
  <c r="S56" i="67" s="1"/>
  <c r="T55" i="67"/>
  <c r="T54" i="67"/>
  <c r="U54" i="67" s="1"/>
  <c r="T52" i="67"/>
  <c r="S52" i="67" s="1"/>
  <c r="T51" i="67"/>
  <c r="S51" i="67" s="1"/>
  <c r="U50" i="67"/>
  <c r="V50" i="67" s="1"/>
  <c r="S50" i="67"/>
  <c r="U49" i="67"/>
  <c r="V49" i="67" s="1"/>
  <c r="S49" i="67"/>
  <c r="U48" i="67"/>
  <c r="S48" i="67"/>
  <c r="U47" i="67"/>
  <c r="V47" i="67" s="1"/>
  <c r="S47" i="67"/>
  <c r="U46" i="67"/>
  <c r="V46" i="67" s="1"/>
  <c r="S46" i="67"/>
  <c r="T44" i="67"/>
  <c r="U44" i="67" s="1"/>
  <c r="S44" i="67"/>
  <c r="T43" i="67"/>
  <c r="U43" i="67" s="1"/>
  <c r="U40" i="67"/>
  <c r="V40" i="67" s="1"/>
  <c r="S40" i="67"/>
  <c r="U39" i="67"/>
  <c r="V39" i="67" s="1"/>
  <c r="S39" i="67"/>
  <c r="T38" i="67"/>
  <c r="H35" i="67"/>
  <c r="AB34" i="67"/>
  <c r="AA34" i="67"/>
  <c r="Y34" i="67"/>
  <c r="T34" i="67"/>
  <c r="S34" i="67" s="1"/>
  <c r="AB33" i="67"/>
  <c r="AA33" i="67"/>
  <c r="Y33" i="67"/>
  <c r="T33" i="67"/>
  <c r="S33" i="67" s="1"/>
  <c r="AB31" i="67"/>
  <c r="AA31" i="67"/>
  <c r="Y31" i="67"/>
  <c r="T30" i="67"/>
  <c r="U30" i="67" s="1"/>
  <c r="AB29" i="67"/>
  <c r="AA29" i="67"/>
  <c r="Y29" i="67"/>
  <c r="U29" i="67"/>
  <c r="V29" i="67" s="1"/>
  <c r="S29" i="67"/>
  <c r="T28" i="67"/>
  <c r="H28" i="67" s="1"/>
  <c r="U27" i="67"/>
  <c r="V27" i="67" s="1"/>
  <c r="S27" i="67"/>
  <c r="T26" i="67"/>
  <c r="H26" i="67" s="1"/>
  <c r="U25" i="67"/>
  <c r="V25" i="67" s="1"/>
  <c r="S25" i="67"/>
  <c r="U24" i="67"/>
  <c r="V24" i="67" s="1"/>
  <c r="S24" i="67"/>
  <c r="T23" i="67"/>
  <c r="H23" i="67" s="1"/>
  <c r="U22" i="67"/>
  <c r="V22" i="67" s="1"/>
  <c r="S22" i="67"/>
  <c r="T21" i="67"/>
  <c r="H21" i="67" s="1"/>
  <c r="T20" i="67"/>
  <c r="T19" i="67"/>
  <c r="T18" i="67"/>
  <c r="S18" i="67" s="1"/>
  <c r="G18" i="67" s="1"/>
  <c r="U17" i="67"/>
  <c r="V17" i="67" s="1"/>
  <c r="S17" i="67"/>
  <c r="U16" i="67"/>
  <c r="V16" i="67" s="1"/>
  <c r="S16" i="67"/>
  <c r="U14" i="67"/>
  <c r="S14" i="67"/>
  <c r="U13" i="67"/>
  <c r="V13" i="67" s="1"/>
  <c r="S13" i="67"/>
  <c r="G5" i="67"/>
  <c r="T34" i="66"/>
  <c r="U34" i="66" s="1"/>
  <c r="T28" i="66"/>
  <c r="U28" i="66" s="1"/>
  <c r="V28" i="66" s="1"/>
  <c r="J28" i="66" s="1"/>
  <c r="T26" i="66"/>
  <c r="U26" i="66" s="1"/>
  <c r="V26" i="66" s="1"/>
  <c r="J26" i="66" s="1"/>
  <c r="H26" i="66"/>
  <c r="T23" i="66"/>
  <c r="S23" i="66" s="1"/>
  <c r="G23" i="66" s="1"/>
  <c r="T21" i="66"/>
  <c r="U21" i="66" s="1"/>
  <c r="T18" i="66"/>
  <c r="H18" i="66" s="1"/>
  <c r="T15" i="66"/>
  <c r="U15" i="66" s="1"/>
  <c r="V15" i="66" s="1"/>
  <c r="J15" i="66" s="1"/>
  <c r="T59" i="66"/>
  <c r="U59" i="66" s="1"/>
  <c r="V59" i="66" s="1"/>
  <c r="T58" i="66"/>
  <c r="U58" i="66" s="1"/>
  <c r="V58" i="66" s="1"/>
  <c r="T57" i="66"/>
  <c r="U57" i="66" s="1"/>
  <c r="V57" i="66" s="1"/>
  <c r="T55" i="66"/>
  <c r="U55" i="66" s="1"/>
  <c r="V55" i="66" s="1"/>
  <c r="T54" i="66"/>
  <c r="T53" i="66"/>
  <c r="U53" i="66" s="1"/>
  <c r="T52" i="66"/>
  <c r="U52" i="66" s="1"/>
  <c r="T50" i="66"/>
  <c r="S50" i="66" s="1"/>
  <c r="T49" i="66"/>
  <c r="T36" i="66"/>
  <c r="S36" i="66" s="1"/>
  <c r="T33" i="66"/>
  <c r="U33" i="66" s="1"/>
  <c r="V33" i="66" s="1"/>
  <c r="T32" i="66"/>
  <c r="S32" i="66" s="1"/>
  <c r="T31" i="66"/>
  <c r="U31" i="66" s="1"/>
  <c r="V31" i="66" s="1"/>
  <c r="T30" i="66"/>
  <c r="S30" i="66" s="1"/>
  <c r="T20" i="66"/>
  <c r="S20" i="66" s="1"/>
  <c r="T19" i="66"/>
  <c r="S19" i="66" s="1"/>
  <c r="T74" i="66"/>
  <c r="S74" i="66" s="1"/>
  <c r="T72" i="66"/>
  <c r="U72" i="66" s="1"/>
  <c r="V72" i="66" s="1"/>
  <c r="T70" i="66"/>
  <c r="S70" i="66" s="1"/>
  <c r="T69" i="66"/>
  <c r="U69" i="66" s="1"/>
  <c r="T68" i="66"/>
  <c r="S68" i="66" s="1"/>
  <c r="O72" i="67"/>
  <c r="O71" i="67"/>
  <c r="O73" i="66"/>
  <c r="O70" i="67"/>
  <c r="I99" i="66"/>
  <c r="T65" i="66"/>
  <c r="S65" i="66" s="1"/>
  <c r="T64" i="66"/>
  <c r="T63" i="66"/>
  <c r="S63" i="66" s="1"/>
  <c r="T62" i="66"/>
  <c r="S62" i="66" s="1"/>
  <c r="T61" i="66"/>
  <c r="S61" i="66" s="1"/>
  <c r="S49" i="66"/>
  <c r="U48" i="66"/>
  <c r="S48" i="66"/>
  <c r="U47" i="66"/>
  <c r="S47" i="66"/>
  <c r="U46" i="66"/>
  <c r="S46" i="66"/>
  <c r="U45" i="66"/>
  <c r="S45" i="66"/>
  <c r="U44" i="66"/>
  <c r="S44" i="66"/>
  <c r="T42" i="66"/>
  <c r="U42" i="66" s="1"/>
  <c r="T41" i="66"/>
  <c r="U41" i="66" s="1"/>
  <c r="U38" i="66"/>
  <c r="S38" i="66"/>
  <c r="U37" i="66"/>
  <c r="S37" i="66"/>
  <c r="AB33" i="66"/>
  <c r="AA33" i="66"/>
  <c r="Y33" i="66"/>
  <c r="AB32" i="66"/>
  <c r="AA32" i="66"/>
  <c r="Y32" i="66"/>
  <c r="AB31" i="66"/>
  <c r="AA31" i="66"/>
  <c r="Y31" i="66"/>
  <c r="AB29" i="66"/>
  <c r="AA29" i="66"/>
  <c r="Y29" i="66"/>
  <c r="U29" i="66"/>
  <c r="S29" i="66"/>
  <c r="U27" i="66"/>
  <c r="S27" i="66"/>
  <c r="U25" i="66"/>
  <c r="S25" i="66"/>
  <c r="U24" i="66"/>
  <c r="S24" i="66"/>
  <c r="U22" i="66"/>
  <c r="S22" i="66"/>
  <c r="U17" i="66"/>
  <c r="V17" i="66" s="1"/>
  <c r="S17" i="66"/>
  <c r="U16" i="66"/>
  <c r="S16" i="66"/>
  <c r="U14" i="66"/>
  <c r="S14" i="66"/>
  <c r="U13" i="66"/>
  <c r="S13" i="66"/>
  <c r="G5" i="66"/>
  <c r="T47" i="65"/>
  <c r="T43" i="65"/>
  <c r="U43" i="65" s="1"/>
  <c r="T42" i="65"/>
  <c r="S42" i="65" s="1"/>
  <c r="T29" i="65"/>
  <c r="U29" i="65" s="1"/>
  <c r="I84" i="65"/>
  <c r="T58" i="65"/>
  <c r="S58" i="65" s="1"/>
  <c r="T57" i="65"/>
  <c r="S57" i="65"/>
  <c r="T56" i="65"/>
  <c r="S56" i="65" s="1"/>
  <c r="T55" i="65"/>
  <c r="S55" i="65" s="1"/>
  <c r="T54" i="65"/>
  <c r="S54" i="65" s="1"/>
  <c r="U52" i="65"/>
  <c r="V52" i="65" s="1"/>
  <c r="S52" i="65"/>
  <c r="U51" i="65"/>
  <c r="V51" i="65" s="1"/>
  <c r="S51" i="65"/>
  <c r="U50" i="65"/>
  <c r="V50" i="65" s="1"/>
  <c r="S50" i="65"/>
  <c r="U48" i="65"/>
  <c r="V48" i="65" s="1"/>
  <c r="S48" i="65"/>
  <c r="U46" i="65"/>
  <c r="S46" i="65"/>
  <c r="U45" i="65"/>
  <c r="S45" i="65"/>
  <c r="S43" i="65"/>
  <c r="U41" i="65"/>
  <c r="S41" i="65"/>
  <c r="U40" i="65"/>
  <c r="V40" i="65" s="1"/>
  <c r="S40" i="65"/>
  <c r="U39" i="65"/>
  <c r="S39" i="65"/>
  <c r="U38" i="65"/>
  <c r="V38" i="65" s="1"/>
  <c r="S38" i="65"/>
  <c r="U37" i="65"/>
  <c r="V37" i="65" s="1"/>
  <c r="S37" i="65"/>
  <c r="T35" i="65"/>
  <c r="S35" i="65"/>
  <c r="T34" i="65"/>
  <c r="U34" i="65" s="1"/>
  <c r="U31" i="65"/>
  <c r="V31" i="65" s="1"/>
  <c r="S31" i="65"/>
  <c r="U30" i="65"/>
  <c r="V30" i="65" s="1"/>
  <c r="S30" i="65"/>
  <c r="AB27" i="65"/>
  <c r="AA27" i="65"/>
  <c r="Y27" i="65"/>
  <c r="U27" i="65"/>
  <c r="AB26" i="65"/>
  <c r="AA26" i="65"/>
  <c r="Y26" i="65"/>
  <c r="S26" i="65"/>
  <c r="AB25" i="65"/>
  <c r="AA25" i="65"/>
  <c r="Y25" i="65"/>
  <c r="U25" i="65"/>
  <c r="S25" i="65"/>
  <c r="S24" i="65"/>
  <c r="AB23" i="65"/>
  <c r="AA23" i="65"/>
  <c r="Y23" i="65"/>
  <c r="U23" i="65"/>
  <c r="S23" i="65"/>
  <c r="U22" i="65"/>
  <c r="S22" i="65"/>
  <c r="U21" i="65"/>
  <c r="V21" i="65" s="1"/>
  <c r="S21" i="65"/>
  <c r="U20" i="65"/>
  <c r="V20" i="65" s="1"/>
  <c r="S20" i="65"/>
  <c r="U19" i="65"/>
  <c r="V19" i="65" s="1"/>
  <c r="S19" i="65"/>
  <c r="T18" i="65"/>
  <c r="U18" i="65" s="1"/>
  <c r="T17" i="65"/>
  <c r="U16" i="65"/>
  <c r="S16" i="65"/>
  <c r="U15" i="65"/>
  <c r="S15" i="65"/>
  <c r="U14" i="65"/>
  <c r="S14" i="65"/>
  <c r="U13" i="65"/>
  <c r="S13" i="65"/>
  <c r="G5" i="65"/>
  <c r="S28" i="64"/>
  <c r="I85" i="64"/>
  <c r="T59" i="64"/>
  <c r="S59" i="64" s="1"/>
  <c r="T58" i="64"/>
  <c r="T57" i="64"/>
  <c r="S57" i="64" s="1"/>
  <c r="T56" i="64"/>
  <c r="T55" i="64"/>
  <c r="U55" i="64" s="1"/>
  <c r="U53" i="64"/>
  <c r="V53" i="64" s="1"/>
  <c r="S53" i="64"/>
  <c r="U52" i="64"/>
  <c r="V52" i="64" s="1"/>
  <c r="S52" i="64"/>
  <c r="U51" i="64"/>
  <c r="V51" i="64" s="1"/>
  <c r="S51" i="64"/>
  <c r="U49" i="64"/>
  <c r="S49" i="64"/>
  <c r="T48" i="64"/>
  <c r="U47" i="64"/>
  <c r="S47" i="64"/>
  <c r="U46" i="64"/>
  <c r="S46" i="64"/>
  <c r="T44" i="64"/>
  <c r="S44" i="64" s="1"/>
  <c r="T43" i="64"/>
  <c r="T60" i="64" s="1"/>
  <c r="U42" i="64"/>
  <c r="V42" i="64" s="1"/>
  <c r="S42" i="64"/>
  <c r="U41" i="64"/>
  <c r="S41" i="64"/>
  <c r="U40" i="64"/>
  <c r="V40" i="64" s="1"/>
  <c r="S40" i="64"/>
  <c r="U39" i="64"/>
  <c r="V39" i="64" s="1"/>
  <c r="S39" i="64"/>
  <c r="U38" i="64"/>
  <c r="S38" i="64"/>
  <c r="T36" i="64"/>
  <c r="T35" i="64"/>
  <c r="U32" i="64"/>
  <c r="V32" i="64" s="1"/>
  <c r="S32" i="64"/>
  <c r="U31" i="64"/>
  <c r="V31" i="64" s="1"/>
  <c r="S31" i="64"/>
  <c r="T30" i="64"/>
  <c r="S30" i="64" s="1"/>
  <c r="AB27" i="64"/>
  <c r="AA27" i="64"/>
  <c r="Y27" i="64"/>
  <c r="T27" i="64"/>
  <c r="S27" i="64" s="1"/>
  <c r="AB26" i="64"/>
  <c r="AA26" i="64"/>
  <c r="Y26" i="64"/>
  <c r="T26" i="64"/>
  <c r="U26" i="64" s="1"/>
  <c r="AB25" i="64"/>
  <c r="AA25" i="64"/>
  <c r="Y25" i="64"/>
  <c r="T25" i="64"/>
  <c r="U25" i="64" s="1"/>
  <c r="V25" i="64" s="1"/>
  <c r="T24" i="64"/>
  <c r="U24" i="64" s="1"/>
  <c r="AB23" i="64"/>
  <c r="AA23" i="64"/>
  <c r="Y23" i="64"/>
  <c r="T23" i="64"/>
  <c r="U22" i="64"/>
  <c r="S22" i="64"/>
  <c r="U21" i="64"/>
  <c r="S21" i="64"/>
  <c r="U20" i="64"/>
  <c r="S20" i="64"/>
  <c r="U19" i="64"/>
  <c r="S19" i="64"/>
  <c r="T18" i="64"/>
  <c r="T17" i="64"/>
  <c r="S17" i="64" s="1"/>
  <c r="U16" i="64"/>
  <c r="S16" i="64"/>
  <c r="U15" i="64"/>
  <c r="V15" i="64" s="1"/>
  <c r="S15" i="64"/>
  <c r="U14" i="64"/>
  <c r="V14" i="64" s="1"/>
  <c r="S14" i="64"/>
  <c r="U13" i="64"/>
  <c r="V13" i="64" s="1"/>
  <c r="S13" i="64"/>
  <c r="G5" i="64"/>
  <c r="U53" i="63"/>
  <c r="S53" i="63"/>
  <c r="T64" i="63"/>
  <c r="U64" i="63" s="1"/>
  <c r="U45" i="63"/>
  <c r="V45" i="63" s="1"/>
  <c r="S45" i="63"/>
  <c r="T38" i="63"/>
  <c r="U38" i="63" s="1"/>
  <c r="U33" i="63"/>
  <c r="V33" i="63" s="1"/>
  <c r="S33" i="63"/>
  <c r="T51" i="63"/>
  <c r="S51" i="63" s="1"/>
  <c r="T46" i="63"/>
  <c r="U46" i="63" s="1"/>
  <c r="T47" i="63"/>
  <c r="S47" i="63" s="1"/>
  <c r="T30" i="63"/>
  <c r="U30" i="63" s="1"/>
  <c r="U28" i="63"/>
  <c r="V28" i="63" s="1"/>
  <c r="T17" i="63"/>
  <c r="U17" i="63" s="1"/>
  <c r="V17" i="63" s="1"/>
  <c r="T18" i="63"/>
  <c r="S18" i="63" s="1"/>
  <c r="I90" i="63"/>
  <c r="T63" i="63"/>
  <c r="T62" i="63"/>
  <c r="T61" i="63"/>
  <c r="S61" i="63" s="1"/>
  <c r="T60" i="63"/>
  <c r="S60" i="63" s="1"/>
  <c r="T59" i="63"/>
  <c r="U57" i="63"/>
  <c r="V57" i="63" s="1"/>
  <c r="S57" i="63"/>
  <c r="U56" i="63"/>
  <c r="V56" i="63" s="1"/>
  <c r="S56" i="63"/>
  <c r="U55" i="63"/>
  <c r="V55" i="63" s="1"/>
  <c r="S55" i="63"/>
  <c r="U52" i="63"/>
  <c r="V52" i="63" s="1"/>
  <c r="S52" i="63"/>
  <c r="U50" i="63"/>
  <c r="S50" i="63"/>
  <c r="U49" i="63"/>
  <c r="S49" i="63"/>
  <c r="S46" i="63"/>
  <c r="U44" i="63"/>
  <c r="S44" i="63"/>
  <c r="U43" i="63"/>
  <c r="S43" i="63"/>
  <c r="U42" i="63"/>
  <c r="S42" i="63"/>
  <c r="U41" i="63"/>
  <c r="S41" i="63"/>
  <c r="U40" i="63"/>
  <c r="S40" i="63"/>
  <c r="T37" i="63"/>
  <c r="S37" i="63" s="1"/>
  <c r="T36" i="63"/>
  <c r="U36" i="63" s="1"/>
  <c r="V36" i="63" s="1"/>
  <c r="U32" i="63"/>
  <c r="V32" i="63" s="1"/>
  <c r="S32" i="63"/>
  <c r="U31" i="63"/>
  <c r="V31" i="63" s="1"/>
  <c r="S31" i="63"/>
  <c r="AB27" i="63"/>
  <c r="AA27" i="63"/>
  <c r="Y27" i="63"/>
  <c r="T27" i="63"/>
  <c r="S27" i="63" s="1"/>
  <c r="AB26" i="63"/>
  <c r="AA26" i="63"/>
  <c r="Y26" i="63"/>
  <c r="T26" i="63"/>
  <c r="S26" i="63" s="1"/>
  <c r="AB25" i="63"/>
  <c r="AA25" i="63"/>
  <c r="Y25" i="63"/>
  <c r="T25" i="63"/>
  <c r="T24" i="63"/>
  <c r="S24" i="63" s="1"/>
  <c r="AB23" i="63"/>
  <c r="AA23" i="63"/>
  <c r="Y23" i="63"/>
  <c r="T23" i="63"/>
  <c r="U22" i="63"/>
  <c r="V22" i="63" s="1"/>
  <c r="S22" i="63"/>
  <c r="U21" i="63"/>
  <c r="V21" i="63" s="1"/>
  <c r="S21" i="63"/>
  <c r="U20" i="63"/>
  <c r="V20" i="63" s="1"/>
  <c r="S20" i="63"/>
  <c r="U19" i="63"/>
  <c r="S19" i="63"/>
  <c r="U16" i="63"/>
  <c r="S16" i="63"/>
  <c r="U15" i="63"/>
  <c r="S15" i="63"/>
  <c r="U14" i="63"/>
  <c r="V14" i="63" s="1"/>
  <c r="S14" i="63"/>
  <c r="U13" i="63"/>
  <c r="V13" i="63" s="1"/>
  <c r="S13" i="63"/>
  <c r="G5" i="63"/>
  <c r="M2" i="1"/>
  <c r="T44" i="62"/>
  <c r="I84" i="62"/>
  <c r="T60" i="62"/>
  <c r="S60" i="62"/>
  <c r="T59" i="62"/>
  <c r="S59" i="62"/>
  <c r="T58" i="62"/>
  <c r="S58" i="62"/>
  <c r="T57" i="62"/>
  <c r="U56" i="62"/>
  <c r="T56" i="62"/>
  <c r="S56" i="62" s="1"/>
  <c r="T55" i="62"/>
  <c r="U55" i="62" s="1"/>
  <c r="S55" i="62"/>
  <c r="V53" i="62"/>
  <c r="U53" i="62"/>
  <c r="S53" i="62"/>
  <c r="U52" i="62"/>
  <c r="V52" i="62" s="1"/>
  <c r="S52" i="62"/>
  <c r="V51" i="62"/>
  <c r="U51" i="62"/>
  <c r="S51" i="62"/>
  <c r="U49" i="62"/>
  <c r="V49" i="62" s="1"/>
  <c r="S49" i="62"/>
  <c r="T48" i="62"/>
  <c r="S48" i="62"/>
  <c r="U47" i="62"/>
  <c r="V47" i="62" s="1"/>
  <c r="S47" i="62"/>
  <c r="U46" i="62"/>
  <c r="V46" i="62" s="1"/>
  <c r="S46" i="62"/>
  <c r="U43" i="62"/>
  <c r="S43" i="62"/>
  <c r="U42" i="62"/>
  <c r="S42" i="62"/>
  <c r="U41" i="62"/>
  <c r="S41" i="62"/>
  <c r="U40" i="62"/>
  <c r="S40" i="62"/>
  <c r="U39" i="62"/>
  <c r="S39" i="62"/>
  <c r="U38" i="62"/>
  <c r="S38" i="62"/>
  <c r="T36" i="62"/>
  <c r="S36" i="62" s="1"/>
  <c r="U35" i="62"/>
  <c r="T35" i="62"/>
  <c r="S35" i="62"/>
  <c r="T34" i="62"/>
  <c r="U34" i="62" s="1"/>
  <c r="U32" i="62"/>
  <c r="V32" i="62" s="1"/>
  <c r="S32" i="62"/>
  <c r="U31" i="62"/>
  <c r="V31" i="62" s="1"/>
  <c r="S31" i="62"/>
  <c r="U30" i="62"/>
  <c r="V30" i="62" s="1"/>
  <c r="T30" i="62"/>
  <c r="S30" i="62"/>
  <c r="AB28" i="62"/>
  <c r="AA28" i="62"/>
  <c r="Y28" i="62"/>
  <c r="T28" i="62"/>
  <c r="AB27" i="62"/>
  <c r="AA27" i="62"/>
  <c r="Y27" i="62"/>
  <c r="T27" i="62"/>
  <c r="AB26" i="62"/>
  <c r="AA26" i="62"/>
  <c r="Y26" i="62"/>
  <c r="T26" i="62"/>
  <c r="S26" i="62"/>
  <c r="T25" i="62"/>
  <c r="S25" i="62" s="1"/>
  <c r="AB24" i="62"/>
  <c r="AA24" i="62"/>
  <c r="Y24" i="62"/>
  <c r="T24" i="62"/>
  <c r="U23" i="62"/>
  <c r="V23" i="62" s="1"/>
  <c r="S23" i="62"/>
  <c r="AB22" i="62"/>
  <c r="AA22" i="62"/>
  <c r="Y22" i="62"/>
  <c r="U22" i="62"/>
  <c r="S22" i="62"/>
  <c r="U21" i="62"/>
  <c r="S21" i="62"/>
  <c r="U20" i="62"/>
  <c r="S20" i="62"/>
  <c r="U19" i="62"/>
  <c r="S19" i="62"/>
  <c r="T18" i="62"/>
  <c r="S18" i="62" s="1"/>
  <c r="U17" i="62"/>
  <c r="S17" i="62"/>
  <c r="U16" i="62"/>
  <c r="S16" i="62"/>
  <c r="U15" i="62"/>
  <c r="S15" i="62"/>
  <c r="U14" i="62"/>
  <c r="V14" i="62" s="1"/>
  <c r="S14" i="62"/>
  <c r="U13" i="62"/>
  <c r="V13" i="62" s="1"/>
  <c r="S13" i="62"/>
  <c r="G5" i="62"/>
  <c r="T48" i="61"/>
  <c r="T44" i="61"/>
  <c r="T30" i="61"/>
  <c r="T34" i="61" s="1"/>
  <c r="T18" i="61"/>
  <c r="I84" i="61"/>
  <c r="T60" i="61"/>
  <c r="U60" i="61" s="1"/>
  <c r="T59" i="61"/>
  <c r="S59" i="61"/>
  <c r="T58" i="61"/>
  <c r="T57" i="61"/>
  <c r="S57" i="61"/>
  <c r="T56" i="61"/>
  <c r="S56" i="61" s="1"/>
  <c r="U55" i="61"/>
  <c r="T55" i="61"/>
  <c r="S55" i="61" s="1"/>
  <c r="V53" i="61"/>
  <c r="U53" i="61"/>
  <c r="S53" i="61"/>
  <c r="U52" i="61"/>
  <c r="V52" i="61" s="1"/>
  <c r="S52" i="61"/>
  <c r="U51" i="61"/>
  <c r="V51" i="61" s="1"/>
  <c r="S51" i="61"/>
  <c r="U49" i="61"/>
  <c r="V49" i="61" s="1"/>
  <c r="S49" i="61"/>
  <c r="U47" i="61"/>
  <c r="S47" i="61"/>
  <c r="U46" i="61"/>
  <c r="S46" i="61"/>
  <c r="U44" i="61"/>
  <c r="S44" i="61"/>
  <c r="U43" i="61"/>
  <c r="S43" i="61"/>
  <c r="U42" i="61"/>
  <c r="S42" i="61"/>
  <c r="U41" i="61"/>
  <c r="S41" i="61"/>
  <c r="U40" i="61"/>
  <c r="S40" i="61"/>
  <c r="U39" i="61"/>
  <c r="S39" i="61"/>
  <c r="U38" i="61"/>
  <c r="S38" i="61"/>
  <c r="T36" i="61"/>
  <c r="T35" i="61"/>
  <c r="S35" i="61" s="1"/>
  <c r="U32" i="61"/>
  <c r="S32" i="61"/>
  <c r="V31" i="61"/>
  <c r="U31" i="61"/>
  <c r="S31" i="61"/>
  <c r="S30" i="61"/>
  <c r="AB28" i="61"/>
  <c r="AA28" i="61"/>
  <c r="Y28" i="61"/>
  <c r="T28" i="61"/>
  <c r="U28" i="61" s="1"/>
  <c r="S28" i="61"/>
  <c r="AB27" i="61"/>
  <c r="AA27" i="61"/>
  <c r="Y27" i="61"/>
  <c r="T27" i="61"/>
  <c r="U27" i="61" s="1"/>
  <c r="S27" i="61"/>
  <c r="AB26" i="61"/>
  <c r="AA26" i="61"/>
  <c r="Y26" i="61"/>
  <c r="T26" i="61"/>
  <c r="U26" i="61" s="1"/>
  <c r="S26" i="61"/>
  <c r="T25" i="61"/>
  <c r="S25" i="61"/>
  <c r="AB24" i="61"/>
  <c r="AA24" i="61"/>
  <c r="Y24" i="61"/>
  <c r="T24" i="61"/>
  <c r="U24" i="61" s="1"/>
  <c r="U23" i="61"/>
  <c r="V23" i="61" s="1"/>
  <c r="S23" i="61"/>
  <c r="AB22" i="61"/>
  <c r="AA22" i="61"/>
  <c r="Y22" i="61"/>
  <c r="U22" i="61"/>
  <c r="S22" i="61"/>
  <c r="U21" i="61"/>
  <c r="S21" i="61"/>
  <c r="U20" i="61"/>
  <c r="S20" i="61"/>
  <c r="U19" i="61"/>
  <c r="S19" i="61"/>
  <c r="S18" i="61"/>
  <c r="U17" i="61"/>
  <c r="V17" i="61" s="1"/>
  <c r="S17" i="61"/>
  <c r="U16" i="61"/>
  <c r="V16" i="61" s="1"/>
  <c r="S16" i="61"/>
  <c r="U15" i="61"/>
  <c r="V15" i="61" s="1"/>
  <c r="S15" i="61"/>
  <c r="U14" i="61"/>
  <c r="V14" i="61" s="1"/>
  <c r="S14" i="61"/>
  <c r="U13" i="61"/>
  <c r="V13" i="61" s="1"/>
  <c r="S13" i="61"/>
  <c r="G5" i="61"/>
  <c r="T48" i="60"/>
  <c r="T30" i="60"/>
  <c r="T28" i="60"/>
  <c r="T27" i="60"/>
  <c r="T26" i="60"/>
  <c r="T25" i="60"/>
  <c r="T24" i="60"/>
  <c r="T18" i="60"/>
  <c r="U47" i="60"/>
  <c r="V47" i="60" s="1"/>
  <c r="S47" i="60"/>
  <c r="U17" i="60"/>
  <c r="S17" i="60"/>
  <c r="O71" i="66" l="1"/>
  <c r="O64" i="71"/>
  <c r="O64" i="72"/>
  <c r="O64" i="70"/>
  <c r="O73" i="68"/>
  <c r="H73" i="68" s="1"/>
  <c r="O64" i="69"/>
  <c r="H64" i="69" s="1"/>
  <c r="O72" i="66"/>
  <c r="O65" i="71"/>
  <c r="O65" i="72"/>
  <c r="O65" i="70"/>
  <c r="O74" i="68"/>
  <c r="I74" i="68" s="1"/>
  <c r="O65" i="69"/>
  <c r="I65" i="69" s="1"/>
  <c r="O76" i="67"/>
  <c r="J76" i="67" s="1"/>
  <c r="O67" i="71"/>
  <c r="O67" i="72"/>
  <c r="O67" i="70"/>
  <c r="O76" i="68"/>
  <c r="H76" i="68" s="1"/>
  <c r="O67" i="69"/>
  <c r="G70" i="67"/>
  <c r="H70" i="67"/>
  <c r="I70" i="67"/>
  <c r="J70" i="67"/>
  <c r="G71" i="67"/>
  <c r="I71" i="67"/>
  <c r="H71" i="67"/>
  <c r="J71" i="67"/>
  <c r="G72" i="67"/>
  <c r="H72" i="67"/>
  <c r="I72" i="67"/>
  <c r="J72" i="67"/>
  <c r="V59" i="70"/>
  <c r="V33" i="70"/>
  <c r="V46" i="69"/>
  <c r="V25" i="69"/>
  <c r="V56" i="69"/>
  <c r="V54" i="69"/>
  <c r="V55" i="69"/>
  <c r="V65" i="69"/>
  <c r="U33" i="69"/>
  <c r="S33" i="69"/>
  <c r="V29" i="69"/>
  <c r="V64" i="69"/>
  <c r="V26" i="69"/>
  <c r="V24" i="69"/>
  <c r="I61" i="69"/>
  <c r="V61" i="69"/>
  <c r="J61" i="69" s="1"/>
  <c r="U59" i="69"/>
  <c r="S59" i="69"/>
  <c r="V17" i="69"/>
  <c r="V34" i="69"/>
  <c r="V47" i="69"/>
  <c r="I62" i="69"/>
  <c r="V62" i="69"/>
  <c r="J62" i="69" s="1"/>
  <c r="V27" i="69"/>
  <c r="H66" i="69"/>
  <c r="U66" i="69"/>
  <c r="S66" i="69"/>
  <c r="G66" i="69" s="1"/>
  <c r="V31" i="68"/>
  <c r="V19" i="68"/>
  <c r="V43" i="68"/>
  <c r="S42" i="68"/>
  <c r="U42" i="68"/>
  <c r="V57" i="68"/>
  <c r="I70" i="68"/>
  <c r="V70" i="68"/>
  <c r="J70" i="68" s="1"/>
  <c r="V63" i="68"/>
  <c r="V56" i="68"/>
  <c r="I21" i="68"/>
  <c r="V21" i="68"/>
  <c r="J21" i="68" s="1"/>
  <c r="V51" i="68"/>
  <c r="V38" i="68"/>
  <c r="U68" i="68"/>
  <c r="S68" i="68"/>
  <c r="I23" i="68"/>
  <c r="V23" i="68"/>
  <c r="J23" i="68" s="1"/>
  <c r="V76" i="68"/>
  <c r="I71" i="68"/>
  <c r="V71" i="68"/>
  <c r="J71" i="68" s="1"/>
  <c r="I15" i="68"/>
  <c r="V15" i="68"/>
  <c r="J15" i="68" s="1"/>
  <c r="I72" i="68"/>
  <c r="V72" i="68"/>
  <c r="J72" i="68" s="1"/>
  <c r="H75" i="68"/>
  <c r="U75" i="68"/>
  <c r="S75" i="68"/>
  <c r="G75" i="68" s="1"/>
  <c r="V66" i="68"/>
  <c r="V64" i="68"/>
  <c r="V74" i="68"/>
  <c r="V73" i="68"/>
  <c r="O74" i="66"/>
  <c r="O75" i="67"/>
  <c r="O74" i="67"/>
  <c r="O73" i="67"/>
  <c r="O70" i="66"/>
  <c r="O69" i="66"/>
  <c r="O68" i="66"/>
  <c r="V32" i="67"/>
  <c r="J32" i="67" s="1"/>
  <c r="I32" i="67"/>
  <c r="H32" i="67"/>
  <c r="S32" i="67"/>
  <c r="G32" i="67" s="1"/>
  <c r="S66" i="67"/>
  <c r="U36" i="67"/>
  <c r="V36" i="67" s="1"/>
  <c r="J36" i="67" s="1"/>
  <c r="S61" i="67"/>
  <c r="S36" i="67"/>
  <c r="G36" i="67" s="1"/>
  <c r="T73" i="67"/>
  <c r="U73" i="67" s="1"/>
  <c r="V73" i="67" s="1"/>
  <c r="U51" i="67"/>
  <c r="U59" i="67"/>
  <c r="V59" i="67" s="1"/>
  <c r="S70" i="67"/>
  <c r="U56" i="67"/>
  <c r="S60" i="67"/>
  <c r="S54" i="67"/>
  <c r="S65" i="67"/>
  <c r="U33" i="67"/>
  <c r="V48" i="67"/>
  <c r="U19" i="67"/>
  <c r="U38" i="67"/>
  <c r="U31" i="67"/>
  <c r="T42" i="67"/>
  <c r="S71" i="67"/>
  <c r="S76" i="67"/>
  <c r="U34" i="67"/>
  <c r="S30" i="67"/>
  <c r="S43" i="67"/>
  <c r="V14" i="67"/>
  <c r="S19" i="67"/>
  <c r="S38" i="67"/>
  <c r="V64" i="67"/>
  <c r="V44" i="67"/>
  <c r="V65" i="67"/>
  <c r="S75" i="67"/>
  <c r="U75" i="67"/>
  <c r="V75" i="67" s="1"/>
  <c r="V30" i="67"/>
  <c r="V43" i="67"/>
  <c r="U15" i="67"/>
  <c r="U18" i="67"/>
  <c r="S20" i="67"/>
  <c r="S21" i="67"/>
  <c r="G21" i="67" s="1"/>
  <c r="S23" i="67"/>
  <c r="G23" i="67" s="1"/>
  <c r="S26" i="67"/>
  <c r="G26" i="67" s="1"/>
  <c r="S28" i="67"/>
  <c r="G28" i="67" s="1"/>
  <c r="S35" i="67"/>
  <c r="G35" i="67" s="1"/>
  <c r="U52" i="67"/>
  <c r="S55" i="67"/>
  <c r="V66" i="67"/>
  <c r="U67" i="67"/>
  <c r="T68" i="67"/>
  <c r="U72" i="67"/>
  <c r="V72" i="67" s="1"/>
  <c r="S74" i="67"/>
  <c r="U20" i="67"/>
  <c r="U21" i="67"/>
  <c r="U23" i="67"/>
  <c r="U26" i="67"/>
  <c r="U28" i="67"/>
  <c r="U35" i="67"/>
  <c r="V54" i="67"/>
  <c r="U55" i="67"/>
  <c r="S57" i="67"/>
  <c r="S63" i="67"/>
  <c r="H15" i="67"/>
  <c r="H18" i="67"/>
  <c r="S64" i="67"/>
  <c r="U71" i="67"/>
  <c r="V71" i="67" s="1"/>
  <c r="U57" i="67"/>
  <c r="V34" i="66"/>
  <c r="J34" i="66" s="1"/>
  <c r="I34" i="66"/>
  <c r="H34" i="66"/>
  <c r="S34" i="66"/>
  <c r="G34" i="66" s="1"/>
  <c r="S55" i="66"/>
  <c r="S26" i="66"/>
  <c r="G26" i="66" s="1"/>
  <c r="S28" i="66"/>
  <c r="G28" i="66" s="1"/>
  <c r="S18" i="66"/>
  <c r="G18" i="66" s="1"/>
  <c r="H28" i="66"/>
  <c r="I28" i="66"/>
  <c r="I26" i="66"/>
  <c r="U18" i="66"/>
  <c r="V18" i="66" s="1"/>
  <c r="J18" i="66" s="1"/>
  <c r="S57" i="66"/>
  <c r="U23" i="66"/>
  <c r="I23" i="66" s="1"/>
  <c r="H23" i="66"/>
  <c r="H21" i="66"/>
  <c r="V21" i="66"/>
  <c r="J21" i="66" s="1"/>
  <c r="I21" i="66"/>
  <c r="S21" i="66"/>
  <c r="G21" i="66" s="1"/>
  <c r="S33" i="66"/>
  <c r="H15" i="66"/>
  <c r="I15" i="66"/>
  <c r="U74" i="66"/>
  <c r="V74" i="66" s="1"/>
  <c r="S72" i="66"/>
  <c r="S31" i="66"/>
  <c r="U70" i="66"/>
  <c r="V70" i="66" s="1"/>
  <c r="S58" i="66"/>
  <c r="S15" i="66"/>
  <c r="G15" i="66" s="1"/>
  <c r="S52" i="66"/>
  <c r="T71" i="66"/>
  <c r="T73" i="66"/>
  <c r="U68" i="66"/>
  <c r="V68" i="66" s="1"/>
  <c r="S59" i="66"/>
  <c r="S53" i="66"/>
  <c r="U30" i="66"/>
  <c r="U32" i="66"/>
  <c r="V69" i="66"/>
  <c r="S69" i="66"/>
  <c r="U50" i="66"/>
  <c r="V50" i="66" s="1"/>
  <c r="U63" i="66"/>
  <c r="U61" i="66"/>
  <c r="S42" i="66"/>
  <c r="V13" i="66"/>
  <c r="U36" i="66"/>
  <c r="V36" i="66" s="1"/>
  <c r="V16" i="66"/>
  <c r="V14" i="66"/>
  <c r="U20" i="66"/>
  <c r="V37" i="66"/>
  <c r="V38" i="66"/>
  <c r="U19" i="66"/>
  <c r="T40" i="66"/>
  <c r="V41" i="66"/>
  <c r="V22" i="66"/>
  <c r="V24" i="66"/>
  <c r="V25" i="66"/>
  <c r="V27" i="66"/>
  <c r="V29" i="66"/>
  <c r="V42" i="66"/>
  <c r="V44" i="66"/>
  <c r="V45" i="66"/>
  <c r="V46" i="66"/>
  <c r="V47" i="66"/>
  <c r="V48" i="66"/>
  <c r="U49" i="66"/>
  <c r="S54" i="66"/>
  <c r="U62" i="66"/>
  <c r="S64" i="66"/>
  <c r="V52" i="66"/>
  <c r="V53" i="66"/>
  <c r="U54" i="66"/>
  <c r="U64" i="66"/>
  <c r="U65" i="66"/>
  <c r="T66" i="66"/>
  <c r="S41" i="66"/>
  <c r="U35" i="65"/>
  <c r="V29" i="65"/>
  <c r="S18" i="65"/>
  <c r="U54" i="65"/>
  <c r="V54" i="65" s="1"/>
  <c r="T33" i="65"/>
  <c r="S29" i="65"/>
  <c r="S47" i="65"/>
  <c r="V22" i="65"/>
  <c r="S17" i="65"/>
  <c r="V23" i="65"/>
  <c r="U26" i="65"/>
  <c r="S27" i="65"/>
  <c r="V34" i="65"/>
  <c r="V25" i="65"/>
  <c r="V18" i="65"/>
  <c r="V27" i="65"/>
  <c r="V43" i="65"/>
  <c r="U24" i="65"/>
  <c r="V41" i="65"/>
  <c r="U55" i="65"/>
  <c r="V13" i="65"/>
  <c r="V14" i="65"/>
  <c r="V15" i="65"/>
  <c r="V16" i="65"/>
  <c r="U17" i="65"/>
  <c r="V45" i="65"/>
  <c r="V46" i="65"/>
  <c r="U47" i="65"/>
  <c r="U57" i="65"/>
  <c r="V39" i="65"/>
  <c r="U56" i="65"/>
  <c r="U58" i="65"/>
  <c r="T59" i="65"/>
  <c r="U42" i="65"/>
  <c r="S34" i="65"/>
  <c r="S43" i="64"/>
  <c r="U57" i="64"/>
  <c r="V57" i="64" s="1"/>
  <c r="S25" i="64"/>
  <c r="S26" i="64"/>
  <c r="V16" i="64"/>
  <c r="S36" i="64"/>
  <c r="U36" i="64"/>
  <c r="V36" i="64" s="1"/>
  <c r="U17" i="64"/>
  <c r="V17" i="64" s="1"/>
  <c r="U27" i="64"/>
  <c r="U56" i="64"/>
  <c r="U43" i="64"/>
  <c r="V27" i="64"/>
  <c r="V41" i="64"/>
  <c r="U44" i="64"/>
  <c r="S56" i="64"/>
  <c r="S23" i="64"/>
  <c r="V38" i="64"/>
  <c r="U60" i="64"/>
  <c r="S60" i="64"/>
  <c r="V24" i="64"/>
  <c r="V55" i="64"/>
  <c r="S18" i="64"/>
  <c r="S48" i="64"/>
  <c r="S58" i="64"/>
  <c r="U18" i="64"/>
  <c r="V46" i="64"/>
  <c r="V47" i="64"/>
  <c r="U48" i="64"/>
  <c r="U58" i="64"/>
  <c r="V19" i="64"/>
  <c r="V20" i="64"/>
  <c r="V21" i="64"/>
  <c r="V22" i="64"/>
  <c r="U23" i="64"/>
  <c r="V28" i="64"/>
  <c r="U30" i="64"/>
  <c r="T34" i="64"/>
  <c r="S35" i="64"/>
  <c r="V49" i="64"/>
  <c r="U59" i="64"/>
  <c r="S24" i="64"/>
  <c r="V26" i="64"/>
  <c r="U35" i="64"/>
  <c r="S55" i="64"/>
  <c r="V53" i="63"/>
  <c r="V64" i="63"/>
  <c r="S64" i="63"/>
  <c r="S17" i="63"/>
  <c r="V38" i="63"/>
  <c r="S36" i="63"/>
  <c r="S38" i="63"/>
  <c r="T65" i="63"/>
  <c r="U65" i="63" s="1"/>
  <c r="S62" i="63"/>
  <c r="V65" i="63"/>
  <c r="S59" i="63"/>
  <c r="S63" i="63"/>
  <c r="U26" i="63"/>
  <c r="U59" i="63"/>
  <c r="V59" i="63" s="1"/>
  <c r="S25" i="63"/>
  <c r="V30" i="63"/>
  <c r="S30" i="63"/>
  <c r="T35" i="63"/>
  <c r="S35" i="63" s="1"/>
  <c r="V16" i="63"/>
  <c r="U24" i="63"/>
  <c r="V40" i="63"/>
  <c r="V41" i="63"/>
  <c r="V42" i="63"/>
  <c r="V43" i="63"/>
  <c r="V44" i="63"/>
  <c r="V46" i="63"/>
  <c r="U47" i="63"/>
  <c r="U61" i="63"/>
  <c r="S23" i="63"/>
  <c r="V49" i="63"/>
  <c r="V50" i="63"/>
  <c r="U51" i="63"/>
  <c r="U62" i="63"/>
  <c r="V15" i="63"/>
  <c r="U27" i="63"/>
  <c r="U63" i="63"/>
  <c r="U18" i="63"/>
  <c r="U37" i="63"/>
  <c r="V19" i="63"/>
  <c r="U25" i="63"/>
  <c r="U23" i="63"/>
  <c r="U60" i="63"/>
  <c r="V55" i="62"/>
  <c r="S27" i="62"/>
  <c r="U27" i="62"/>
  <c r="V27" i="62" s="1"/>
  <c r="S28" i="62"/>
  <c r="V34" i="62"/>
  <c r="S44" i="62"/>
  <c r="S57" i="62"/>
  <c r="V17" i="62"/>
  <c r="V35" i="62"/>
  <c r="V20" i="62"/>
  <c r="V21" i="62"/>
  <c r="V22" i="62"/>
  <c r="U26" i="62"/>
  <c r="U28" i="62"/>
  <c r="V38" i="62"/>
  <c r="V39" i="62"/>
  <c r="V40" i="62"/>
  <c r="V41" i="62"/>
  <c r="V42" i="62"/>
  <c r="V43" i="62"/>
  <c r="U44" i="62"/>
  <c r="V56" i="62"/>
  <c r="U57" i="62"/>
  <c r="V15" i="62"/>
  <c r="U36" i="62"/>
  <c r="V19" i="62"/>
  <c r="S24" i="62"/>
  <c r="U48" i="62"/>
  <c r="U58" i="62"/>
  <c r="V16" i="62"/>
  <c r="U25" i="62"/>
  <c r="U59" i="62"/>
  <c r="U24" i="62"/>
  <c r="S34" i="62"/>
  <c r="U60" i="62"/>
  <c r="U18" i="62"/>
  <c r="V32" i="61"/>
  <c r="U36" i="61"/>
  <c r="S60" i="61"/>
  <c r="U57" i="61"/>
  <c r="S36" i="61"/>
  <c r="V28" i="61"/>
  <c r="S34" i="61"/>
  <c r="U34" i="61"/>
  <c r="V26" i="61"/>
  <c r="V27" i="61"/>
  <c r="V60" i="61"/>
  <c r="V24" i="61"/>
  <c r="U35" i="61"/>
  <c r="S48" i="61"/>
  <c r="V55" i="61"/>
  <c r="U56" i="61"/>
  <c r="S58" i="61"/>
  <c r="U18" i="61"/>
  <c r="U25" i="61"/>
  <c r="V19" i="61"/>
  <c r="V20" i="61"/>
  <c r="V21" i="61"/>
  <c r="V22" i="61"/>
  <c r="V38" i="61"/>
  <c r="V39" i="61"/>
  <c r="V40" i="61"/>
  <c r="V41" i="61"/>
  <c r="V42" i="61"/>
  <c r="V43" i="61"/>
  <c r="V44" i="61"/>
  <c r="V46" i="61"/>
  <c r="V47" i="61"/>
  <c r="U48" i="61"/>
  <c r="V57" i="61"/>
  <c r="U58" i="61"/>
  <c r="S24" i="61"/>
  <c r="U59" i="61"/>
  <c r="U30" i="61"/>
  <c r="V17" i="60"/>
  <c r="O26" i="72" l="1"/>
  <c r="O74" i="71"/>
  <c r="O17" i="71"/>
  <c r="O15" i="71"/>
  <c r="O13" i="71"/>
  <c r="O22" i="72"/>
  <c r="O20" i="72"/>
  <c r="O15" i="72"/>
  <c r="O13" i="72"/>
  <c r="O26" i="71"/>
  <c r="O23" i="71"/>
  <c r="O21" i="71"/>
  <c r="O19" i="71"/>
  <c r="O16" i="72"/>
  <c r="O18" i="71"/>
  <c r="O14" i="71"/>
  <c r="O27" i="72"/>
  <c r="O24" i="71"/>
  <c r="O18" i="72"/>
  <c r="O27" i="71"/>
  <c r="O23" i="72"/>
  <c r="O16" i="71"/>
  <c r="O17" i="72"/>
  <c r="O24" i="72"/>
  <c r="O21" i="72"/>
  <c r="O14" i="72"/>
  <c r="O22" i="71"/>
  <c r="O20" i="71"/>
  <c r="O19" i="72"/>
  <c r="O25" i="71"/>
  <c r="O25" i="72"/>
  <c r="I64" i="69"/>
  <c r="J64" i="69"/>
  <c r="J74" i="68"/>
  <c r="J65" i="69"/>
  <c r="G64" i="70"/>
  <c r="H64" i="70"/>
  <c r="I64" i="70"/>
  <c r="H64" i="72"/>
  <c r="G64" i="72"/>
  <c r="I64" i="72"/>
  <c r="J64" i="72"/>
  <c r="I73" i="68"/>
  <c r="H64" i="71"/>
  <c r="G64" i="71"/>
  <c r="I64" i="71"/>
  <c r="J64" i="71"/>
  <c r="J73" i="68"/>
  <c r="J64" i="70"/>
  <c r="G64" i="69"/>
  <c r="G73" i="68"/>
  <c r="H65" i="69"/>
  <c r="G65" i="69"/>
  <c r="G74" i="68"/>
  <c r="H74" i="68"/>
  <c r="H65" i="70"/>
  <c r="G65" i="70"/>
  <c r="I65" i="70"/>
  <c r="J65" i="70"/>
  <c r="H65" i="72"/>
  <c r="I65" i="72"/>
  <c r="G65" i="72"/>
  <c r="J65" i="72"/>
  <c r="H65" i="71"/>
  <c r="I65" i="71"/>
  <c r="J65" i="71"/>
  <c r="G65" i="71"/>
  <c r="H76" i="67"/>
  <c r="I76" i="67"/>
  <c r="G76" i="68"/>
  <c r="G76" i="67"/>
  <c r="J76" i="68"/>
  <c r="I76" i="68"/>
  <c r="I67" i="69"/>
  <c r="G67" i="69"/>
  <c r="H67" i="69"/>
  <c r="H67" i="70"/>
  <c r="G67" i="70"/>
  <c r="I67" i="70"/>
  <c r="J67" i="70"/>
  <c r="H67" i="72"/>
  <c r="I67" i="72"/>
  <c r="J67" i="72"/>
  <c r="G67" i="72"/>
  <c r="H67" i="71"/>
  <c r="G67" i="71"/>
  <c r="I67" i="71"/>
  <c r="J67" i="71"/>
  <c r="J67" i="69"/>
  <c r="I74" i="67"/>
  <c r="J74" i="67"/>
  <c r="G74" i="67"/>
  <c r="H74" i="67"/>
  <c r="J75" i="67"/>
  <c r="H75" i="67"/>
  <c r="G75" i="67"/>
  <c r="I75" i="67"/>
  <c r="O22" i="66"/>
  <c r="H22" i="66" s="1"/>
  <c r="O26" i="70"/>
  <c r="O27" i="70"/>
  <c r="O21" i="70"/>
  <c r="O13" i="70"/>
  <c r="G13" i="70" s="1"/>
  <c r="O23" i="70"/>
  <c r="O24" i="70"/>
  <c r="O17" i="70"/>
  <c r="O19" i="70"/>
  <c r="O15" i="70"/>
  <c r="O22" i="70"/>
  <c r="O20" i="70"/>
  <c r="O25" i="70"/>
  <c r="O16" i="70"/>
  <c r="O18" i="70"/>
  <c r="O14" i="70"/>
  <c r="O31" i="68"/>
  <c r="O25" i="68"/>
  <c r="O25" i="69"/>
  <c r="J25" i="69" s="1"/>
  <c r="O17" i="69"/>
  <c r="J17" i="69" s="1"/>
  <c r="O15" i="69"/>
  <c r="O13" i="69"/>
  <c r="O17" i="68"/>
  <c r="O30" i="68"/>
  <c r="O22" i="69"/>
  <c r="O22" i="68"/>
  <c r="O19" i="68"/>
  <c r="J19" i="68" s="1"/>
  <c r="O13" i="68"/>
  <c r="O20" i="69"/>
  <c r="O34" i="68"/>
  <c r="O26" i="69"/>
  <c r="J26" i="69" s="1"/>
  <c r="O23" i="69"/>
  <c r="O21" i="69"/>
  <c r="O19" i="69"/>
  <c r="O24" i="68"/>
  <c r="O20" i="68"/>
  <c r="O24" i="69"/>
  <c r="J24" i="69" s="1"/>
  <c r="O33" i="68"/>
  <c r="O16" i="68"/>
  <c r="O27" i="69"/>
  <c r="J27" i="69" s="1"/>
  <c r="O16" i="69"/>
  <c r="O14" i="69"/>
  <c r="O14" i="68"/>
  <c r="O29" i="68"/>
  <c r="O18" i="69"/>
  <c r="O27" i="68"/>
  <c r="O13" i="67"/>
  <c r="O30" i="67"/>
  <c r="J30" i="67" s="1"/>
  <c r="O20" i="67"/>
  <c r="H20" i="67" s="1"/>
  <c r="O24" i="67"/>
  <c r="O16" i="67"/>
  <c r="O31" i="67"/>
  <c r="I31" i="67" s="1"/>
  <c r="O33" i="67"/>
  <c r="I33" i="67" s="1"/>
  <c r="O27" i="67"/>
  <c r="O19" i="67"/>
  <c r="H19" i="67" s="1"/>
  <c r="O17" i="67"/>
  <c r="O25" i="67"/>
  <c r="O14" i="67"/>
  <c r="J14" i="67" s="1"/>
  <c r="O29" i="67"/>
  <c r="O34" i="67"/>
  <c r="O22" i="67"/>
  <c r="H73" i="67"/>
  <c r="I73" i="67"/>
  <c r="G73" i="67"/>
  <c r="J73" i="67"/>
  <c r="V33" i="69"/>
  <c r="I66" i="69"/>
  <c r="V66" i="69"/>
  <c r="J66" i="69" s="1"/>
  <c r="V59" i="69"/>
  <c r="V42" i="68"/>
  <c r="V68" i="68"/>
  <c r="V75" i="68"/>
  <c r="J75" i="68" s="1"/>
  <c r="I75" i="68"/>
  <c r="V56" i="67"/>
  <c r="V34" i="67"/>
  <c r="I36" i="67"/>
  <c r="S73" i="67"/>
  <c r="V38" i="67"/>
  <c r="V19" i="67"/>
  <c r="V51" i="67"/>
  <c r="S42" i="67"/>
  <c r="V31" i="67"/>
  <c r="V33" i="67"/>
  <c r="U42" i="67"/>
  <c r="V52" i="67"/>
  <c r="I35" i="67"/>
  <c r="V35" i="67"/>
  <c r="J35" i="67" s="1"/>
  <c r="I18" i="67"/>
  <c r="V18" i="67"/>
  <c r="J18" i="67" s="1"/>
  <c r="I28" i="67"/>
  <c r="V28" i="67"/>
  <c r="J28" i="67" s="1"/>
  <c r="U68" i="67"/>
  <c r="S68" i="67"/>
  <c r="V15" i="67"/>
  <c r="J15" i="67" s="1"/>
  <c r="I15" i="67"/>
  <c r="I26" i="67"/>
  <c r="V26" i="67"/>
  <c r="J26" i="67" s="1"/>
  <c r="I23" i="67"/>
  <c r="V23" i="67"/>
  <c r="J23" i="67" s="1"/>
  <c r="V57" i="67"/>
  <c r="V55" i="67"/>
  <c r="I21" i="67"/>
  <c r="V21" i="67"/>
  <c r="J21" i="67" s="1"/>
  <c r="V67" i="67"/>
  <c r="V20" i="67"/>
  <c r="V23" i="66"/>
  <c r="J23" i="66" s="1"/>
  <c r="I18" i="66"/>
  <c r="V32" i="66"/>
  <c r="V30" i="66"/>
  <c r="V20" i="66"/>
  <c r="S73" i="66"/>
  <c r="U73" i="66"/>
  <c r="V73" i="66" s="1"/>
  <c r="S71" i="66"/>
  <c r="U71" i="66"/>
  <c r="V71" i="66" s="1"/>
  <c r="O15" i="65"/>
  <c r="J15" i="65" s="1"/>
  <c r="O24" i="63"/>
  <c r="H24" i="63" s="1"/>
  <c r="O29" i="66"/>
  <c r="J29" i="66" s="1"/>
  <c r="O18" i="65"/>
  <c r="H18" i="65" s="1"/>
  <c r="O25" i="63"/>
  <c r="H25" i="63" s="1"/>
  <c r="O23" i="63"/>
  <c r="H23" i="63" s="1"/>
  <c r="O30" i="66"/>
  <c r="I30" i="66" s="1"/>
  <c r="O13" i="64"/>
  <c r="G13" i="64" s="1"/>
  <c r="O14" i="66"/>
  <c r="J14" i="66" s="1"/>
  <c r="O28" i="63"/>
  <c r="J28" i="63" s="1"/>
  <c r="O17" i="63"/>
  <c r="I17" i="63" s="1"/>
  <c r="O31" i="66"/>
  <c r="O27" i="64"/>
  <c r="G27" i="64" s="1"/>
  <c r="O15" i="64"/>
  <c r="G15" i="64" s="1"/>
  <c r="O14" i="63"/>
  <c r="H14" i="63" s="1"/>
  <c r="O17" i="65"/>
  <c r="H17" i="65" s="1"/>
  <c r="O33" i="66"/>
  <c r="O14" i="64"/>
  <c r="O21" i="65"/>
  <c r="J21" i="65" s="1"/>
  <c r="O27" i="63"/>
  <c r="I27" i="63" s="1"/>
  <c r="O15" i="63"/>
  <c r="J15" i="63" s="1"/>
  <c r="O32" i="66"/>
  <c r="O20" i="64"/>
  <c r="O26" i="65"/>
  <c r="I26" i="65" s="1"/>
  <c r="O18" i="63"/>
  <c r="I18" i="63" s="1"/>
  <c r="O16" i="66"/>
  <c r="O21" i="64"/>
  <c r="J21" i="64" s="1"/>
  <c r="O16" i="65"/>
  <c r="J16" i="65" s="1"/>
  <c r="O20" i="65"/>
  <c r="H20" i="65" s="1"/>
  <c r="O22" i="65"/>
  <c r="G22" i="65" s="1"/>
  <c r="O19" i="63"/>
  <c r="J19" i="63" s="1"/>
  <c r="O21" i="63"/>
  <c r="G21" i="63" s="1"/>
  <c r="O25" i="64"/>
  <c r="O13" i="63"/>
  <c r="J13" i="63" s="1"/>
  <c r="O16" i="64"/>
  <c r="H16" i="64" s="1"/>
  <c r="O20" i="66"/>
  <c r="O13" i="65"/>
  <c r="O19" i="65"/>
  <c r="H19" i="65" s="1"/>
  <c r="O22" i="63"/>
  <c r="I22" i="63" s="1"/>
  <c r="O20" i="63"/>
  <c r="H20" i="63" s="1"/>
  <c r="O24" i="66"/>
  <c r="O18" i="64"/>
  <c r="H18" i="64" s="1"/>
  <c r="O26" i="63"/>
  <c r="I26" i="63" s="1"/>
  <c r="O19" i="64"/>
  <c r="O23" i="65"/>
  <c r="O17" i="64"/>
  <c r="O14" i="65"/>
  <c r="H14" i="65" s="1"/>
  <c r="O25" i="66"/>
  <c r="O27" i="65"/>
  <c r="I27" i="65" s="1"/>
  <c r="O13" i="66"/>
  <c r="G13" i="66" s="1"/>
  <c r="O19" i="66"/>
  <c r="I19" i="66" s="1"/>
  <c r="O22" i="64"/>
  <c r="H22" i="64" s="1"/>
  <c r="O24" i="64"/>
  <c r="O27" i="66"/>
  <c r="J27" i="66" s="1"/>
  <c r="O28" i="64"/>
  <c r="J28" i="64" s="1"/>
  <c r="O24" i="65"/>
  <c r="I24" i="65" s="1"/>
  <c r="O25" i="65"/>
  <c r="I25" i="65" s="1"/>
  <c r="O23" i="64"/>
  <c r="H23" i="64" s="1"/>
  <c r="O16" i="63"/>
  <c r="J16" i="63" s="1"/>
  <c r="O26" i="64"/>
  <c r="O17" i="66"/>
  <c r="V63" i="66"/>
  <c r="V61" i="66"/>
  <c r="S40" i="66"/>
  <c r="U40" i="66"/>
  <c r="V19" i="66"/>
  <c r="V64" i="66"/>
  <c r="U66" i="66"/>
  <c r="S66" i="66"/>
  <c r="V62" i="66"/>
  <c r="V65" i="66"/>
  <c r="V49" i="66"/>
  <c r="V54" i="66"/>
  <c r="V35" i="65"/>
  <c r="S33" i="65"/>
  <c r="U33" i="65"/>
  <c r="V26" i="65"/>
  <c r="V42" i="65"/>
  <c r="U59" i="65"/>
  <c r="S59" i="65"/>
  <c r="V56" i="65"/>
  <c r="V47" i="65"/>
  <c r="V58" i="65"/>
  <c r="V57" i="65"/>
  <c r="V17" i="65"/>
  <c r="V24" i="65"/>
  <c r="V55" i="65"/>
  <c r="V44" i="64"/>
  <c r="V56" i="64"/>
  <c r="V43" i="64"/>
  <c r="U34" i="64"/>
  <c r="S34" i="64"/>
  <c r="V18" i="64"/>
  <c r="V35" i="64"/>
  <c r="V30" i="64"/>
  <c r="V59" i="64"/>
  <c r="V58" i="64"/>
  <c r="V23" i="64"/>
  <c r="V48" i="64"/>
  <c r="V60" i="64"/>
  <c r="S65" i="63"/>
  <c r="V26" i="63"/>
  <c r="U35" i="63"/>
  <c r="V60" i="63"/>
  <c r="V25" i="63"/>
  <c r="V18" i="63"/>
  <c r="V51" i="63"/>
  <c r="V61" i="63"/>
  <c r="V24" i="63"/>
  <c r="V62" i="63"/>
  <c r="V23" i="63"/>
  <c r="V63" i="63"/>
  <c r="V47" i="63"/>
  <c r="V37" i="63"/>
  <c r="V27" i="63"/>
  <c r="V18" i="62"/>
  <c r="V60" i="62"/>
  <c r="V25" i="62"/>
  <c r="V44" i="62"/>
  <c r="V59" i="62"/>
  <c r="V57" i="62"/>
  <c r="V28" i="62"/>
  <c r="V58" i="62"/>
  <c r="V26" i="62"/>
  <c r="V24" i="62"/>
  <c r="V48" i="62"/>
  <c r="V36" i="62"/>
  <c r="V36" i="61"/>
  <c r="V48" i="61"/>
  <c r="V25" i="61"/>
  <c r="V30" i="61"/>
  <c r="V18" i="61"/>
  <c r="V56" i="61"/>
  <c r="V34" i="61"/>
  <c r="V59" i="61"/>
  <c r="V58" i="61"/>
  <c r="V35" i="61"/>
  <c r="C8" i="1"/>
  <c r="C7" i="1"/>
  <c r="C5" i="1"/>
  <c r="C12" i="1"/>
  <c r="C11" i="1"/>
  <c r="C10" i="1"/>
  <c r="C9" i="1"/>
  <c r="C6" i="1"/>
  <c r="I83" i="60"/>
  <c r="T60" i="60"/>
  <c r="S60" i="60" s="1"/>
  <c r="T59" i="60"/>
  <c r="S59" i="60" s="1"/>
  <c r="T58" i="60"/>
  <c r="T57" i="60"/>
  <c r="U57" i="60" s="1"/>
  <c r="T56" i="60"/>
  <c r="S56" i="60" s="1"/>
  <c r="T55" i="60"/>
  <c r="S55" i="60" s="1"/>
  <c r="U53" i="60"/>
  <c r="V53" i="60" s="1"/>
  <c r="S53" i="60"/>
  <c r="U52" i="60"/>
  <c r="V52" i="60" s="1"/>
  <c r="S52" i="60"/>
  <c r="U51" i="60"/>
  <c r="V51" i="60" s="1"/>
  <c r="S51" i="60"/>
  <c r="U49" i="60"/>
  <c r="V49" i="60" s="1"/>
  <c r="S49" i="60"/>
  <c r="U48" i="60"/>
  <c r="S48" i="60"/>
  <c r="U46" i="60"/>
  <c r="S46" i="60"/>
  <c r="U44" i="60"/>
  <c r="V44" i="60" s="1"/>
  <c r="S44" i="60"/>
  <c r="V43" i="60"/>
  <c r="U43" i="60"/>
  <c r="S43" i="60"/>
  <c r="U42" i="60"/>
  <c r="V42" i="60" s="1"/>
  <c r="S42" i="60"/>
  <c r="U41" i="60"/>
  <c r="V41" i="60" s="1"/>
  <c r="S41" i="60"/>
  <c r="U40" i="60"/>
  <c r="V40" i="60" s="1"/>
  <c r="S40" i="60"/>
  <c r="U39" i="60"/>
  <c r="V39" i="60" s="1"/>
  <c r="S39" i="60"/>
  <c r="U38" i="60"/>
  <c r="V38" i="60" s="1"/>
  <c r="S38" i="60"/>
  <c r="T36" i="60"/>
  <c r="S36" i="60" s="1"/>
  <c r="T35" i="60"/>
  <c r="S35" i="60" s="1"/>
  <c r="T34" i="60"/>
  <c r="S34" i="60" s="1"/>
  <c r="U32" i="60"/>
  <c r="V32" i="60" s="1"/>
  <c r="S32" i="60"/>
  <c r="U31" i="60"/>
  <c r="V31" i="60" s="1"/>
  <c r="S31" i="60"/>
  <c r="U30" i="60"/>
  <c r="V30" i="60" s="1"/>
  <c r="S30" i="60"/>
  <c r="AB28" i="60"/>
  <c r="AA28" i="60"/>
  <c r="Y28" i="60"/>
  <c r="U28" i="60"/>
  <c r="V28" i="60" s="1"/>
  <c r="S28" i="60"/>
  <c r="AB27" i="60"/>
  <c r="AA27" i="60"/>
  <c r="Y27" i="60"/>
  <c r="U27" i="60"/>
  <c r="S27" i="60"/>
  <c r="AB26" i="60"/>
  <c r="AA26" i="60"/>
  <c r="Y26" i="60"/>
  <c r="U26" i="60"/>
  <c r="V26" i="60" s="1"/>
  <c r="S26" i="60"/>
  <c r="U25" i="60"/>
  <c r="V25" i="60" s="1"/>
  <c r="S25" i="60"/>
  <c r="U18" i="60"/>
  <c r="V18" i="60" s="1"/>
  <c r="S18" i="60"/>
  <c r="AB24" i="60"/>
  <c r="AA24" i="60"/>
  <c r="Y24" i="60"/>
  <c r="U24" i="60"/>
  <c r="S24" i="60"/>
  <c r="U23" i="60"/>
  <c r="S23" i="60"/>
  <c r="AB22" i="60"/>
  <c r="AA22" i="60"/>
  <c r="Y22" i="60"/>
  <c r="U22" i="60"/>
  <c r="V22" i="60" s="1"/>
  <c r="S22" i="60"/>
  <c r="U21" i="60"/>
  <c r="V21" i="60" s="1"/>
  <c r="S21" i="60"/>
  <c r="U20" i="60"/>
  <c r="V20" i="60" s="1"/>
  <c r="S20" i="60"/>
  <c r="U19" i="60"/>
  <c r="V19" i="60" s="1"/>
  <c r="S19" i="60"/>
  <c r="U16" i="60"/>
  <c r="V16" i="60" s="1"/>
  <c r="S16" i="60"/>
  <c r="U15" i="60"/>
  <c r="V15" i="60" s="1"/>
  <c r="S15" i="60"/>
  <c r="U14" i="60"/>
  <c r="V14" i="60" s="1"/>
  <c r="S14" i="60"/>
  <c r="U13" i="60"/>
  <c r="V13" i="60" s="1"/>
  <c r="S13" i="60"/>
  <c r="G5" i="60"/>
  <c r="I81" i="59"/>
  <c r="T58" i="59"/>
  <c r="U58" i="59" s="1"/>
  <c r="T57" i="59"/>
  <c r="S57" i="59" s="1"/>
  <c r="T56" i="59"/>
  <c r="U56" i="59" s="1"/>
  <c r="T55" i="59"/>
  <c r="T54" i="59"/>
  <c r="S54" i="59" s="1"/>
  <c r="T53" i="59"/>
  <c r="S53" i="59" s="1"/>
  <c r="U51" i="59"/>
  <c r="V51" i="59" s="1"/>
  <c r="S51" i="59"/>
  <c r="U50" i="59"/>
  <c r="V50" i="59" s="1"/>
  <c r="S50" i="59"/>
  <c r="U49" i="59"/>
  <c r="V49" i="59" s="1"/>
  <c r="S49" i="59"/>
  <c r="U47" i="59"/>
  <c r="I47" i="59" s="1"/>
  <c r="S47" i="59"/>
  <c r="G47" i="59" s="1"/>
  <c r="H47" i="59"/>
  <c r="U46" i="59"/>
  <c r="V46" i="59" s="1"/>
  <c r="J46" i="59" s="1"/>
  <c r="S46" i="59"/>
  <c r="G46" i="59" s="1"/>
  <c r="H46" i="59"/>
  <c r="V45" i="59"/>
  <c r="J45" i="59" s="1"/>
  <c r="U45" i="59"/>
  <c r="S45" i="59"/>
  <c r="G45" i="59" s="1"/>
  <c r="I45" i="59"/>
  <c r="H45" i="59"/>
  <c r="V43" i="59"/>
  <c r="U43" i="59"/>
  <c r="S43" i="59"/>
  <c r="U42" i="59"/>
  <c r="S42" i="59"/>
  <c r="V41" i="59"/>
  <c r="U41" i="59"/>
  <c r="S41" i="59"/>
  <c r="U40" i="59"/>
  <c r="S40" i="59"/>
  <c r="V39" i="59"/>
  <c r="U39" i="59"/>
  <c r="S39" i="59"/>
  <c r="U38" i="59"/>
  <c r="S38" i="59"/>
  <c r="U37" i="59"/>
  <c r="V37" i="59" s="1"/>
  <c r="S37" i="59"/>
  <c r="T35" i="59"/>
  <c r="S35" i="59"/>
  <c r="T34" i="59"/>
  <c r="S34" i="59" s="1"/>
  <c r="T33" i="59"/>
  <c r="U31" i="59"/>
  <c r="V31" i="59" s="1"/>
  <c r="S31" i="59"/>
  <c r="U30" i="59"/>
  <c r="V30" i="59" s="1"/>
  <c r="S30" i="59"/>
  <c r="U29" i="59"/>
  <c r="V29" i="59" s="1"/>
  <c r="S29" i="59"/>
  <c r="AB27" i="59"/>
  <c r="AA27" i="59"/>
  <c r="Y27" i="59"/>
  <c r="U27" i="59"/>
  <c r="V27" i="59" s="1"/>
  <c r="S27" i="59"/>
  <c r="AB26" i="59"/>
  <c r="AA26" i="59"/>
  <c r="Y26" i="59"/>
  <c r="U26" i="59"/>
  <c r="V26" i="59" s="1"/>
  <c r="S26" i="59"/>
  <c r="AB25" i="59"/>
  <c r="AA25" i="59"/>
  <c r="Y25" i="59"/>
  <c r="U25" i="59"/>
  <c r="V25" i="59" s="1"/>
  <c r="S25" i="59"/>
  <c r="U24" i="59"/>
  <c r="V24" i="59" s="1"/>
  <c r="S24" i="59"/>
  <c r="U23" i="59"/>
  <c r="V23" i="59" s="1"/>
  <c r="S23" i="59"/>
  <c r="AB22" i="59"/>
  <c r="AA22" i="59"/>
  <c r="Y22" i="59"/>
  <c r="U22" i="59"/>
  <c r="V22" i="59" s="1"/>
  <c r="S22" i="59"/>
  <c r="U21" i="59"/>
  <c r="S21" i="59"/>
  <c r="AB20" i="59"/>
  <c r="AA20" i="59"/>
  <c r="Y20" i="59"/>
  <c r="U20" i="59"/>
  <c r="S20" i="59"/>
  <c r="U19" i="59"/>
  <c r="S19" i="59"/>
  <c r="U18" i="59"/>
  <c r="V18" i="59" s="1"/>
  <c r="S18" i="59"/>
  <c r="U17" i="59"/>
  <c r="S17" i="59"/>
  <c r="U16" i="59"/>
  <c r="V16" i="59" s="1"/>
  <c r="S16" i="59"/>
  <c r="U15" i="59"/>
  <c r="S15" i="59"/>
  <c r="U14" i="59"/>
  <c r="S14" i="59"/>
  <c r="U13" i="59"/>
  <c r="V13" i="59" s="1"/>
  <c r="S13" i="59"/>
  <c r="G5" i="59"/>
  <c r="T36" i="58"/>
  <c r="T35" i="58"/>
  <c r="T34" i="58"/>
  <c r="S34" i="58" s="1"/>
  <c r="U35" i="58"/>
  <c r="V35" i="58" s="1"/>
  <c r="S35" i="58"/>
  <c r="U31" i="58"/>
  <c r="V31" i="58" s="1"/>
  <c r="S31" i="58"/>
  <c r="I82" i="58"/>
  <c r="T59" i="58"/>
  <c r="U59" i="58" s="1"/>
  <c r="T58" i="58"/>
  <c r="U58" i="58" s="1"/>
  <c r="T57" i="58"/>
  <c r="U57" i="58" s="1"/>
  <c r="T56" i="58"/>
  <c r="T55" i="58"/>
  <c r="U55" i="58" s="1"/>
  <c r="T54" i="58"/>
  <c r="S54" i="58" s="1"/>
  <c r="U52" i="58"/>
  <c r="V52" i="58" s="1"/>
  <c r="S52" i="58"/>
  <c r="U51" i="58"/>
  <c r="V51" i="58" s="1"/>
  <c r="S51" i="58"/>
  <c r="U50" i="58"/>
  <c r="V50" i="58" s="1"/>
  <c r="S50" i="58"/>
  <c r="U48" i="58"/>
  <c r="V48" i="58" s="1"/>
  <c r="J48" i="58" s="1"/>
  <c r="S48" i="58"/>
  <c r="G48" i="58" s="1"/>
  <c r="I48" i="58"/>
  <c r="H48" i="58"/>
  <c r="U47" i="58"/>
  <c r="I47" i="58" s="1"/>
  <c r="S47" i="58"/>
  <c r="G47" i="58" s="1"/>
  <c r="H47" i="58"/>
  <c r="U46" i="58"/>
  <c r="V46" i="58" s="1"/>
  <c r="J46" i="58" s="1"/>
  <c r="S46" i="58"/>
  <c r="G46" i="58" s="1"/>
  <c r="I46" i="58"/>
  <c r="H46" i="58"/>
  <c r="U44" i="58"/>
  <c r="V44" i="58" s="1"/>
  <c r="S44" i="58"/>
  <c r="U43" i="58"/>
  <c r="V43" i="58" s="1"/>
  <c r="S43" i="58"/>
  <c r="U42" i="58"/>
  <c r="V42" i="58" s="1"/>
  <c r="S42" i="58"/>
  <c r="U41" i="58"/>
  <c r="V41" i="58" s="1"/>
  <c r="S41" i="58"/>
  <c r="U40" i="58"/>
  <c r="V40" i="58" s="1"/>
  <c r="S40" i="58"/>
  <c r="U39" i="58"/>
  <c r="V39" i="58" s="1"/>
  <c r="S39" i="58"/>
  <c r="U38" i="58"/>
  <c r="V38" i="58" s="1"/>
  <c r="S38" i="58"/>
  <c r="U36" i="58"/>
  <c r="V36" i="58" s="1"/>
  <c r="S36" i="58"/>
  <c r="U34" i="58"/>
  <c r="V34" i="58" s="1"/>
  <c r="U32" i="58"/>
  <c r="V32" i="58" s="1"/>
  <c r="S32" i="58"/>
  <c r="U30" i="58"/>
  <c r="V30" i="58" s="1"/>
  <c r="S30" i="58"/>
  <c r="AB28" i="58"/>
  <c r="AA28" i="58"/>
  <c r="Y28" i="58"/>
  <c r="U28" i="58"/>
  <c r="V28" i="58" s="1"/>
  <c r="S28" i="58"/>
  <c r="AB27" i="58"/>
  <c r="AA27" i="58"/>
  <c r="Y27" i="58"/>
  <c r="U27" i="58"/>
  <c r="V27" i="58" s="1"/>
  <c r="S27" i="58"/>
  <c r="AB26" i="58"/>
  <c r="AA26" i="58"/>
  <c r="Y26" i="58"/>
  <c r="U26" i="58"/>
  <c r="V26" i="58" s="1"/>
  <c r="S26" i="58"/>
  <c r="U25" i="58"/>
  <c r="V25" i="58" s="1"/>
  <c r="S25" i="58"/>
  <c r="U24" i="58"/>
  <c r="V24" i="58" s="1"/>
  <c r="S24" i="58"/>
  <c r="AB23" i="58"/>
  <c r="AA23" i="58"/>
  <c r="Y23" i="58"/>
  <c r="U23" i="58"/>
  <c r="V23" i="58" s="1"/>
  <c r="S23" i="58"/>
  <c r="U22" i="58"/>
  <c r="V22" i="58" s="1"/>
  <c r="S22" i="58"/>
  <c r="AB21" i="58"/>
  <c r="AA21" i="58"/>
  <c r="Y21" i="58"/>
  <c r="U21" i="58"/>
  <c r="V21" i="58" s="1"/>
  <c r="S21" i="58"/>
  <c r="V20" i="58"/>
  <c r="U20" i="58"/>
  <c r="S20" i="58"/>
  <c r="U19" i="58"/>
  <c r="V19" i="58" s="1"/>
  <c r="S19" i="58"/>
  <c r="U18" i="58"/>
  <c r="V18" i="58" s="1"/>
  <c r="S18" i="58"/>
  <c r="U17" i="58"/>
  <c r="V17" i="58" s="1"/>
  <c r="S17" i="58"/>
  <c r="U16" i="58"/>
  <c r="S16" i="58"/>
  <c r="U15" i="58"/>
  <c r="V15" i="58" s="1"/>
  <c r="S15" i="58"/>
  <c r="U14" i="58"/>
  <c r="V14" i="58" s="1"/>
  <c r="S14" i="58"/>
  <c r="U13" i="58"/>
  <c r="V13" i="58" s="1"/>
  <c r="S13" i="58"/>
  <c r="G5" i="58"/>
  <c r="I80" i="57"/>
  <c r="T57" i="57"/>
  <c r="U57" i="57" s="1"/>
  <c r="S57" i="57"/>
  <c r="T56" i="57"/>
  <c r="T55" i="57"/>
  <c r="U55" i="57" s="1"/>
  <c r="T54" i="57"/>
  <c r="T53" i="57"/>
  <c r="U53" i="57" s="1"/>
  <c r="T52" i="57"/>
  <c r="S52" i="57" s="1"/>
  <c r="V50" i="57"/>
  <c r="U50" i="57"/>
  <c r="S50" i="57"/>
  <c r="V49" i="57"/>
  <c r="U49" i="57"/>
  <c r="S49" i="57"/>
  <c r="U48" i="57"/>
  <c r="V48" i="57" s="1"/>
  <c r="S48" i="57"/>
  <c r="U46" i="57"/>
  <c r="V46" i="57" s="1"/>
  <c r="J46" i="57" s="1"/>
  <c r="S46" i="57"/>
  <c r="G46" i="57" s="1"/>
  <c r="I46" i="57"/>
  <c r="H46" i="57"/>
  <c r="V45" i="57"/>
  <c r="U45" i="57"/>
  <c r="S45" i="57"/>
  <c r="G45" i="57" s="1"/>
  <c r="J45" i="57"/>
  <c r="I45" i="57"/>
  <c r="H45" i="57"/>
  <c r="V44" i="57"/>
  <c r="J44" i="57" s="1"/>
  <c r="U44" i="57"/>
  <c r="S44" i="57"/>
  <c r="G44" i="57" s="1"/>
  <c r="I44" i="57"/>
  <c r="H44" i="57"/>
  <c r="V42" i="57"/>
  <c r="U42" i="57"/>
  <c r="S42" i="57"/>
  <c r="U41" i="57"/>
  <c r="V41" i="57" s="1"/>
  <c r="S41" i="57"/>
  <c r="U40" i="57"/>
  <c r="V40" i="57" s="1"/>
  <c r="S40" i="57"/>
  <c r="U39" i="57"/>
  <c r="V39" i="57" s="1"/>
  <c r="S39" i="57"/>
  <c r="V38" i="57"/>
  <c r="U38" i="57"/>
  <c r="S38" i="57"/>
  <c r="U37" i="57"/>
  <c r="V37" i="57" s="1"/>
  <c r="S37" i="57"/>
  <c r="V36" i="57"/>
  <c r="U36" i="57"/>
  <c r="S36" i="57"/>
  <c r="U34" i="57"/>
  <c r="V34" i="57" s="1"/>
  <c r="S34" i="57"/>
  <c r="V33" i="57"/>
  <c r="U33" i="57"/>
  <c r="S33" i="57"/>
  <c r="U31" i="57"/>
  <c r="V31" i="57" s="1"/>
  <c r="S31" i="57"/>
  <c r="V30" i="57"/>
  <c r="U30" i="57"/>
  <c r="S30" i="57"/>
  <c r="AB28" i="57"/>
  <c r="AA28" i="57"/>
  <c r="Y28" i="57"/>
  <c r="V28" i="57"/>
  <c r="U28" i="57"/>
  <c r="S28" i="57"/>
  <c r="AB27" i="57"/>
  <c r="AA27" i="57"/>
  <c r="Y27" i="57"/>
  <c r="U27" i="57"/>
  <c r="V27" i="57" s="1"/>
  <c r="S27" i="57"/>
  <c r="AB26" i="57"/>
  <c r="AA26" i="57"/>
  <c r="Y26" i="57"/>
  <c r="U26" i="57"/>
  <c r="V26" i="57" s="1"/>
  <c r="S26" i="57"/>
  <c r="V25" i="57"/>
  <c r="U25" i="57"/>
  <c r="S25" i="57"/>
  <c r="U24" i="57"/>
  <c r="V24" i="57" s="1"/>
  <c r="S24" i="57"/>
  <c r="AB23" i="57"/>
  <c r="AA23" i="57"/>
  <c r="Y23" i="57"/>
  <c r="U23" i="57"/>
  <c r="V23" i="57" s="1"/>
  <c r="S23" i="57"/>
  <c r="U22" i="57"/>
  <c r="V22" i="57" s="1"/>
  <c r="S22" i="57"/>
  <c r="AB21" i="57"/>
  <c r="AA21" i="57"/>
  <c r="Y21" i="57"/>
  <c r="U21" i="57"/>
  <c r="V21" i="57" s="1"/>
  <c r="S21" i="57"/>
  <c r="V20" i="57"/>
  <c r="U20" i="57"/>
  <c r="S20" i="57"/>
  <c r="U19" i="57"/>
  <c r="V19" i="57" s="1"/>
  <c r="S19" i="57"/>
  <c r="U18" i="57"/>
  <c r="S18" i="57"/>
  <c r="U17" i="57"/>
  <c r="V17" i="57" s="1"/>
  <c r="S17" i="57"/>
  <c r="V16" i="57"/>
  <c r="U16" i="57"/>
  <c r="S16" i="57"/>
  <c r="U15" i="57"/>
  <c r="V15" i="57" s="1"/>
  <c r="S15" i="57"/>
  <c r="U14" i="57"/>
  <c r="V14" i="57" s="1"/>
  <c r="S14" i="57"/>
  <c r="U13" i="57"/>
  <c r="V13" i="57" s="1"/>
  <c r="S13" i="57"/>
  <c r="G5" i="57"/>
  <c r="U15" i="56"/>
  <c r="S15" i="56"/>
  <c r="U50" i="56"/>
  <c r="V50" i="56" s="1"/>
  <c r="S50" i="56"/>
  <c r="U49" i="56"/>
  <c r="V49" i="56" s="1"/>
  <c r="S49" i="56"/>
  <c r="I80" i="56"/>
  <c r="T57" i="56"/>
  <c r="S57" i="56" s="1"/>
  <c r="T56" i="56"/>
  <c r="S56" i="56" s="1"/>
  <c r="T55" i="56"/>
  <c r="U55" i="56" s="1"/>
  <c r="T54" i="56"/>
  <c r="T53" i="56"/>
  <c r="U53" i="56" s="1"/>
  <c r="S53" i="56"/>
  <c r="T52" i="56"/>
  <c r="U52" i="56" s="1"/>
  <c r="U48" i="56"/>
  <c r="V48" i="56" s="1"/>
  <c r="S48" i="56"/>
  <c r="U46" i="56"/>
  <c r="V46" i="56" s="1"/>
  <c r="J46" i="56" s="1"/>
  <c r="S46" i="56"/>
  <c r="G46" i="56" s="1"/>
  <c r="H46" i="56"/>
  <c r="U45" i="56"/>
  <c r="V45" i="56" s="1"/>
  <c r="J45" i="56" s="1"/>
  <c r="S45" i="56"/>
  <c r="G45" i="56" s="1"/>
  <c r="H45" i="56"/>
  <c r="U44" i="56"/>
  <c r="V44" i="56" s="1"/>
  <c r="J44" i="56" s="1"/>
  <c r="S44" i="56"/>
  <c r="G44" i="56" s="1"/>
  <c r="H44" i="56"/>
  <c r="U42" i="56"/>
  <c r="V42" i="56" s="1"/>
  <c r="S42" i="56"/>
  <c r="U41" i="56"/>
  <c r="V41" i="56" s="1"/>
  <c r="S41" i="56"/>
  <c r="U40" i="56"/>
  <c r="V40" i="56" s="1"/>
  <c r="S40" i="56"/>
  <c r="U39" i="56"/>
  <c r="V39" i="56" s="1"/>
  <c r="S39" i="56"/>
  <c r="U38" i="56"/>
  <c r="V38" i="56" s="1"/>
  <c r="S38" i="56"/>
  <c r="U37" i="56"/>
  <c r="V37" i="56" s="1"/>
  <c r="S37" i="56"/>
  <c r="U36" i="56"/>
  <c r="V36" i="56" s="1"/>
  <c r="S36" i="56"/>
  <c r="U34" i="56"/>
  <c r="V34" i="56" s="1"/>
  <c r="S34" i="56"/>
  <c r="U33" i="56"/>
  <c r="V33" i="56" s="1"/>
  <c r="S33" i="56"/>
  <c r="U31" i="56"/>
  <c r="V31" i="56" s="1"/>
  <c r="S31" i="56"/>
  <c r="U30" i="56"/>
  <c r="V30" i="56" s="1"/>
  <c r="S30" i="56"/>
  <c r="AB28" i="56"/>
  <c r="AA28" i="56"/>
  <c r="Y28" i="56"/>
  <c r="U28" i="56"/>
  <c r="V28" i="56" s="1"/>
  <c r="S28" i="56"/>
  <c r="AB27" i="56"/>
  <c r="AA27" i="56"/>
  <c r="Y27" i="56"/>
  <c r="U27" i="56"/>
  <c r="S27" i="56"/>
  <c r="AB26" i="56"/>
  <c r="AA26" i="56"/>
  <c r="Y26" i="56"/>
  <c r="U26" i="56"/>
  <c r="S26" i="56"/>
  <c r="U25" i="56"/>
  <c r="S25" i="56"/>
  <c r="U24" i="56"/>
  <c r="S24" i="56"/>
  <c r="AB23" i="56"/>
  <c r="AA23" i="56"/>
  <c r="Y23" i="56"/>
  <c r="U23" i="56"/>
  <c r="V23" i="56" s="1"/>
  <c r="S23" i="56"/>
  <c r="U22" i="56"/>
  <c r="V22" i="56" s="1"/>
  <c r="S22" i="56"/>
  <c r="AB21" i="56"/>
  <c r="AA21" i="56"/>
  <c r="Y21" i="56"/>
  <c r="U21" i="56"/>
  <c r="V21" i="56" s="1"/>
  <c r="S21" i="56"/>
  <c r="U20" i="56"/>
  <c r="V20" i="56" s="1"/>
  <c r="S20" i="56"/>
  <c r="U19" i="56"/>
  <c r="V19" i="56" s="1"/>
  <c r="S19" i="56"/>
  <c r="U18" i="56"/>
  <c r="V18" i="56" s="1"/>
  <c r="S18" i="56"/>
  <c r="U17" i="56"/>
  <c r="S17" i="56"/>
  <c r="U16" i="56"/>
  <c r="V16" i="56" s="1"/>
  <c r="S16" i="56"/>
  <c r="U14" i="56"/>
  <c r="V14" i="56" s="1"/>
  <c r="S14" i="56"/>
  <c r="U13" i="56"/>
  <c r="V13" i="56" s="1"/>
  <c r="S13" i="56"/>
  <c r="G5" i="56"/>
  <c r="I77" i="55"/>
  <c r="U55" i="55"/>
  <c r="V55" i="55" s="1"/>
  <c r="S55" i="55"/>
  <c r="T54" i="55"/>
  <c r="U53" i="55"/>
  <c r="T53" i="55"/>
  <c r="S53" i="55" s="1"/>
  <c r="T52" i="55"/>
  <c r="S52" i="55" s="1"/>
  <c r="T51" i="55"/>
  <c r="U51" i="55" s="1"/>
  <c r="T50" i="55"/>
  <c r="U50" i="55" s="1"/>
  <c r="T49" i="55"/>
  <c r="U49" i="55" s="1"/>
  <c r="U47" i="55"/>
  <c r="V47" i="55" s="1"/>
  <c r="S47" i="55"/>
  <c r="V45" i="55"/>
  <c r="J45" i="55" s="1"/>
  <c r="U45" i="55"/>
  <c r="S45" i="55"/>
  <c r="G45" i="55" s="1"/>
  <c r="I45" i="55"/>
  <c r="H45" i="55"/>
  <c r="U44" i="55"/>
  <c r="V44" i="55" s="1"/>
  <c r="J44" i="55" s="1"/>
  <c r="S44" i="55"/>
  <c r="G44" i="55" s="1"/>
  <c r="H44" i="55"/>
  <c r="U43" i="55"/>
  <c r="V43" i="55" s="1"/>
  <c r="J43" i="55" s="1"/>
  <c r="S43" i="55"/>
  <c r="G43" i="55" s="1"/>
  <c r="H43" i="55"/>
  <c r="U41" i="55"/>
  <c r="V41" i="55" s="1"/>
  <c r="S41" i="55"/>
  <c r="U40" i="55"/>
  <c r="V40" i="55" s="1"/>
  <c r="S40" i="55"/>
  <c r="U39" i="55"/>
  <c r="V39" i="55" s="1"/>
  <c r="S39" i="55"/>
  <c r="U38" i="55"/>
  <c r="V38" i="55" s="1"/>
  <c r="S38" i="55"/>
  <c r="U37" i="55"/>
  <c r="V37" i="55" s="1"/>
  <c r="S37" i="55"/>
  <c r="U36" i="55"/>
  <c r="V36" i="55" s="1"/>
  <c r="S36" i="55"/>
  <c r="U35" i="55"/>
  <c r="V35" i="55" s="1"/>
  <c r="S35" i="55"/>
  <c r="V33" i="55"/>
  <c r="U33" i="55"/>
  <c r="S33" i="55"/>
  <c r="U32" i="55"/>
  <c r="V32" i="55" s="1"/>
  <c r="S32" i="55"/>
  <c r="V30" i="55"/>
  <c r="U30" i="55"/>
  <c r="S30" i="55"/>
  <c r="U29" i="55"/>
  <c r="V29" i="55" s="1"/>
  <c r="S29" i="55"/>
  <c r="AB27" i="55"/>
  <c r="AA27" i="55"/>
  <c r="Y27" i="55"/>
  <c r="V27" i="55"/>
  <c r="U27" i="55"/>
  <c r="S27" i="55"/>
  <c r="AB26" i="55"/>
  <c r="AA26" i="55"/>
  <c r="Y26" i="55"/>
  <c r="U26" i="55"/>
  <c r="V26" i="55" s="1"/>
  <c r="S26" i="55"/>
  <c r="AB25" i="55"/>
  <c r="AA25" i="55"/>
  <c r="Y25" i="55"/>
  <c r="V25" i="55"/>
  <c r="U25" i="55"/>
  <c r="S25" i="55"/>
  <c r="U24" i="55"/>
  <c r="S24" i="55"/>
  <c r="U23" i="55"/>
  <c r="V23" i="55" s="1"/>
  <c r="S23" i="55"/>
  <c r="AB22" i="55"/>
  <c r="AA22" i="55"/>
  <c r="Y22" i="55"/>
  <c r="U22" i="55"/>
  <c r="V22" i="55" s="1"/>
  <c r="S22" i="55"/>
  <c r="U21" i="55"/>
  <c r="V21" i="55" s="1"/>
  <c r="S21" i="55"/>
  <c r="AB20" i="55"/>
  <c r="AA20" i="55"/>
  <c r="Y20" i="55"/>
  <c r="U20" i="55"/>
  <c r="V20" i="55" s="1"/>
  <c r="S20" i="55"/>
  <c r="U19" i="55"/>
  <c r="V19" i="55" s="1"/>
  <c r="S19" i="55"/>
  <c r="U18" i="55"/>
  <c r="V18" i="55" s="1"/>
  <c r="S18" i="55"/>
  <c r="U17" i="55"/>
  <c r="V17" i="55" s="1"/>
  <c r="S17" i="55"/>
  <c r="U16" i="55"/>
  <c r="S16" i="55"/>
  <c r="U15" i="55"/>
  <c r="V15" i="55" s="1"/>
  <c r="S15" i="55"/>
  <c r="U14" i="55"/>
  <c r="V14" i="55" s="1"/>
  <c r="S14" i="55"/>
  <c r="U13" i="55"/>
  <c r="V13" i="55" s="1"/>
  <c r="S13" i="55"/>
  <c r="G5" i="55"/>
  <c r="U47" i="54"/>
  <c r="V47" i="54" s="1"/>
  <c r="S47" i="54"/>
  <c r="O52" i="72" l="1"/>
  <c r="O50" i="72"/>
  <c r="O52" i="71"/>
  <c r="O51" i="71"/>
  <c r="O51" i="72"/>
  <c r="O50" i="71"/>
  <c r="O51" i="70"/>
  <c r="O50" i="70"/>
  <c r="O52" i="70"/>
  <c r="O50" i="69"/>
  <c r="O61" i="68"/>
  <c r="O59" i="68"/>
  <c r="O52" i="69"/>
  <c r="O60" i="68"/>
  <c r="O51" i="69"/>
  <c r="O60" i="67"/>
  <c r="O59" i="67"/>
  <c r="O61" i="67"/>
  <c r="O47" i="72"/>
  <c r="O45" i="72"/>
  <c r="O46" i="71"/>
  <c r="O48" i="71"/>
  <c r="O48" i="72"/>
  <c r="O46" i="72"/>
  <c r="O45" i="71"/>
  <c r="O47" i="71"/>
  <c r="O46" i="70"/>
  <c r="O48" i="70"/>
  <c r="O47" i="70"/>
  <c r="O45" i="70"/>
  <c r="O48" i="69"/>
  <c r="O55" i="68"/>
  <c r="O47" i="69"/>
  <c r="O46" i="69"/>
  <c r="O57" i="68"/>
  <c r="O54" i="68"/>
  <c r="O45" i="69"/>
  <c r="O56" i="68"/>
  <c r="O57" i="67"/>
  <c r="O56" i="67"/>
  <c r="O55" i="67"/>
  <c r="J55" i="67" s="1"/>
  <c r="O54" i="67"/>
  <c r="O34" i="72"/>
  <c r="O33" i="72"/>
  <c r="O34" i="71"/>
  <c r="O35" i="71"/>
  <c r="O35" i="72"/>
  <c r="O33" i="71"/>
  <c r="O35" i="70"/>
  <c r="O33" i="70"/>
  <c r="O34" i="70"/>
  <c r="O44" i="68"/>
  <c r="O35" i="69"/>
  <c r="O43" i="68"/>
  <c r="O34" i="69"/>
  <c r="O42" i="68"/>
  <c r="O33" i="69"/>
  <c r="J33" i="69" s="1"/>
  <c r="O42" i="67"/>
  <c r="H42" i="67" s="1"/>
  <c r="O44" i="67"/>
  <c r="O43" i="67"/>
  <c r="O30" i="71"/>
  <c r="O30" i="72"/>
  <c r="O29" i="71"/>
  <c r="O29" i="72"/>
  <c r="O31" i="71"/>
  <c r="O31" i="72"/>
  <c r="O31" i="70"/>
  <c r="O30" i="70"/>
  <c r="O29" i="70"/>
  <c r="O40" i="68"/>
  <c r="O30" i="69"/>
  <c r="O29" i="69"/>
  <c r="O39" i="68"/>
  <c r="O38" i="68"/>
  <c r="O31" i="69"/>
  <c r="O39" i="67"/>
  <c r="O38" i="67"/>
  <c r="J38" i="67" s="1"/>
  <c r="O40" i="67"/>
  <c r="G15" i="72"/>
  <c r="J15" i="72"/>
  <c r="I15" i="72"/>
  <c r="H15" i="72"/>
  <c r="G25" i="71"/>
  <c r="H25" i="71"/>
  <c r="I25" i="71"/>
  <c r="J25" i="71"/>
  <c r="H17" i="72"/>
  <c r="G17" i="72"/>
  <c r="I17" i="72"/>
  <c r="J17" i="72"/>
  <c r="H18" i="71"/>
  <c r="G18" i="71"/>
  <c r="I18" i="71"/>
  <c r="J18" i="71"/>
  <c r="H20" i="72"/>
  <c r="I20" i="72"/>
  <c r="G20" i="72"/>
  <c r="J20" i="72"/>
  <c r="G14" i="71"/>
  <c r="I14" i="71"/>
  <c r="H14" i="71"/>
  <c r="J14" i="71"/>
  <c r="I19" i="72"/>
  <c r="J19" i="72"/>
  <c r="H19" i="72"/>
  <c r="G19" i="72"/>
  <c r="I16" i="71"/>
  <c r="H16" i="71"/>
  <c r="J16" i="71"/>
  <c r="G16" i="71"/>
  <c r="H16" i="72"/>
  <c r="J16" i="72"/>
  <c r="I16" i="72"/>
  <c r="G16" i="72"/>
  <c r="G22" i="72"/>
  <c r="J22" i="72"/>
  <c r="I22" i="72"/>
  <c r="H22" i="72"/>
  <c r="H24" i="72"/>
  <c r="I24" i="72"/>
  <c r="G24" i="72"/>
  <c r="J24" i="72"/>
  <c r="G20" i="71"/>
  <c r="I20" i="71"/>
  <c r="H20" i="71"/>
  <c r="J20" i="71"/>
  <c r="H23" i="72"/>
  <c r="I23" i="72"/>
  <c r="J23" i="72"/>
  <c r="G23" i="72"/>
  <c r="H19" i="71"/>
  <c r="G19" i="71"/>
  <c r="I19" i="71"/>
  <c r="J19" i="71"/>
  <c r="G13" i="71"/>
  <c r="I13" i="71"/>
  <c r="H13" i="71"/>
  <c r="J13" i="71"/>
  <c r="I22" i="71"/>
  <c r="G22" i="71"/>
  <c r="H22" i="71"/>
  <c r="J22" i="71"/>
  <c r="G27" i="71"/>
  <c r="H27" i="71"/>
  <c r="I27" i="71"/>
  <c r="J27" i="71"/>
  <c r="J21" i="71"/>
  <c r="G21" i="71"/>
  <c r="I21" i="71"/>
  <c r="H21" i="71"/>
  <c r="G15" i="71"/>
  <c r="I15" i="71"/>
  <c r="H15" i="71"/>
  <c r="J15" i="71"/>
  <c r="I14" i="72"/>
  <c r="J14" i="72"/>
  <c r="H14" i="72"/>
  <c r="G14" i="72"/>
  <c r="I18" i="72"/>
  <c r="G18" i="72"/>
  <c r="H18" i="72"/>
  <c r="J18" i="72"/>
  <c r="G23" i="71"/>
  <c r="I23" i="71"/>
  <c r="H23" i="71"/>
  <c r="J23" i="71"/>
  <c r="G17" i="71"/>
  <c r="I17" i="71"/>
  <c r="H17" i="71"/>
  <c r="J17" i="71"/>
  <c r="I21" i="72"/>
  <c r="J21" i="72"/>
  <c r="G21" i="72"/>
  <c r="H21" i="72"/>
  <c r="I24" i="71"/>
  <c r="H24" i="71"/>
  <c r="J24" i="71"/>
  <c r="G24" i="71"/>
  <c r="H26" i="71"/>
  <c r="I26" i="71"/>
  <c r="G26" i="71"/>
  <c r="J26" i="71"/>
  <c r="G74" i="71"/>
  <c r="H74" i="71"/>
  <c r="I74" i="71"/>
  <c r="J74" i="71"/>
  <c r="I25" i="72"/>
  <c r="H25" i="72"/>
  <c r="G25" i="72"/>
  <c r="J25" i="72"/>
  <c r="I27" i="72"/>
  <c r="G27" i="72"/>
  <c r="H27" i="72"/>
  <c r="J27" i="72"/>
  <c r="H13" i="72"/>
  <c r="G13" i="72"/>
  <c r="I13" i="72"/>
  <c r="J13" i="72"/>
  <c r="H26" i="72"/>
  <c r="I26" i="72"/>
  <c r="J26" i="72"/>
  <c r="G26" i="72"/>
  <c r="I22" i="66"/>
  <c r="J22" i="66"/>
  <c r="G22" i="66"/>
  <c r="J20" i="67"/>
  <c r="J19" i="67"/>
  <c r="J31" i="67"/>
  <c r="I20" i="67"/>
  <c r="G20" i="67"/>
  <c r="J34" i="67"/>
  <c r="G19" i="67"/>
  <c r="H14" i="69"/>
  <c r="I14" i="69"/>
  <c r="G14" i="69"/>
  <c r="J14" i="69"/>
  <c r="G34" i="67"/>
  <c r="H34" i="67"/>
  <c r="G31" i="67"/>
  <c r="H31" i="67"/>
  <c r="H29" i="68"/>
  <c r="I29" i="68"/>
  <c r="G29" i="68"/>
  <c r="J29" i="68"/>
  <c r="G20" i="68"/>
  <c r="H20" i="68"/>
  <c r="J20" i="68"/>
  <c r="I20" i="68"/>
  <c r="H13" i="68"/>
  <c r="G13" i="68"/>
  <c r="I13" i="68"/>
  <c r="J13" i="68"/>
  <c r="H17" i="69"/>
  <c r="G17" i="69"/>
  <c r="I17" i="69"/>
  <c r="H20" i="70"/>
  <c r="G20" i="70"/>
  <c r="I20" i="70"/>
  <c r="J20" i="70"/>
  <c r="H21" i="70"/>
  <c r="G21" i="70"/>
  <c r="I21" i="70"/>
  <c r="J21" i="70"/>
  <c r="I19" i="69"/>
  <c r="G19" i="69"/>
  <c r="H19" i="69"/>
  <c r="J19" i="69"/>
  <c r="J33" i="67"/>
  <c r="G29" i="67"/>
  <c r="J29" i="67"/>
  <c r="H29" i="67"/>
  <c r="I29" i="67"/>
  <c r="H16" i="67"/>
  <c r="I16" i="67"/>
  <c r="G16" i="67"/>
  <c r="J16" i="67"/>
  <c r="H14" i="68"/>
  <c r="G14" i="68"/>
  <c r="I14" i="68"/>
  <c r="J14" i="68"/>
  <c r="H24" i="68"/>
  <c r="I24" i="68"/>
  <c r="G24" i="68"/>
  <c r="J24" i="68"/>
  <c r="H19" i="68"/>
  <c r="I19" i="68"/>
  <c r="G19" i="68"/>
  <c r="H25" i="69"/>
  <c r="G25" i="69"/>
  <c r="I25" i="69"/>
  <c r="G22" i="70"/>
  <c r="H22" i="70"/>
  <c r="I22" i="70"/>
  <c r="J22" i="70"/>
  <c r="G27" i="70"/>
  <c r="H27" i="70"/>
  <c r="I27" i="70"/>
  <c r="J27" i="70"/>
  <c r="G25" i="67"/>
  <c r="J25" i="67"/>
  <c r="H25" i="67"/>
  <c r="I25" i="67"/>
  <c r="I16" i="69"/>
  <c r="H16" i="69"/>
  <c r="G16" i="69"/>
  <c r="J16" i="69"/>
  <c r="J21" i="69"/>
  <c r="I21" i="69"/>
  <c r="H21" i="69"/>
  <c r="G21" i="69"/>
  <c r="I22" i="69"/>
  <c r="J22" i="69"/>
  <c r="H22" i="69"/>
  <c r="G22" i="69"/>
  <c r="H31" i="68"/>
  <c r="G31" i="68"/>
  <c r="I31" i="68"/>
  <c r="H19" i="70"/>
  <c r="I19" i="70"/>
  <c r="G19" i="70"/>
  <c r="J19" i="70"/>
  <c r="I19" i="67"/>
  <c r="J24" i="67"/>
  <c r="H24" i="67"/>
  <c r="G24" i="67"/>
  <c r="I24" i="67"/>
  <c r="G25" i="68"/>
  <c r="H25" i="68"/>
  <c r="I25" i="68"/>
  <c r="J25" i="68"/>
  <c r="H17" i="67"/>
  <c r="I17" i="67"/>
  <c r="J17" i="67"/>
  <c r="G17" i="67"/>
  <c r="H30" i="67"/>
  <c r="I30" i="67"/>
  <c r="H27" i="69"/>
  <c r="G27" i="69"/>
  <c r="I27" i="69"/>
  <c r="H23" i="69"/>
  <c r="G23" i="69"/>
  <c r="I23" i="69"/>
  <c r="J23" i="69"/>
  <c r="I30" i="68"/>
  <c r="G30" i="68"/>
  <c r="H30" i="68"/>
  <c r="J30" i="68"/>
  <c r="H14" i="70"/>
  <c r="I14" i="70"/>
  <c r="G14" i="70"/>
  <c r="J14" i="70"/>
  <c r="G17" i="70"/>
  <c r="H17" i="70"/>
  <c r="I17" i="70"/>
  <c r="J17" i="70"/>
  <c r="J15" i="70"/>
  <c r="I15" i="70"/>
  <c r="G15" i="70"/>
  <c r="H15" i="70"/>
  <c r="H13" i="67"/>
  <c r="I13" i="67"/>
  <c r="J13" i="67"/>
  <c r="G13" i="67"/>
  <c r="H16" i="68"/>
  <c r="G16" i="68"/>
  <c r="I16" i="68"/>
  <c r="J16" i="68"/>
  <c r="H26" i="69"/>
  <c r="I26" i="69"/>
  <c r="G26" i="69"/>
  <c r="G17" i="68"/>
  <c r="H17" i="68"/>
  <c r="J17" i="68"/>
  <c r="I17" i="68"/>
  <c r="G18" i="70"/>
  <c r="I18" i="70"/>
  <c r="H18" i="70"/>
  <c r="J18" i="70"/>
  <c r="I24" i="70"/>
  <c r="H24" i="70"/>
  <c r="G24" i="70"/>
  <c r="J24" i="70"/>
  <c r="I34" i="67"/>
  <c r="H26" i="70"/>
  <c r="I26" i="70"/>
  <c r="G26" i="70"/>
  <c r="J26" i="70"/>
  <c r="G30" i="67"/>
  <c r="G27" i="67"/>
  <c r="H27" i="67"/>
  <c r="I27" i="67"/>
  <c r="J27" i="67"/>
  <c r="H27" i="68"/>
  <c r="I27" i="68"/>
  <c r="J27" i="68"/>
  <c r="G27" i="68"/>
  <c r="G33" i="68"/>
  <c r="H33" i="68"/>
  <c r="I33" i="68"/>
  <c r="J33" i="68"/>
  <c r="G34" i="68"/>
  <c r="I34" i="68"/>
  <c r="H34" i="68"/>
  <c r="J34" i="68"/>
  <c r="H13" i="69"/>
  <c r="G13" i="69"/>
  <c r="I13" i="69"/>
  <c r="J13" i="69"/>
  <c r="H16" i="70"/>
  <c r="G16" i="70"/>
  <c r="I16" i="70"/>
  <c r="J16" i="70"/>
  <c r="I23" i="70"/>
  <c r="G23" i="70"/>
  <c r="H23" i="70"/>
  <c r="J23" i="70"/>
  <c r="J31" i="68"/>
  <c r="H14" i="67"/>
  <c r="I14" i="67"/>
  <c r="G14" i="67"/>
  <c r="H22" i="68"/>
  <c r="G22" i="68"/>
  <c r="I22" i="68"/>
  <c r="J22" i="68"/>
  <c r="H22" i="67"/>
  <c r="J22" i="67"/>
  <c r="I22" i="67"/>
  <c r="G22" i="67"/>
  <c r="H33" i="67"/>
  <c r="G33" i="67"/>
  <c r="H18" i="69"/>
  <c r="I18" i="69"/>
  <c r="J18" i="69"/>
  <c r="G18" i="69"/>
  <c r="H24" i="69"/>
  <c r="I24" i="69"/>
  <c r="G24" i="69"/>
  <c r="I20" i="69"/>
  <c r="G20" i="69"/>
  <c r="H20" i="69"/>
  <c r="J20" i="69"/>
  <c r="I15" i="69"/>
  <c r="H15" i="69"/>
  <c r="G15" i="69"/>
  <c r="J15" i="69"/>
  <c r="H25" i="70"/>
  <c r="I25" i="70"/>
  <c r="J25" i="70"/>
  <c r="G25" i="70"/>
  <c r="H13" i="70"/>
  <c r="I13" i="70"/>
  <c r="J13" i="70"/>
  <c r="V42" i="67"/>
  <c r="V68" i="67"/>
  <c r="J19" i="66"/>
  <c r="J20" i="66"/>
  <c r="H30" i="66"/>
  <c r="G30" i="66"/>
  <c r="I24" i="66"/>
  <c r="H24" i="66"/>
  <c r="G24" i="66"/>
  <c r="I16" i="66"/>
  <c r="H16" i="66"/>
  <c r="G16" i="66"/>
  <c r="I27" i="66"/>
  <c r="H27" i="66"/>
  <c r="G27" i="66"/>
  <c r="H25" i="66"/>
  <c r="I25" i="66"/>
  <c r="G25" i="66"/>
  <c r="H33" i="66"/>
  <c r="I33" i="66"/>
  <c r="J33" i="66"/>
  <c r="H14" i="66"/>
  <c r="I14" i="66"/>
  <c r="G14" i="66"/>
  <c r="J25" i="66"/>
  <c r="J30" i="66"/>
  <c r="H32" i="66"/>
  <c r="G32" i="66"/>
  <c r="I32" i="66"/>
  <c r="J32" i="66"/>
  <c r="J17" i="66"/>
  <c r="I17" i="66"/>
  <c r="H17" i="66"/>
  <c r="G17" i="66"/>
  <c r="H19" i="66"/>
  <c r="G19" i="66"/>
  <c r="G20" i="66"/>
  <c r="H20" i="66"/>
  <c r="I31" i="66"/>
  <c r="J31" i="66"/>
  <c r="H31" i="66"/>
  <c r="G33" i="66"/>
  <c r="J16" i="66"/>
  <c r="I29" i="66"/>
  <c r="H29" i="66"/>
  <c r="G29" i="66"/>
  <c r="I20" i="66"/>
  <c r="G31" i="66"/>
  <c r="J24" i="66"/>
  <c r="I18" i="65"/>
  <c r="H27" i="64"/>
  <c r="G18" i="65"/>
  <c r="J24" i="63"/>
  <c r="J18" i="65"/>
  <c r="I19" i="65"/>
  <c r="H15" i="64"/>
  <c r="J18" i="63"/>
  <c r="J26" i="63"/>
  <c r="J27" i="64"/>
  <c r="I15" i="64"/>
  <c r="J15" i="64"/>
  <c r="I18" i="64"/>
  <c r="G21" i="65"/>
  <c r="G15" i="65"/>
  <c r="G24" i="63"/>
  <c r="I20" i="63"/>
  <c r="H27" i="65"/>
  <c r="I19" i="63"/>
  <c r="J13" i="64"/>
  <c r="I21" i="63"/>
  <c r="H13" i="64"/>
  <c r="G27" i="65"/>
  <c r="J25" i="63"/>
  <c r="I25" i="63"/>
  <c r="G25" i="63"/>
  <c r="I13" i="64"/>
  <c r="I24" i="63"/>
  <c r="J20" i="63"/>
  <c r="I14" i="65"/>
  <c r="J24" i="65"/>
  <c r="I13" i="63"/>
  <c r="G25" i="65"/>
  <c r="G14" i="63"/>
  <c r="J23" i="63"/>
  <c r="J14" i="63"/>
  <c r="G20" i="65"/>
  <c r="I27" i="64"/>
  <c r="I14" i="63"/>
  <c r="J20" i="65"/>
  <c r="H25" i="65"/>
  <c r="J27" i="63"/>
  <c r="I20" i="65"/>
  <c r="J27" i="65"/>
  <c r="G17" i="63"/>
  <c r="H13" i="65"/>
  <c r="I13" i="65"/>
  <c r="H22" i="65"/>
  <c r="I22" i="65"/>
  <c r="H26" i="65"/>
  <c r="G26" i="65"/>
  <c r="H14" i="64"/>
  <c r="G14" i="64"/>
  <c r="I14" i="64"/>
  <c r="H20" i="64"/>
  <c r="G20" i="64"/>
  <c r="H26" i="64"/>
  <c r="I26" i="64"/>
  <c r="G26" i="64"/>
  <c r="H24" i="64"/>
  <c r="I24" i="64"/>
  <c r="G17" i="64"/>
  <c r="H17" i="64"/>
  <c r="J13" i="65"/>
  <c r="I23" i="63"/>
  <c r="J18" i="64"/>
  <c r="G22" i="64"/>
  <c r="H17" i="63"/>
  <c r="G14" i="65"/>
  <c r="H16" i="63"/>
  <c r="G16" i="63"/>
  <c r="I16" i="63"/>
  <c r="J26" i="64"/>
  <c r="H23" i="65"/>
  <c r="I23" i="65"/>
  <c r="H13" i="63"/>
  <c r="G13" i="63"/>
  <c r="H15" i="63"/>
  <c r="I15" i="63"/>
  <c r="G15" i="63"/>
  <c r="H25" i="64"/>
  <c r="I25" i="64"/>
  <c r="J25" i="64"/>
  <c r="G25" i="64"/>
  <c r="H16" i="65"/>
  <c r="I16" i="65"/>
  <c r="G16" i="65"/>
  <c r="G24" i="64"/>
  <c r="H19" i="64"/>
  <c r="G19" i="64"/>
  <c r="J23" i="64"/>
  <c r="J22" i="65"/>
  <c r="J14" i="64"/>
  <c r="J24" i="64"/>
  <c r="I28" i="63"/>
  <c r="J22" i="64"/>
  <c r="I20" i="64"/>
  <c r="G26" i="63"/>
  <c r="H26" i="63"/>
  <c r="H21" i="63"/>
  <c r="J21" i="63"/>
  <c r="H21" i="64"/>
  <c r="I21" i="64"/>
  <c r="G21" i="64"/>
  <c r="J17" i="63"/>
  <c r="J17" i="64"/>
  <c r="H22" i="63"/>
  <c r="G22" i="63"/>
  <c r="I23" i="64"/>
  <c r="J17" i="65"/>
  <c r="I16" i="64"/>
  <c r="I22" i="64"/>
  <c r="G17" i="65"/>
  <c r="H28" i="63"/>
  <c r="G20" i="63"/>
  <c r="G23" i="63"/>
  <c r="J23" i="65"/>
  <c r="I19" i="64"/>
  <c r="G23" i="64"/>
  <c r="H24" i="65"/>
  <c r="G24" i="65"/>
  <c r="H13" i="66"/>
  <c r="I13" i="66"/>
  <c r="J13" i="66"/>
  <c r="H19" i="63"/>
  <c r="G19" i="63"/>
  <c r="H27" i="63"/>
  <c r="G27" i="63"/>
  <c r="J25" i="65"/>
  <c r="G16" i="64"/>
  <c r="I17" i="64"/>
  <c r="I17" i="65"/>
  <c r="J26" i="65"/>
  <c r="G18" i="64"/>
  <c r="G13" i="65"/>
  <c r="G28" i="63"/>
  <c r="J22" i="63"/>
  <c r="G23" i="65"/>
  <c r="J19" i="64"/>
  <c r="J20" i="64"/>
  <c r="H28" i="64"/>
  <c r="G28" i="64"/>
  <c r="I28" i="64"/>
  <c r="J16" i="64"/>
  <c r="G19" i="65"/>
  <c r="J19" i="65"/>
  <c r="G18" i="63"/>
  <c r="H18" i="63"/>
  <c r="H21" i="65"/>
  <c r="I21" i="65"/>
  <c r="J14" i="65"/>
  <c r="H15" i="65"/>
  <c r="I15" i="65"/>
  <c r="C4" i="1"/>
  <c r="O59" i="64" s="1"/>
  <c r="J59" i="64" s="1"/>
  <c r="O51" i="65"/>
  <c r="O51" i="64"/>
  <c r="O56" i="63"/>
  <c r="O52" i="62"/>
  <c r="O53" i="61"/>
  <c r="O53" i="60"/>
  <c r="O51" i="61"/>
  <c r="O58" i="66"/>
  <c r="O53" i="64"/>
  <c r="O52" i="60"/>
  <c r="O59" i="66"/>
  <c r="O50" i="65"/>
  <c r="O55" i="63"/>
  <c r="O51" i="60"/>
  <c r="O51" i="62"/>
  <c r="O52" i="61"/>
  <c r="O57" i="66"/>
  <c r="O52" i="65"/>
  <c r="O52" i="64"/>
  <c r="O57" i="63"/>
  <c r="O53" i="62"/>
  <c r="O31" i="65"/>
  <c r="O32" i="60"/>
  <c r="O36" i="66"/>
  <c r="O33" i="63"/>
  <c r="O32" i="62"/>
  <c r="O32" i="63"/>
  <c r="O31" i="64"/>
  <c r="O31" i="63"/>
  <c r="O31" i="62"/>
  <c r="O31" i="61"/>
  <c r="O37" i="66"/>
  <c r="O32" i="61"/>
  <c r="O38" i="66"/>
  <c r="O30" i="65"/>
  <c r="O30" i="63"/>
  <c r="O31" i="60"/>
  <c r="O32" i="64"/>
  <c r="O29" i="65"/>
  <c r="O30" i="64"/>
  <c r="J30" i="64" s="1"/>
  <c r="O30" i="61"/>
  <c r="J30" i="61" s="1"/>
  <c r="O30" i="60"/>
  <c r="O30" i="62"/>
  <c r="O55" i="66"/>
  <c r="O52" i="66"/>
  <c r="O47" i="64"/>
  <c r="O46" i="62"/>
  <c r="O52" i="63"/>
  <c r="O46" i="61"/>
  <c r="O48" i="65"/>
  <c r="O47" i="60"/>
  <c r="O47" i="65"/>
  <c r="J47" i="65" s="1"/>
  <c r="O54" i="66"/>
  <c r="J54" i="66" s="1"/>
  <c r="O46" i="65"/>
  <c r="O50" i="63"/>
  <c r="O48" i="62"/>
  <c r="O49" i="61"/>
  <c r="O51" i="63"/>
  <c r="O49" i="62"/>
  <c r="O49" i="64"/>
  <c r="O46" i="64"/>
  <c r="O48" i="61"/>
  <c r="J48" i="61" s="1"/>
  <c r="O47" i="61"/>
  <c r="O46" i="60"/>
  <c r="H46" i="60" s="1"/>
  <c r="O53" i="63"/>
  <c r="O49" i="60"/>
  <c r="H49" i="60" s="1"/>
  <c r="O53" i="66"/>
  <c r="O45" i="65"/>
  <c r="O48" i="64"/>
  <c r="J48" i="64" s="1"/>
  <c r="O49" i="63"/>
  <c r="O47" i="62"/>
  <c r="O48" i="60"/>
  <c r="H48" i="60" s="1"/>
  <c r="O40" i="66"/>
  <c r="H40" i="66" s="1"/>
  <c r="O36" i="61"/>
  <c r="J36" i="61" s="1"/>
  <c r="O35" i="60"/>
  <c r="O41" i="66"/>
  <c r="O36" i="64"/>
  <c r="O37" i="63"/>
  <c r="O35" i="62"/>
  <c r="O34" i="60"/>
  <c r="O35" i="65"/>
  <c r="J35" i="65" s="1"/>
  <c r="O35" i="61"/>
  <c r="J35" i="61" s="1"/>
  <c r="O35" i="64"/>
  <c r="O38" i="63"/>
  <c r="O36" i="63"/>
  <c r="O34" i="62"/>
  <c r="O34" i="61"/>
  <c r="J34" i="61" s="1"/>
  <c r="O34" i="65"/>
  <c r="O34" i="64"/>
  <c r="H34" i="64" s="1"/>
  <c r="O35" i="63"/>
  <c r="I35" i="63" s="1"/>
  <c r="O42" i="66"/>
  <c r="O33" i="65"/>
  <c r="H33" i="65" s="1"/>
  <c r="O36" i="62"/>
  <c r="O36" i="60"/>
  <c r="C3" i="1"/>
  <c r="V40" i="66"/>
  <c r="V66" i="66"/>
  <c r="V33" i="65"/>
  <c r="V59" i="65"/>
  <c r="V34" i="64"/>
  <c r="V35" i="63"/>
  <c r="O26" i="62"/>
  <c r="O13" i="62"/>
  <c r="O21" i="60"/>
  <c r="J21" i="60" s="1"/>
  <c r="O13" i="60"/>
  <c r="O26" i="61"/>
  <c r="O20" i="61"/>
  <c r="O20" i="60"/>
  <c r="H20" i="60" s="1"/>
  <c r="O18" i="62"/>
  <c r="J18" i="62" s="1"/>
  <c r="O27" i="61"/>
  <c r="O24" i="61"/>
  <c r="O17" i="61"/>
  <c r="O28" i="60"/>
  <c r="H28" i="60" s="1"/>
  <c r="O27" i="62"/>
  <c r="O25" i="62"/>
  <c r="J25" i="62" s="1"/>
  <c r="O23" i="62"/>
  <c r="O22" i="62"/>
  <c r="O20" i="62"/>
  <c r="O15" i="62"/>
  <c r="O14" i="61"/>
  <c r="O27" i="60"/>
  <c r="H27" i="60" s="1"/>
  <c r="O19" i="60"/>
  <c r="H19" i="60" s="1"/>
  <c r="O15" i="60"/>
  <c r="H15" i="60" s="1"/>
  <c r="O15" i="61"/>
  <c r="O28" i="61"/>
  <c r="O22" i="61"/>
  <c r="O26" i="60"/>
  <c r="H26" i="60" s="1"/>
  <c r="O18" i="60"/>
  <c r="I18" i="60" s="1"/>
  <c r="O21" i="61"/>
  <c r="O22" i="60"/>
  <c r="G22" i="60" s="1"/>
  <c r="O17" i="62"/>
  <c r="O25" i="61"/>
  <c r="J25" i="61" s="1"/>
  <c r="O19" i="61"/>
  <c r="O16" i="61"/>
  <c r="O25" i="60"/>
  <c r="I25" i="60" s="1"/>
  <c r="O17" i="60"/>
  <c r="O24" i="60"/>
  <c r="H24" i="60" s="1"/>
  <c r="O28" i="62"/>
  <c r="J28" i="62" s="1"/>
  <c r="O14" i="62"/>
  <c r="O23" i="61"/>
  <c r="O13" i="61"/>
  <c r="O16" i="60"/>
  <c r="H16" i="60" s="1"/>
  <c r="O23" i="60"/>
  <c r="H23" i="60" s="1"/>
  <c r="O14" i="60"/>
  <c r="H14" i="60" s="1"/>
  <c r="O21" i="62"/>
  <c r="O19" i="62"/>
  <c r="O18" i="61"/>
  <c r="O24" i="62"/>
  <c r="O16" i="62"/>
  <c r="U34" i="60"/>
  <c r="V34" i="60" s="1"/>
  <c r="U55" i="60"/>
  <c r="V55" i="60" s="1"/>
  <c r="S57" i="60"/>
  <c r="H13" i="60"/>
  <c r="V48" i="60"/>
  <c r="U35" i="60"/>
  <c r="V27" i="60"/>
  <c r="V35" i="60"/>
  <c r="U36" i="60"/>
  <c r="V46" i="60"/>
  <c r="U56" i="60"/>
  <c r="S58" i="60"/>
  <c r="V23" i="60"/>
  <c r="V24" i="60"/>
  <c r="V57" i="60"/>
  <c r="U58" i="60"/>
  <c r="U59" i="60"/>
  <c r="U60" i="60"/>
  <c r="V47" i="59"/>
  <c r="J47" i="59" s="1"/>
  <c r="U33" i="59"/>
  <c r="V20" i="59"/>
  <c r="I46" i="59"/>
  <c r="V21" i="59"/>
  <c r="U35" i="59"/>
  <c r="U54" i="59"/>
  <c r="V54" i="59" s="1"/>
  <c r="S33" i="59"/>
  <c r="U57" i="59"/>
  <c r="V57" i="59" s="1"/>
  <c r="U34" i="59"/>
  <c r="V34" i="59" s="1"/>
  <c r="V56" i="59"/>
  <c r="V58" i="59"/>
  <c r="V14" i="59"/>
  <c r="V15" i="59"/>
  <c r="V17" i="59"/>
  <c r="V19" i="59"/>
  <c r="U53" i="59"/>
  <c r="S55" i="59"/>
  <c r="V38" i="59"/>
  <c r="V40" i="59"/>
  <c r="V42" i="59"/>
  <c r="U55" i="59"/>
  <c r="S56" i="59"/>
  <c r="S58" i="59"/>
  <c r="S58" i="58"/>
  <c r="V16" i="58"/>
  <c r="V47" i="58"/>
  <c r="J47" i="58" s="1"/>
  <c r="V57" i="58"/>
  <c r="V55" i="58"/>
  <c r="V58" i="58"/>
  <c r="V59" i="58"/>
  <c r="U54" i="58"/>
  <c r="S56" i="58"/>
  <c r="U56" i="58"/>
  <c r="S55" i="58"/>
  <c r="S57" i="58"/>
  <c r="S59" i="58"/>
  <c r="V18" i="57"/>
  <c r="V53" i="57"/>
  <c r="V55" i="57"/>
  <c r="V57" i="57"/>
  <c r="U52" i="57"/>
  <c r="S54" i="57"/>
  <c r="U54" i="57"/>
  <c r="S56" i="57"/>
  <c r="U56" i="57"/>
  <c r="S53" i="57"/>
  <c r="S55" i="57"/>
  <c r="V15" i="56"/>
  <c r="U56" i="56"/>
  <c r="S54" i="56"/>
  <c r="I46" i="56"/>
  <c r="U57" i="56"/>
  <c r="V57" i="56" s="1"/>
  <c r="V56" i="56"/>
  <c r="V27" i="56"/>
  <c r="V26" i="56"/>
  <c r="V24" i="56"/>
  <c r="V17" i="56"/>
  <c r="V55" i="56"/>
  <c r="V52" i="56"/>
  <c r="V53" i="56"/>
  <c r="U54" i="56"/>
  <c r="I44" i="56"/>
  <c r="S55" i="56"/>
  <c r="V25" i="56"/>
  <c r="I45" i="56"/>
  <c r="S52" i="56"/>
  <c r="V16" i="55"/>
  <c r="V53" i="55"/>
  <c r="U54" i="55"/>
  <c r="V51" i="55"/>
  <c r="V49" i="55"/>
  <c r="V50" i="55"/>
  <c r="V24" i="55"/>
  <c r="I44" i="55"/>
  <c r="U52" i="55"/>
  <c r="S54" i="55"/>
  <c r="S49" i="55"/>
  <c r="S51" i="55"/>
  <c r="I43" i="55"/>
  <c r="S50" i="55"/>
  <c r="U45" i="54"/>
  <c r="V45" i="54" s="1"/>
  <c r="J45" i="54" s="1"/>
  <c r="S45" i="54"/>
  <c r="G45" i="54" s="1"/>
  <c r="I45" i="54"/>
  <c r="H45" i="54"/>
  <c r="U33" i="54"/>
  <c r="V33" i="54" s="1"/>
  <c r="S33" i="54"/>
  <c r="U30" i="54"/>
  <c r="V30" i="54" s="1"/>
  <c r="S30" i="54"/>
  <c r="T54" i="54"/>
  <c r="U54" i="54" s="1"/>
  <c r="T53" i="54"/>
  <c r="T52" i="54"/>
  <c r="U52" i="54" s="1"/>
  <c r="T51" i="54"/>
  <c r="T50" i="54"/>
  <c r="T49" i="54"/>
  <c r="S49" i="54" s="1"/>
  <c r="S57" i="54"/>
  <c r="U57" i="54"/>
  <c r="V57" i="54" s="1"/>
  <c r="U56" i="54"/>
  <c r="V56" i="54" s="1"/>
  <c r="S56" i="54"/>
  <c r="H56" i="54"/>
  <c r="U43" i="54"/>
  <c r="I43" i="54" s="1"/>
  <c r="S43" i="54"/>
  <c r="G43" i="54" s="1"/>
  <c r="H43" i="54"/>
  <c r="U44" i="54"/>
  <c r="V44" i="54" s="1"/>
  <c r="J44" i="54" s="1"/>
  <c r="S44" i="54"/>
  <c r="G44" i="54" s="1"/>
  <c r="H44" i="54"/>
  <c r="U41" i="54"/>
  <c r="V41" i="54" s="1"/>
  <c r="S41" i="54"/>
  <c r="I79" i="54"/>
  <c r="U50" i="54"/>
  <c r="U40" i="54"/>
  <c r="U39" i="54"/>
  <c r="U38" i="54"/>
  <c r="U36" i="54"/>
  <c r="U32" i="54"/>
  <c r="U29" i="54"/>
  <c r="S29" i="54"/>
  <c r="AB27" i="54"/>
  <c r="AA27" i="54"/>
  <c r="Y27" i="54"/>
  <c r="O27" i="54"/>
  <c r="H27" i="54" s="1"/>
  <c r="AB26" i="54"/>
  <c r="AA26" i="54"/>
  <c r="Y26" i="54"/>
  <c r="U26" i="54"/>
  <c r="V26" i="54" s="1"/>
  <c r="S26" i="54"/>
  <c r="O26" i="54"/>
  <c r="H26" i="54" s="1"/>
  <c r="AB25" i="54"/>
  <c r="AA25" i="54"/>
  <c r="Y25" i="54"/>
  <c r="U25" i="54"/>
  <c r="V25" i="54" s="1"/>
  <c r="S25" i="54"/>
  <c r="U24" i="54"/>
  <c r="S24" i="54"/>
  <c r="U23" i="54"/>
  <c r="V23" i="54" s="1"/>
  <c r="S23" i="54"/>
  <c r="AB22" i="54"/>
  <c r="AA22" i="54"/>
  <c r="Y22" i="54"/>
  <c r="U22" i="54"/>
  <c r="V22" i="54" s="1"/>
  <c r="S22" i="54"/>
  <c r="S21" i="54"/>
  <c r="AB20" i="54"/>
  <c r="AA20" i="54"/>
  <c r="Y20" i="54"/>
  <c r="U20" i="54"/>
  <c r="U19" i="54"/>
  <c r="V19" i="54" s="1"/>
  <c r="S19" i="54"/>
  <c r="U18" i="54"/>
  <c r="O18" i="54"/>
  <c r="H18" i="54" s="1"/>
  <c r="U17" i="54"/>
  <c r="S17" i="54"/>
  <c r="O17" i="54"/>
  <c r="S16" i="54"/>
  <c r="U15" i="54"/>
  <c r="S15" i="54"/>
  <c r="O15" i="54"/>
  <c r="S14" i="54"/>
  <c r="O14" i="54"/>
  <c r="H14" i="54" s="1"/>
  <c r="U13" i="54"/>
  <c r="V13" i="54" s="1"/>
  <c r="S13" i="54"/>
  <c r="G5" i="54"/>
  <c r="O22" i="54"/>
  <c r="H22" i="54" s="1"/>
  <c r="O41" i="74" l="1"/>
  <c r="O42" i="74"/>
  <c r="O43" i="74"/>
  <c r="O40" i="74"/>
  <c r="O44" i="74"/>
  <c r="O39" i="74"/>
  <c r="O38" i="74"/>
  <c r="O42" i="73"/>
  <c r="O41" i="73"/>
  <c r="O40" i="73"/>
  <c r="O38" i="73"/>
  <c r="O43" i="73"/>
  <c r="O39" i="73"/>
  <c r="O44" i="73"/>
  <c r="I46" i="72"/>
  <c r="J46" i="72"/>
  <c r="G46" i="72"/>
  <c r="H46" i="72"/>
  <c r="H57" i="67"/>
  <c r="I57" i="67"/>
  <c r="G57" i="67"/>
  <c r="I48" i="69"/>
  <c r="H48" i="69"/>
  <c r="J48" i="69"/>
  <c r="G48" i="69"/>
  <c r="H48" i="72"/>
  <c r="I48" i="72"/>
  <c r="G48" i="72"/>
  <c r="J48" i="72"/>
  <c r="H55" i="68"/>
  <c r="I55" i="68"/>
  <c r="G55" i="68"/>
  <c r="J55" i="68"/>
  <c r="H56" i="68"/>
  <c r="G56" i="68"/>
  <c r="I56" i="68"/>
  <c r="J56" i="68"/>
  <c r="H45" i="70"/>
  <c r="I45" i="70"/>
  <c r="G45" i="70"/>
  <c r="J45" i="70"/>
  <c r="H48" i="71"/>
  <c r="J48" i="71"/>
  <c r="I48" i="71"/>
  <c r="G48" i="71"/>
  <c r="G56" i="67"/>
  <c r="H56" i="67"/>
  <c r="I56" i="67"/>
  <c r="I45" i="69"/>
  <c r="H45" i="69"/>
  <c r="G45" i="69"/>
  <c r="J45" i="69"/>
  <c r="H47" i="70"/>
  <c r="G47" i="70"/>
  <c r="I47" i="70"/>
  <c r="J47" i="70"/>
  <c r="H46" i="71"/>
  <c r="I46" i="71"/>
  <c r="G46" i="71"/>
  <c r="J46" i="71"/>
  <c r="H54" i="68"/>
  <c r="I54" i="68"/>
  <c r="J54" i="68"/>
  <c r="G54" i="68"/>
  <c r="H48" i="70"/>
  <c r="G48" i="70"/>
  <c r="I48" i="70"/>
  <c r="J48" i="70"/>
  <c r="I45" i="72"/>
  <c r="J45" i="72"/>
  <c r="G45" i="72"/>
  <c r="H45" i="72"/>
  <c r="G57" i="68"/>
  <c r="H57" i="68"/>
  <c r="I57" i="68"/>
  <c r="J57" i="68"/>
  <c r="H46" i="70"/>
  <c r="G46" i="70"/>
  <c r="I46" i="70"/>
  <c r="J46" i="70"/>
  <c r="H47" i="72"/>
  <c r="I47" i="72"/>
  <c r="G47" i="72"/>
  <c r="J47" i="72"/>
  <c r="H54" i="67"/>
  <c r="I54" i="67"/>
  <c r="J54" i="67"/>
  <c r="G54" i="67"/>
  <c r="H46" i="69"/>
  <c r="I46" i="69"/>
  <c r="G46" i="69"/>
  <c r="J46" i="69"/>
  <c r="H47" i="71"/>
  <c r="I47" i="71"/>
  <c r="G47" i="71"/>
  <c r="J47" i="71"/>
  <c r="J56" i="67"/>
  <c r="H55" i="67"/>
  <c r="I55" i="67"/>
  <c r="G55" i="67"/>
  <c r="G47" i="69"/>
  <c r="H47" i="69"/>
  <c r="I47" i="69"/>
  <c r="J47" i="69"/>
  <c r="H45" i="71"/>
  <c r="I45" i="71"/>
  <c r="G45" i="71"/>
  <c r="J45" i="71"/>
  <c r="J57" i="67"/>
  <c r="J42" i="67"/>
  <c r="I42" i="67"/>
  <c r="G42" i="67"/>
  <c r="H42" i="68"/>
  <c r="G42" i="68"/>
  <c r="I42" i="68"/>
  <c r="H34" i="69"/>
  <c r="I34" i="69"/>
  <c r="G34" i="69"/>
  <c r="J34" i="69"/>
  <c r="I35" i="72"/>
  <c r="H35" i="72"/>
  <c r="G35" i="72"/>
  <c r="J35" i="72"/>
  <c r="H33" i="71"/>
  <c r="I33" i="71"/>
  <c r="G33" i="71"/>
  <c r="J33" i="71"/>
  <c r="G43" i="68"/>
  <c r="H43" i="68"/>
  <c r="I43" i="68"/>
  <c r="J43" i="68"/>
  <c r="H35" i="71"/>
  <c r="G35" i="71"/>
  <c r="I35" i="71"/>
  <c r="J35" i="71"/>
  <c r="J42" i="68"/>
  <c r="I35" i="69"/>
  <c r="H35" i="69"/>
  <c r="J35" i="69"/>
  <c r="G35" i="69"/>
  <c r="G34" i="71"/>
  <c r="H34" i="71"/>
  <c r="I34" i="71"/>
  <c r="J34" i="71"/>
  <c r="I43" i="67"/>
  <c r="H43" i="67"/>
  <c r="G43" i="67"/>
  <c r="J43" i="67"/>
  <c r="H44" i="68"/>
  <c r="G44" i="68"/>
  <c r="I44" i="68"/>
  <c r="J44" i="68"/>
  <c r="H33" i="72"/>
  <c r="I33" i="72"/>
  <c r="G33" i="72"/>
  <c r="J33" i="72"/>
  <c r="H44" i="67"/>
  <c r="I44" i="67"/>
  <c r="G44" i="67"/>
  <c r="J44" i="67"/>
  <c r="I34" i="70"/>
  <c r="G34" i="70"/>
  <c r="H34" i="70"/>
  <c r="J34" i="70"/>
  <c r="H34" i="72"/>
  <c r="I34" i="72"/>
  <c r="G34" i="72"/>
  <c r="J34" i="72"/>
  <c r="H33" i="70"/>
  <c r="G33" i="70"/>
  <c r="I33" i="70"/>
  <c r="J33" i="70"/>
  <c r="H33" i="69"/>
  <c r="G33" i="69"/>
  <c r="I33" i="69"/>
  <c r="H35" i="70"/>
  <c r="G35" i="70"/>
  <c r="I35" i="70"/>
  <c r="J35" i="70"/>
  <c r="H31" i="70"/>
  <c r="J31" i="70"/>
  <c r="G31" i="70"/>
  <c r="I31" i="70"/>
  <c r="H38" i="68"/>
  <c r="G38" i="68"/>
  <c r="I38" i="68"/>
  <c r="J38" i="68"/>
  <c r="H31" i="72"/>
  <c r="J31" i="72"/>
  <c r="I31" i="72"/>
  <c r="G31" i="72"/>
  <c r="H31" i="69"/>
  <c r="G31" i="69"/>
  <c r="I31" i="69"/>
  <c r="J31" i="69"/>
  <c r="H39" i="68"/>
  <c r="I39" i="68"/>
  <c r="G39" i="68"/>
  <c r="J39" i="68"/>
  <c r="H31" i="71"/>
  <c r="J31" i="71"/>
  <c r="G31" i="71"/>
  <c r="I31" i="71"/>
  <c r="G29" i="69"/>
  <c r="H29" i="69"/>
  <c r="I29" i="69"/>
  <c r="J29" i="69"/>
  <c r="H29" i="72"/>
  <c r="I29" i="72"/>
  <c r="G29" i="72"/>
  <c r="J29" i="72"/>
  <c r="H30" i="69"/>
  <c r="J30" i="69"/>
  <c r="I30" i="69"/>
  <c r="G30" i="69"/>
  <c r="H29" i="71"/>
  <c r="G29" i="71"/>
  <c r="I29" i="71"/>
  <c r="J29" i="71"/>
  <c r="H40" i="67"/>
  <c r="J40" i="67"/>
  <c r="G40" i="67"/>
  <c r="I40" i="67"/>
  <c r="H40" i="68"/>
  <c r="I40" i="68"/>
  <c r="G40" i="68"/>
  <c r="J40" i="68"/>
  <c r="H30" i="72"/>
  <c r="I30" i="72"/>
  <c r="J30" i="72"/>
  <c r="G30" i="72"/>
  <c r="H38" i="67"/>
  <c r="I38" i="67"/>
  <c r="G38" i="67"/>
  <c r="H29" i="70"/>
  <c r="G29" i="70"/>
  <c r="I29" i="70"/>
  <c r="J29" i="70"/>
  <c r="H30" i="71"/>
  <c r="J30" i="71"/>
  <c r="G30" i="71"/>
  <c r="I30" i="71"/>
  <c r="H39" i="67"/>
  <c r="I39" i="67"/>
  <c r="G39" i="67"/>
  <c r="J39" i="67"/>
  <c r="I30" i="70"/>
  <c r="H30" i="70"/>
  <c r="J30" i="70"/>
  <c r="G30" i="70"/>
  <c r="O59" i="63"/>
  <c r="G59" i="63" s="1"/>
  <c r="O63" i="66"/>
  <c r="J63" i="66" s="1"/>
  <c r="O58" i="72"/>
  <c r="O55" i="72"/>
  <c r="O56" i="71"/>
  <c r="O57" i="72"/>
  <c r="O59" i="71"/>
  <c r="O55" i="71"/>
  <c r="O59" i="72"/>
  <c r="O57" i="71"/>
  <c r="O54" i="72"/>
  <c r="O58" i="71"/>
  <c r="O54" i="71"/>
  <c r="O56" i="72"/>
  <c r="O58" i="70"/>
  <c r="O54" i="70"/>
  <c r="O57" i="70"/>
  <c r="O56" i="70"/>
  <c r="O59" i="70"/>
  <c r="O55" i="70"/>
  <c r="O55" i="69"/>
  <c r="O58" i="69"/>
  <c r="O54" i="69"/>
  <c r="O67" i="68"/>
  <c r="O64" i="68"/>
  <c r="O57" i="69"/>
  <c r="O66" i="68"/>
  <c r="O65" i="68"/>
  <c r="O56" i="69"/>
  <c r="O68" i="68"/>
  <c r="O63" i="68"/>
  <c r="O59" i="69"/>
  <c r="O65" i="67"/>
  <c r="O68" i="67"/>
  <c r="J68" i="67" s="1"/>
  <c r="O64" i="67"/>
  <c r="O67" i="67"/>
  <c r="O63" i="67"/>
  <c r="O66" i="67"/>
  <c r="O62" i="66"/>
  <c r="J62" i="66" s="1"/>
  <c r="O58" i="65"/>
  <c r="J58" i="65" s="1"/>
  <c r="O43" i="72"/>
  <c r="O37" i="71"/>
  <c r="O41" i="71"/>
  <c r="O42" i="71"/>
  <c r="O39" i="71"/>
  <c r="O37" i="72"/>
  <c r="O43" i="71"/>
  <c r="O42" i="72"/>
  <c r="O40" i="72"/>
  <c r="O38" i="72"/>
  <c r="O41" i="72"/>
  <c r="O38" i="71"/>
  <c r="O39" i="72"/>
  <c r="O40" i="71"/>
  <c r="O41" i="70"/>
  <c r="O38" i="70"/>
  <c r="O43" i="70"/>
  <c r="O40" i="70"/>
  <c r="O37" i="70"/>
  <c r="O42" i="70"/>
  <c r="O39" i="70"/>
  <c r="O38" i="69"/>
  <c r="O51" i="68"/>
  <c r="O41" i="69"/>
  <c r="O48" i="68"/>
  <c r="O49" i="68"/>
  <c r="O40" i="69"/>
  <c r="O43" i="69"/>
  <c r="O37" i="69"/>
  <c r="O50" i="68"/>
  <c r="O42" i="69"/>
  <c r="O47" i="68"/>
  <c r="O39" i="69"/>
  <c r="O52" i="68"/>
  <c r="O46" i="68"/>
  <c r="O52" i="67"/>
  <c r="O49" i="67"/>
  <c r="O46" i="67"/>
  <c r="O51" i="67"/>
  <c r="O48" i="67"/>
  <c r="O50" i="67"/>
  <c r="O47" i="67"/>
  <c r="O59" i="62"/>
  <c r="J59" i="62" s="1"/>
  <c r="O56" i="65"/>
  <c r="I56" i="65" s="1"/>
  <c r="O58" i="60"/>
  <c r="O55" i="64"/>
  <c r="J55" i="64" s="1"/>
  <c r="O65" i="66"/>
  <c r="J65" i="66" s="1"/>
  <c r="O65" i="63"/>
  <c r="G65" i="63" s="1"/>
  <c r="O59" i="61"/>
  <c r="I59" i="61" s="1"/>
  <c r="O55" i="61"/>
  <c r="J55" i="61" s="1"/>
  <c r="O59" i="60"/>
  <c r="O57" i="62"/>
  <c r="J57" i="62" s="1"/>
  <c r="O66" i="66"/>
  <c r="H66" i="66" s="1"/>
  <c r="O55" i="60"/>
  <c r="O58" i="61"/>
  <c r="J58" i="61" s="1"/>
  <c r="O62" i="63"/>
  <c r="J62" i="63" s="1"/>
  <c r="O60" i="62"/>
  <c r="J60" i="62" s="1"/>
  <c r="O55" i="62"/>
  <c r="G55" i="62" s="1"/>
  <c r="O57" i="61"/>
  <c r="I57" i="61" s="1"/>
  <c r="O56" i="64"/>
  <c r="J56" i="64" s="1"/>
  <c r="O57" i="65"/>
  <c r="J57" i="65" s="1"/>
  <c r="O57" i="64"/>
  <c r="I57" i="64" s="1"/>
  <c r="O58" i="62"/>
  <c r="I58" i="62" s="1"/>
  <c r="O60" i="61"/>
  <c r="H60" i="61" s="1"/>
  <c r="O60" i="64"/>
  <c r="J60" i="64" s="1"/>
  <c r="O61" i="66"/>
  <c r="J61" i="66" s="1"/>
  <c r="O56" i="61"/>
  <c r="J56" i="61" s="1"/>
  <c r="O58" i="64"/>
  <c r="J58" i="64" s="1"/>
  <c r="O60" i="63"/>
  <c r="J60" i="63" s="1"/>
  <c r="O56" i="62"/>
  <c r="H56" i="62" s="1"/>
  <c r="O59" i="65"/>
  <c r="H59" i="65" s="1"/>
  <c r="O61" i="63"/>
  <c r="G61" i="63" s="1"/>
  <c r="O63" i="63"/>
  <c r="H63" i="63" s="1"/>
  <c r="O56" i="60"/>
  <c r="O55" i="65"/>
  <c r="J55" i="65" s="1"/>
  <c r="O64" i="66"/>
  <c r="J64" i="66" s="1"/>
  <c r="O64" i="63"/>
  <c r="H64" i="63" s="1"/>
  <c r="O60" i="60"/>
  <c r="O54" i="65"/>
  <c r="G54" i="65" s="1"/>
  <c r="O57" i="60"/>
  <c r="J35" i="63"/>
  <c r="J33" i="65"/>
  <c r="G40" i="66"/>
  <c r="I40" i="66"/>
  <c r="J40" i="66"/>
  <c r="J34" i="64"/>
  <c r="G34" i="64"/>
  <c r="I34" i="64"/>
  <c r="H34" i="62"/>
  <c r="I34" i="62"/>
  <c r="G34" i="62"/>
  <c r="J34" i="62"/>
  <c r="H38" i="66"/>
  <c r="G38" i="66"/>
  <c r="I38" i="66"/>
  <c r="J38" i="66"/>
  <c r="H32" i="62"/>
  <c r="G32" i="62"/>
  <c r="I32" i="62"/>
  <c r="J32" i="62"/>
  <c r="I49" i="60"/>
  <c r="G36" i="62"/>
  <c r="H36" i="62"/>
  <c r="I36" i="62"/>
  <c r="J36" i="63"/>
  <c r="H36" i="63"/>
  <c r="I36" i="63"/>
  <c r="G36" i="63"/>
  <c r="H36" i="64"/>
  <c r="J36" i="64"/>
  <c r="I36" i="64"/>
  <c r="G36" i="64"/>
  <c r="H53" i="63"/>
  <c r="G53" i="63"/>
  <c r="I53" i="63"/>
  <c r="J53" i="63"/>
  <c r="J49" i="61"/>
  <c r="H49" i="61"/>
  <c r="I49" i="61"/>
  <c r="G49" i="61"/>
  <c r="H46" i="61"/>
  <c r="G46" i="61"/>
  <c r="I46" i="61"/>
  <c r="J46" i="61"/>
  <c r="H30" i="61"/>
  <c r="G30" i="61"/>
  <c r="I30" i="61"/>
  <c r="H32" i="61"/>
  <c r="G32" i="61"/>
  <c r="I32" i="61"/>
  <c r="J32" i="61"/>
  <c r="H33" i="63"/>
  <c r="G33" i="63"/>
  <c r="J33" i="63"/>
  <c r="I33" i="63"/>
  <c r="H48" i="62"/>
  <c r="G48" i="62"/>
  <c r="I48" i="62"/>
  <c r="G36" i="66"/>
  <c r="H36" i="66"/>
  <c r="J36" i="66"/>
  <c r="I36" i="66"/>
  <c r="J48" i="60"/>
  <c r="I46" i="60"/>
  <c r="H42" i="66"/>
  <c r="I42" i="66"/>
  <c r="G42" i="66"/>
  <c r="J42" i="66"/>
  <c r="H35" i="64"/>
  <c r="G35" i="64"/>
  <c r="I35" i="64"/>
  <c r="H47" i="62"/>
  <c r="I47" i="62"/>
  <c r="J47" i="62"/>
  <c r="G47" i="62"/>
  <c r="H47" i="61"/>
  <c r="I47" i="61"/>
  <c r="G47" i="61"/>
  <c r="J47" i="61"/>
  <c r="H50" i="63"/>
  <c r="G50" i="63"/>
  <c r="I50" i="63"/>
  <c r="J50" i="63"/>
  <c r="I46" i="62"/>
  <c r="H46" i="62"/>
  <c r="J46" i="62"/>
  <c r="G46" i="62"/>
  <c r="G29" i="65"/>
  <c r="H29" i="65"/>
  <c r="I29" i="65"/>
  <c r="J29" i="65"/>
  <c r="H31" i="61"/>
  <c r="G31" i="61"/>
  <c r="I31" i="61"/>
  <c r="J31" i="61"/>
  <c r="H51" i="63"/>
  <c r="G51" i="63"/>
  <c r="I51" i="63"/>
  <c r="I41" i="66"/>
  <c r="H41" i="66"/>
  <c r="G41" i="66"/>
  <c r="J41" i="66"/>
  <c r="H30" i="64"/>
  <c r="G30" i="64"/>
  <c r="I30" i="64"/>
  <c r="G35" i="63"/>
  <c r="H35" i="63"/>
  <c r="H35" i="61"/>
  <c r="G35" i="61"/>
  <c r="I35" i="61"/>
  <c r="H36" i="61"/>
  <c r="I36" i="61"/>
  <c r="G36" i="61"/>
  <c r="H49" i="63"/>
  <c r="G49" i="63"/>
  <c r="I49" i="63"/>
  <c r="J49" i="63"/>
  <c r="H48" i="61"/>
  <c r="G48" i="61"/>
  <c r="I48" i="61"/>
  <c r="H46" i="65"/>
  <c r="I46" i="65"/>
  <c r="G46" i="65"/>
  <c r="J46" i="65"/>
  <c r="H47" i="64"/>
  <c r="I47" i="64"/>
  <c r="G47" i="64"/>
  <c r="J47" i="64"/>
  <c r="I32" i="64"/>
  <c r="G32" i="64"/>
  <c r="J32" i="64"/>
  <c r="H32" i="64"/>
  <c r="H31" i="62"/>
  <c r="I31" i="62"/>
  <c r="J31" i="62"/>
  <c r="G31" i="62"/>
  <c r="H31" i="65"/>
  <c r="I31" i="65"/>
  <c r="J31" i="65"/>
  <c r="G31" i="65"/>
  <c r="G48" i="65"/>
  <c r="J48" i="65"/>
  <c r="H48" i="65"/>
  <c r="I48" i="65"/>
  <c r="H37" i="66"/>
  <c r="G37" i="66"/>
  <c r="I37" i="66"/>
  <c r="J37" i="66"/>
  <c r="G35" i="65"/>
  <c r="H35" i="65"/>
  <c r="I35" i="65"/>
  <c r="H48" i="64"/>
  <c r="G48" i="64"/>
  <c r="I48" i="64"/>
  <c r="H46" i="64"/>
  <c r="G46" i="64"/>
  <c r="I46" i="64"/>
  <c r="J46" i="64"/>
  <c r="H54" i="66"/>
  <c r="G54" i="66"/>
  <c r="I54" i="66"/>
  <c r="H52" i="66"/>
  <c r="I52" i="66"/>
  <c r="G52" i="66"/>
  <c r="J52" i="66"/>
  <c r="H31" i="63"/>
  <c r="G31" i="63"/>
  <c r="I31" i="63"/>
  <c r="J31" i="63"/>
  <c r="G49" i="60"/>
  <c r="H37" i="63"/>
  <c r="G37" i="63"/>
  <c r="I37" i="63"/>
  <c r="J51" i="63"/>
  <c r="I38" i="63"/>
  <c r="H38" i="63"/>
  <c r="G38" i="63"/>
  <c r="J38" i="63"/>
  <c r="G52" i="63"/>
  <c r="I52" i="63"/>
  <c r="H52" i="63"/>
  <c r="J52" i="63"/>
  <c r="J46" i="60"/>
  <c r="I48" i="60"/>
  <c r="G46" i="60"/>
  <c r="J48" i="62"/>
  <c r="I34" i="65"/>
  <c r="H34" i="65"/>
  <c r="G34" i="65"/>
  <c r="J34" i="65"/>
  <c r="J49" i="60"/>
  <c r="H45" i="65"/>
  <c r="G45" i="65"/>
  <c r="I45" i="65"/>
  <c r="J45" i="65"/>
  <c r="H49" i="64"/>
  <c r="G49" i="64"/>
  <c r="I49" i="64"/>
  <c r="J49" i="64"/>
  <c r="H47" i="65"/>
  <c r="I47" i="65"/>
  <c r="G47" i="65"/>
  <c r="J55" i="66"/>
  <c r="G55" i="66"/>
  <c r="H55" i="66"/>
  <c r="I55" i="66"/>
  <c r="H30" i="63"/>
  <c r="I30" i="63"/>
  <c r="J30" i="63"/>
  <c r="G30" i="63"/>
  <c r="G31" i="64"/>
  <c r="I31" i="64"/>
  <c r="J31" i="64"/>
  <c r="H31" i="64"/>
  <c r="J36" i="62"/>
  <c r="I33" i="65"/>
  <c r="J37" i="63"/>
  <c r="J35" i="64"/>
  <c r="O45" i="66"/>
  <c r="O42" i="65"/>
  <c r="O40" i="64"/>
  <c r="O46" i="63"/>
  <c r="O39" i="62"/>
  <c r="O40" i="61"/>
  <c r="O44" i="60"/>
  <c r="O40" i="65"/>
  <c r="O43" i="64"/>
  <c r="O40" i="63"/>
  <c r="O39" i="65"/>
  <c r="O45" i="63"/>
  <c r="O42" i="63"/>
  <c r="O44" i="62"/>
  <c r="O43" i="60"/>
  <c r="O42" i="60"/>
  <c r="O38" i="64"/>
  <c r="O50" i="66"/>
  <c r="O47" i="66"/>
  <c r="O42" i="64"/>
  <c r="O41" i="62"/>
  <c r="O42" i="61"/>
  <c r="O44" i="66"/>
  <c r="O41" i="65"/>
  <c r="O39" i="64"/>
  <c r="O44" i="63"/>
  <c r="O38" i="62"/>
  <c r="O39" i="61"/>
  <c r="O41" i="60"/>
  <c r="O37" i="65"/>
  <c r="O49" i="66"/>
  <c r="O38" i="65"/>
  <c r="O41" i="63"/>
  <c r="O43" i="62"/>
  <c r="O44" i="61"/>
  <c r="O40" i="60"/>
  <c r="O43" i="63"/>
  <c r="O38" i="60"/>
  <c r="O48" i="66"/>
  <c r="O43" i="61"/>
  <c r="O46" i="66"/>
  <c r="O44" i="64"/>
  <c r="O41" i="64"/>
  <c r="O40" i="62"/>
  <c r="O41" i="61"/>
  <c r="O39" i="60"/>
  <c r="O47" i="63"/>
  <c r="O38" i="61"/>
  <c r="O43" i="65"/>
  <c r="O42" i="62"/>
  <c r="H34" i="61"/>
  <c r="G34" i="61"/>
  <c r="I34" i="61"/>
  <c r="H35" i="62"/>
  <c r="I35" i="62"/>
  <c r="G35" i="62"/>
  <c r="J35" i="62"/>
  <c r="H53" i="66"/>
  <c r="G53" i="66"/>
  <c r="I53" i="66"/>
  <c r="J53" i="66"/>
  <c r="I49" i="62"/>
  <c r="J49" i="62"/>
  <c r="H49" i="62"/>
  <c r="G49" i="62"/>
  <c r="G47" i="60"/>
  <c r="J47" i="60"/>
  <c r="I47" i="60"/>
  <c r="H47" i="60"/>
  <c r="G33" i="65"/>
  <c r="H30" i="62"/>
  <c r="I30" i="62"/>
  <c r="J30" i="62"/>
  <c r="G30" i="62"/>
  <c r="H30" i="65"/>
  <c r="G30" i="65"/>
  <c r="I30" i="65"/>
  <c r="J30" i="65"/>
  <c r="H32" i="63"/>
  <c r="G32" i="63"/>
  <c r="J32" i="63"/>
  <c r="I32" i="63"/>
  <c r="H59" i="64"/>
  <c r="G59" i="64"/>
  <c r="I59" i="64"/>
  <c r="G48" i="60"/>
  <c r="G21" i="60"/>
  <c r="I21" i="60"/>
  <c r="H24" i="61"/>
  <c r="I24" i="61"/>
  <c r="J24" i="61"/>
  <c r="G24" i="61"/>
  <c r="H16" i="61"/>
  <c r="I16" i="61"/>
  <c r="G16" i="61"/>
  <c r="J16" i="61"/>
  <c r="H22" i="61"/>
  <c r="G22" i="61"/>
  <c r="I22" i="61"/>
  <c r="J22" i="61"/>
  <c r="H20" i="62"/>
  <c r="I20" i="62"/>
  <c r="G20" i="62"/>
  <c r="J20" i="62"/>
  <c r="H27" i="61"/>
  <c r="G27" i="61"/>
  <c r="I27" i="61"/>
  <c r="J27" i="61"/>
  <c r="G26" i="62"/>
  <c r="H26" i="62"/>
  <c r="I26" i="62"/>
  <c r="H16" i="62"/>
  <c r="I16" i="62"/>
  <c r="G16" i="62"/>
  <c r="J16" i="62"/>
  <c r="H13" i="61"/>
  <c r="J13" i="61"/>
  <c r="I13" i="61"/>
  <c r="G13" i="61"/>
  <c r="H19" i="61"/>
  <c r="G19" i="61"/>
  <c r="I19" i="61"/>
  <c r="J19" i="61"/>
  <c r="H28" i="61"/>
  <c r="I28" i="61"/>
  <c r="G28" i="61"/>
  <c r="J28" i="61"/>
  <c r="H22" i="62"/>
  <c r="G22" i="62"/>
  <c r="I22" i="62"/>
  <c r="J22" i="62"/>
  <c r="G18" i="62"/>
  <c r="H18" i="62"/>
  <c r="I18" i="62"/>
  <c r="H21" i="60"/>
  <c r="H23" i="61"/>
  <c r="J23" i="61"/>
  <c r="I23" i="61"/>
  <c r="G23" i="61"/>
  <c r="H25" i="61"/>
  <c r="G25" i="61"/>
  <c r="I25" i="61"/>
  <c r="H15" i="61"/>
  <c r="J15" i="61"/>
  <c r="G15" i="61"/>
  <c r="I15" i="61"/>
  <c r="H23" i="62"/>
  <c r="I23" i="62"/>
  <c r="G23" i="62"/>
  <c r="J23" i="62"/>
  <c r="H24" i="62"/>
  <c r="I24" i="62"/>
  <c r="G24" i="62"/>
  <c r="G18" i="61"/>
  <c r="H18" i="61"/>
  <c r="I18" i="61"/>
  <c r="H14" i="62"/>
  <c r="I14" i="62"/>
  <c r="J14" i="62"/>
  <c r="G14" i="62"/>
  <c r="H17" i="62"/>
  <c r="G17" i="62"/>
  <c r="I17" i="62"/>
  <c r="J17" i="62"/>
  <c r="G25" i="62"/>
  <c r="H25" i="62"/>
  <c r="I25" i="62"/>
  <c r="H20" i="61"/>
  <c r="I20" i="61"/>
  <c r="G20" i="61"/>
  <c r="J20" i="61"/>
  <c r="H19" i="62"/>
  <c r="I19" i="62"/>
  <c r="G19" i="62"/>
  <c r="J19" i="62"/>
  <c r="H28" i="62"/>
  <c r="G28" i="62"/>
  <c r="I28" i="62"/>
  <c r="H27" i="62"/>
  <c r="J27" i="62"/>
  <c r="G27" i="62"/>
  <c r="I27" i="62"/>
  <c r="H26" i="61"/>
  <c r="G26" i="61"/>
  <c r="I26" i="61"/>
  <c r="J26" i="61"/>
  <c r="J26" i="62"/>
  <c r="H21" i="62"/>
  <c r="I21" i="62"/>
  <c r="G21" i="62"/>
  <c r="J21" i="62"/>
  <c r="H21" i="61"/>
  <c r="I21" i="61"/>
  <c r="G21" i="61"/>
  <c r="J21" i="61"/>
  <c r="J24" i="62"/>
  <c r="H17" i="60"/>
  <c r="I17" i="60"/>
  <c r="G17" i="60"/>
  <c r="J17" i="60"/>
  <c r="H14" i="61"/>
  <c r="J14" i="61"/>
  <c r="G14" i="61"/>
  <c r="I14" i="61"/>
  <c r="H17" i="61"/>
  <c r="I17" i="61"/>
  <c r="G17" i="61"/>
  <c r="J17" i="61"/>
  <c r="J18" i="61"/>
  <c r="H15" i="62"/>
  <c r="I15" i="62"/>
  <c r="G15" i="62"/>
  <c r="J15" i="62"/>
  <c r="H13" i="62"/>
  <c r="J13" i="62"/>
  <c r="I13" i="62"/>
  <c r="G13" i="62"/>
  <c r="I15" i="60"/>
  <c r="G15" i="60"/>
  <c r="I13" i="60"/>
  <c r="G24" i="60"/>
  <c r="G20" i="60"/>
  <c r="J20" i="60"/>
  <c r="G13" i="60"/>
  <c r="I20" i="60"/>
  <c r="G26" i="60"/>
  <c r="I16" i="60"/>
  <c r="J26" i="60"/>
  <c r="I24" i="60"/>
  <c r="I14" i="60"/>
  <c r="G16" i="60"/>
  <c r="J24" i="60"/>
  <c r="G14" i="60"/>
  <c r="J16" i="60"/>
  <c r="J13" i="60"/>
  <c r="J14" i="60"/>
  <c r="J22" i="60"/>
  <c r="J19" i="60"/>
  <c r="I19" i="60"/>
  <c r="G19" i="60"/>
  <c r="I22" i="60"/>
  <c r="H22" i="60"/>
  <c r="G25" i="60"/>
  <c r="I27" i="60"/>
  <c r="G27" i="60"/>
  <c r="J15" i="60"/>
  <c r="J27" i="60"/>
  <c r="I23" i="60"/>
  <c r="G18" i="60"/>
  <c r="H25" i="60"/>
  <c r="I26" i="60"/>
  <c r="G28" i="60"/>
  <c r="I28" i="60"/>
  <c r="G23" i="60"/>
  <c r="J28" i="60"/>
  <c r="J18" i="60"/>
  <c r="H18" i="60"/>
  <c r="J23" i="60"/>
  <c r="J25" i="60"/>
  <c r="V56" i="60"/>
  <c r="V58" i="60"/>
  <c r="V60" i="60"/>
  <c r="V36" i="60"/>
  <c r="V59" i="60"/>
  <c r="O20" i="54"/>
  <c r="H20" i="54" s="1"/>
  <c r="O24" i="54"/>
  <c r="H24" i="54" s="1"/>
  <c r="O25" i="54"/>
  <c r="H25" i="54" s="1"/>
  <c r="O21" i="54"/>
  <c r="H21" i="54" s="1"/>
  <c r="O16" i="54"/>
  <c r="H16" i="54" s="1"/>
  <c r="O27" i="59"/>
  <c r="O16" i="59"/>
  <c r="O19" i="58"/>
  <c r="O14" i="58"/>
  <c r="O18" i="57"/>
  <c r="J18" i="57" s="1"/>
  <c r="O15" i="57"/>
  <c r="O15" i="55"/>
  <c r="O24" i="59"/>
  <c r="O28" i="56"/>
  <c r="O16" i="56"/>
  <c r="O20" i="55"/>
  <c r="O22" i="58"/>
  <c r="O21" i="56"/>
  <c r="O23" i="55"/>
  <c r="O15" i="59"/>
  <c r="O26" i="58"/>
  <c r="O18" i="58"/>
  <c r="O27" i="57"/>
  <c r="O24" i="57"/>
  <c r="O21" i="57"/>
  <c r="O24" i="56"/>
  <c r="J24" i="56" s="1"/>
  <c r="O14" i="55"/>
  <c r="O20" i="59"/>
  <c r="O13" i="58"/>
  <c r="O14" i="57"/>
  <c r="O14" i="56"/>
  <c r="O23" i="59"/>
  <c r="O17" i="57"/>
  <c r="O20" i="56"/>
  <c r="O26" i="55"/>
  <c r="O14" i="59"/>
  <c r="O25" i="58"/>
  <c r="O13" i="55"/>
  <c r="O26" i="59"/>
  <c r="O19" i="59"/>
  <c r="J19" i="59" s="1"/>
  <c r="O28" i="58"/>
  <c r="O17" i="58"/>
  <c r="O20" i="57"/>
  <c r="O27" i="56"/>
  <c r="O13" i="56"/>
  <c r="O18" i="55"/>
  <c r="O22" i="55"/>
  <c r="O21" i="58"/>
  <c r="O19" i="56"/>
  <c r="O13" i="59"/>
  <c r="O24" i="58"/>
  <c r="O26" i="57"/>
  <c r="O23" i="57"/>
  <c r="O13" i="57"/>
  <c r="O23" i="56"/>
  <c r="O17" i="55"/>
  <c r="O18" i="59"/>
  <c r="O16" i="58"/>
  <c r="J16" i="58" s="1"/>
  <c r="O16" i="57"/>
  <c r="O22" i="59"/>
  <c r="O18" i="56"/>
  <c r="O21" i="55"/>
  <c r="O22" i="56"/>
  <c r="O25" i="55"/>
  <c r="O20" i="58"/>
  <c r="O28" i="57"/>
  <c r="O22" i="57"/>
  <c r="O16" i="55"/>
  <c r="O17" i="59"/>
  <c r="J17" i="59" s="1"/>
  <c r="O27" i="58"/>
  <c r="O15" i="58"/>
  <c r="O25" i="57"/>
  <c r="O19" i="57"/>
  <c r="O15" i="56"/>
  <c r="J15" i="56" s="1"/>
  <c r="O26" i="56"/>
  <c r="O25" i="59"/>
  <c r="O21" i="59"/>
  <c r="O17" i="56"/>
  <c r="J17" i="56" s="1"/>
  <c r="O19" i="55"/>
  <c r="O23" i="58"/>
  <c r="O27" i="55"/>
  <c r="O24" i="55"/>
  <c r="J24" i="55" s="1"/>
  <c r="O25" i="56"/>
  <c r="O19" i="54"/>
  <c r="H19" i="54" s="1"/>
  <c r="O23" i="54"/>
  <c r="H23" i="54" s="1"/>
  <c r="O13" i="54"/>
  <c r="H13" i="54" s="1"/>
  <c r="V35" i="59"/>
  <c r="V33" i="59"/>
  <c r="V53" i="59"/>
  <c r="V55" i="59"/>
  <c r="V56" i="58"/>
  <c r="V54" i="58"/>
  <c r="V54" i="57"/>
  <c r="V52" i="57"/>
  <c r="V56" i="57"/>
  <c r="V54" i="56"/>
  <c r="V54" i="55"/>
  <c r="V52" i="55"/>
  <c r="J56" i="54"/>
  <c r="G56" i="54"/>
  <c r="I56" i="54"/>
  <c r="V43" i="54"/>
  <c r="J43" i="54" s="1"/>
  <c r="I44" i="54"/>
  <c r="J22" i="54"/>
  <c r="G15" i="54"/>
  <c r="G26" i="54"/>
  <c r="U49" i="54"/>
  <c r="J26" i="54"/>
  <c r="G17" i="54"/>
  <c r="G22" i="54"/>
  <c r="G14" i="54"/>
  <c r="V29" i="54"/>
  <c r="I26" i="54"/>
  <c r="V18" i="54"/>
  <c r="J18" i="54" s="1"/>
  <c r="I18" i="54"/>
  <c r="V36" i="54"/>
  <c r="V38" i="54"/>
  <c r="V39" i="54"/>
  <c r="V40" i="54"/>
  <c r="V15" i="54"/>
  <c r="J15" i="54" s="1"/>
  <c r="I15" i="54"/>
  <c r="V50" i="54"/>
  <c r="V20" i="54"/>
  <c r="V52" i="54"/>
  <c r="V32" i="54"/>
  <c r="V17" i="54"/>
  <c r="J17" i="54" s="1"/>
  <c r="I17" i="54"/>
  <c r="V54" i="54"/>
  <c r="S35" i="54"/>
  <c r="S51" i="54"/>
  <c r="S27" i="54"/>
  <c r="G27" i="54" s="1"/>
  <c r="U35" i="54"/>
  <c r="S37" i="54"/>
  <c r="U51" i="54"/>
  <c r="S53" i="54"/>
  <c r="U14" i="54"/>
  <c r="V24" i="54"/>
  <c r="U27" i="54"/>
  <c r="U37" i="54"/>
  <c r="S39" i="54"/>
  <c r="U53" i="54"/>
  <c r="U16" i="54"/>
  <c r="S18" i="54"/>
  <c r="G18" i="54" s="1"/>
  <c r="U21" i="54"/>
  <c r="H15" i="54"/>
  <c r="S20" i="54"/>
  <c r="S32" i="54"/>
  <c r="S50" i="54"/>
  <c r="H17" i="54"/>
  <c r="I22" i="54"/>
  <c r="S36" i="54"/>
  <c r="S52" i="54"/>
  <c r="S38" i="54"/>
  <c r="S54" i="54"/>
  <c r="S40" i="54"/>
  <c r="H38" i="74" l="1"/>
  <c r="I38" i="74"/>
  <c r="J38" i="74"/>
  <c r="G38" i="74"/>
  <c r="H44" i="73"/>
  <c r="G44" i="73"/>
  <c r="I44" i="73"/>
  <c r="J44" i="73"/>
  <c r="H39" i="74"/>
  <c r="I39" i="74"/>
  <c r="G39" i="74"/>
  <c r="J39" i="74"/>
  <c r="H42" i="73"/>
  <c r="I42" i="73"/>
  <c r="G42" i="73"/>
  <c r="J42" i="73"/>
  <c r="H39" i="73"/>
  <c r="G39" i="73"/>
  <c r="I39" i="73"/>
  <c r="J39" i="73"/>
  <c r="H44" i="74"/>
  <c r="I44" i="74"/>
  <c r="G44" i="74"/>
  <c r="J44" i="74"/>
  <c r="H43" i="73"/>
  <c r="G43" i="73"/>
  <c r="I43" i="73"/>
  <c r="J43" i="73"/>
  <c r="H40" i="74"/>
  <c r="G40" i="74"/>
  <c r="I40" i="74"/>
  <c r="J40" i="74"/>
  <c r="H38" i="73"/>
  <c r="I38" i="73"/>
  <c r="G38" i="73"/>
  <c r="J38" i="73"/>
  <c r="I43" i="74"/>
  <c r="H43" i="74"/>
  <c r="G43" i="74"/>
  <c r="J43" i="74"/>
  <c r="H40" i="73"/>
  <c r="G40" i="73"/>
  <c r="I40" i="73"/>
  <c r="J40" i="73"/>
  <c r="H42" i="74"/>
  <c r="G42" i="74"/>
  <c r="I42" i="74"/>
  <c r="J42" i="74"/>
  <c r="H41" i="73"/>
  <c r="G41" i="73"/>
  <c r="I41" i="73"/>
  <c r="J41" i="73"/>
  <c r="G41" i="74"/>
  <c r="I41" i="74"/>
  <c r="H41" i="74"/>
  <c r="J41" i="74"/>
  <c r="I63" i="66"/>
  <c r="G55" i="64"/>
  <c r="H63" i="66"/>
  <c r="G63" i="66"/>
  <c r="I59" i="63"/>
  <c r="J59" i="63"/>
  <c r="I62" i="66"/>
  <c r="G62" i="66"/>
  <c r="H59" i="63"/>
  <c r="H62" i="66"/>
  <c r="I65" i="67"/>
  <c r="H65" i="67"/>
  <c r="J65" i="67"/>
  <c r="G65" i="67"/>
  <c r="G64" i="68"/>
  <c r="H64" i="68"/>
  <c r="I64" i="68"/>
  <c r="J64" i="68"/>
  <c r="G57" i="70"/>
  <c r="H57" i="70"/>
  <c r="I57" i="70"/>
  <c r="J57" i="70"/>
  <c r="H59" i="72"/>
  <c r="G59" i="72"/>
  <c r="I59" i="72"/>
  <c r="J59" i="72"/>
  <c r="H59" i="69"/>
  <c r="G59" i="69"/>
  <c r="I59" i="69"/>
  <c r="J59" i="69"/>
  <c r="H67" i="68"/>
  <c r="I67" i="68"/>
  <c r="G67" i="68"/>
  <c r="J67" i="68"/>
  <c r="H54" i="70"/>
  <c r="I54" i="70"/>
  <c r="J54" i="70"/>
  <c r="G54" i="70"/>
  <c r="I55" i="71"/>
  <c r="H55" i="71"/>
  <c r="J55" i="71"/>
  <c r="G55" i="71"/>
  <c r="H63" i="68"/>
  <c r="G63" i="68"/>
  <c r="I63" i="68"/>
  <c r="J63" i="68"/>
  <c r="H54" i="69"/>
  <c r="G54" i="69"/>
  <c r="I54" i="69"/>
  <c r="J54" i="69"/>
  <c r="H58" i="70"/>
  <c r="G58" i="70"/>
  <c r="I58" i="70"/>
  <c r="J58" i="70"/>
  <c r="G59" i="71"/>
  <c r="H59" i="71"/>
  <c r="I59" i="71"/>
  <c r="J59" i="71"/>
  <c r="I58" i="65"/>
  <c r="H66" i="67"/>
  <c r="I66" i="67"/>
  <c r="J66" i="67"/>
  <c r="G66" i="67"/>
  <c r="H68" i="68"/>
  <c r="I68" i="68"/>
  <c r="G68" i="68"/>
  <c r="J68" i="68"/>
  <c r="I58" i="69"/>
  <c r="H58" i="69"/>
  <c r="G58" i="69"/>
  <c r="J58" i="69"/>
  <c r="H56" i="72"/>
  <c r="I56" i="72"/>
  <c r="G56" i="72"/>
  <c r="J56" i="72"/>
  <c r="H57" i="72"/>
  <c r="I57" i="72"/>
  <c r="G57" i="72"/>
  <c r="J57" i="72"/>
  <c r="H58" i="65"/>
  <c r="J63" i="67"/>
  <c r="H63" i="67"/>
  <c r="I63" i="67"/>
  <c r="G63" i="67"/>
  <c r="G56" i="69"/>
  <c r="H56" i="69"/>
  <c r="I56" i="69"/>
  <c r="J56" i="69"/>
  <c r="H55" i="69"/>
  <c r="G55" i="69"/>
  <c r="I55" i="69"/>
  <c r="J55" i="69"/>
  <c r="H54" i="71"/>
  <c r="I54" i="71"/>
  <c r="G54" i="71"/>
  <c r="J54" i="71"/>
  <c r="H56" i="71"/>
  <c r="I56" i="71"/>
  <c r="J56" i="71"/>
  <c r="G56" i="71"/>
  <c r="G58" i="65"/>
  <c r="H67" i="67"/>
  <c r="G67" i="67"/>
  <c r="I67" i="67"/>
  <c r="J67" i="67"/>
  <c r="H65" i="68"/>
  <c r="G65" i="68"/>
  <c r="I65" i="68"/>
  <c r="J65" i="68"/>
  <c r="H55" i="70"/>
  <c r="I55" i="70"/>
  <c r="G55" i="70"/>
  <c r="J55" i="70"/>
  <c r="H58" i="71"/>
  <c r="G58" i="71"/>
  <c r="I58" i="71"/>
  <c r="J58" i="71"/>
  <c r="H55" i="72"/>
  <c r="G55" i="72"/>
  <c r="I55" i="72"/>
  <c r="J55" i="72"/>
  <c r="I64" i="67"/>
  <c r="H64" i="67"/>
  <c r="G64" i="67"/>
  <c r="J64" i="67"/>
  <c r="H66" i="68"/>
  <c r="I66" i="68"/>
  <c r="G66" i="68"/>
  <c r="J66" i="68"/>
  <c r="H59" i="70"/>
  <c r="I59" i="70"/>
  <c r="G59" i="70"/>
  <c r="J59" i="70"/>
  <c r="H54" i="72"/>
  <c r="I54" i="72"/>
  <c r="G54" i="72"/>
  <c r="J54" i="72"/>
  <c r="J58" i="72"/>
  <c r="I58" i="72"/>
  <c r="H58" i="72"/>
  <c r="G58" i="72"/>
  <c r="H68" i="67"/>
  <c r="G68" i="67"/>
  <c r="I68" i="67"/>
  <c r="H57" i="69"/>
  <c r="G57" i="69"/>
  <c r="J57" i="69"/>
  <c r="I57" i="69"/>
  <c r="I56" i="70"/>
  <c r="H56" i="70"/>
  <c r="G56" i="70"/>
  <c r="J56" i="70"/>
  <c r="I57" i="71"/>
  <c r="H57" i="71"/>
  <c r="J57" i="71"/>
  <c r="G57" i="71"/>
  <c r="H51" i="67"/>
  <c r="G51" i="67"/>
  <c r="I51" i="67"/>
  <c r="J51" i="67"/>
  <c r="H42" i="69"/>
  <c r="G42" i="69"/>
  <c r="I42" i="69"/>
  <c r="J42" i="69"/>
  <c r="H51" i="68"/>
  <c r="I51" i="68"/>
  <c r="G51" i="68"/>
  <c r="J51" i="68"/>
  <c r="H41" i="70"/>
  <c r="I41" i="70"/>
  <c r="G41" i="70"/>
  <c r="J41" i="70"/>
  <c r="H43" i="71"/>
  <c r="G43" i="71"/>
  <c r="I43" i="71"/>
  <c r="J43" i="71"/>
  <c r="H47" i="68"/>
  <c r="I47" i="68"/>
  <c r="J47" i="68"/>
  <c r="G47" i="68"/>
  <c r="I46" i="67"/>
  <c r="J46" i="67"/>
  <c r="G46" i="67"/>
  <c r="H46" i="67"/>
  <c r="H50" i="68"/>
  <c r="J50" i="68"/>
  <c r="G50" i="68"/>
  <c r="I50" i="68"/>
  <c r="H38" i="69"/>
  <c r="J38" i="69"/>
  <c r="G38" i="69"/>
  <c r="I38" i="69"/>
  <c r="H40" i="71"/>
  <c r="G40" i="71"/>
  <c r="I40" i="71"/>
  <c r="J40" i="71"/>
  <c r="H37" i="72"/>
  <c r="G37" i="72"/>
  <c r="I37" i="72"/>
  <c r="J37" i="72"/>
  <c r="H42" i="72"/>
  <c r="I42" i="72"/>
  <c r="G42" i="72"/>
  <c r="J42" i="72"/>
  <c r="H49" i="67"/>
  <c r="G49" i="67"/>
  <c r="I49" i="67"/>
  <c r="J49" i="67"/>
  <c r="H37" i="69"/>
  <c r="J37" i="69"/>
  <c r="G37" i="69"/>
  <c r="I37" i="69"/>
  <c r="H39" i="70"/>
  <c r="I39" i="70"/>
  <c r="G39" i="70"/>
  <c r="J39" i="70"/>
  <c r="H39" i="72"/>
  <c r="I39" i="72"/>
  <c r="G39" i="72"/>
  <c r="J39" i="72"/>
  <c r="H39" i="71"/>
  <c r="I39" i="71"/>
  <c r="G39" i="71"/>
  <c r="J39" i="71"/>
  <c r="H38" i="70"/>
  <c r="G38" i="70"/>
  <c r="I38" i="70"/>
  <c r="J38" i="70"/>
  <c r="H52" i="67"/>
  <c r="G52" i="67"/>
  <c r="I52" i="67"/>
  <c r="J52" i="67"/>
  <c r="I43" i="69"/>
  <c r="H43" i="69"/>
  <c r="G43" i="69"/>
  <c r="J43" i="69"/>
  <c r="G42" i="70"/>
  <c r="H42" i="70"/>
  <c r="I42" i="70"/>
  <c r="J42" i="70"/>
  <c r="H38" i="71"/>
  <c r="G38" i="71"/>
  <c r="I38" i="71"/>
  <c r="J38" i="71"/>
  <c r="H42" i="71"/>
  <c r="I42" i="71"/>
  <c r="G42" i="71"/>
  <c r="J42" i="71"/>
  <c r="H41" i="69"/>
  <c r="J41" i="69"/>
  <c r="I41" i="69"/>
  <c r="G41" i="69"/>
  <c r="H46" i="68"/>
  <c r="I46" i="68"/>
  <c r="G46" i="68"/>
  <c r="J46" i="68"/>
  <c r="H40" i="69"/>
  <c r="I40" i="69"/>
  <c r="G40" i="69"/>
  <c r="J40" i="69"/>
  <c r="G37" i="70"/>
  <c r="H37" i="70"/>
  <c r="I37" i="70"/>
  <c r="J37" i="70"/>
  <c r="H41" i="72"/>
  <c r="I41" i="72"/>
  <c r="G41" i="72"/>
  <c r="J41" i="72"/>
  <c r="H41" i="71"/>
  <c r="G41" i="71"/>
  <c r="I41" i="71"/>
  <c r="J41" i="71"/>
  <c r="H47" i="67"/>
  <c r="I47" i="67"/>
  <c r="G47" i="67"/>
  <c r="J47" i="67"/>
  <c r="H52" i="68"/>
  <c r="G52" i="68"/>
  <c r="J52" i="68"/>
  <c r="I52" i="68"/>
  <c r="H49" i="68"/>
  <c r="G49" i="68"/>
  <c r="I49" i="68"/>
  <c r="J49" i="68"/>
  <c r="H40" i="70"/>
  <c r="G40" i="70"/>
  <c r="I40" i="70"/>
  <c r="J40" i="70"/>
  <c r="H38" i="72"/>
  <c r="G38" i="72"/>
  <c r="J38" i="72"/>
  <c r="I38" i="72"/>
  <c r="H37" i="71"/>
  <c r="G37" i="71"/>
  <c r="I37" i="71"/>
  <c r="J37" i="71"/>
  <c r="H48" i="67"/>
  <c r="I48" i="67"/>
  <c r="G48" i="67"/>
  <c r="J48" i="67"/>
  <c r="H50" i="67"/>
  <c r="J50" i="67"/>
  <c r="G50" i="67"/>
  <c r="I50" i="67"/>
  <c r="H39" i="69"/>
  <c r="I39" i="69"/>
  <c r="G39" i="69"/>
  <c r="J39" i="69"/>
  <c r="H48" i="68"/>
  <c r="G48" i="68"/>
  <c r="J48" i="68"/>
  <c r="I48" i="68"/>
  <c r="H43" i="70"/>
  <c r="G43" i="70"/>
  <c r="I43" i="70"/>
  <c r="J43" i="70"/>
  <c r="H40" i="72"/>
  <c r="I40" i="72"/>
  <c r="J40" i="72"/>
  <c r="G40" i="72"/>
  <c r="H43" i="72"/>
  <c r="G43" i="72"/>
  <c r="I43" i="72"/>
  <c r="J43" i="72"/>
  <c r="G57" i="62"/>
  <c r="G59" i="61"/>
  <c r="I55" i="64"/>
  <c r="H55" i="64"/>
  <c r="I65" i="66"/>
  <c r="H56" i="65"/>
  <c r="H56" i="64"/>
  <c r="G56" i="65"/>
  <c r="H65" i="63"/>
  <c r="G57" i="64"/>
  <c r="G58" i="64"/>
  <c r="H58" i="64"/>
  <c r="I57" i="62"/>
  <c r="H59" i="61"/>
  <c r="I60" i="63"/>
  <c r="I64" i="63"/>
  <c r="I66" i="66"/>
  <c r="I57" i="65"/>
  <c r="J56" i="65"/>
  <c r="H62" i="63"/>
  <c r="H57" i="62"/>
  <c r="G64" i="66"/>
  <c r="H58" i="62"/>
  <c r="H64" i="66"/>
  <c r="I56" i="64"/>
  <c r="I58" i="64"/>
  <c r="G56" i="64"/>
  <c r="I64" i="66"/>
  <c r="G66" i="66"/>
  <c r="G56" i="61"/>
  <c r="I55" i="65"/>
  <c r="G57" i="61"/>
  <c r="G55" i="65"/>
  <c r="I59" i="62"/>
  <c r="J56" i="62"/>
  <c r="J57" i="64"/>
  <c r="H59" i="62"/>
  <c r="G56" i="62"/>
  <c r="H57" i="64"/>
  <c r="J57" i="61"/>
  <c r="G59" i="62"/>
  <c r="I56" i="62"/>
  <c r="I56" i="61"/>
  <c r="H57" i="61"/>
  <c r="H56" i="61"/>
  <c r="J65" i="63"/>
  <c r="J61" i="63"/>
  <c r="H65" i="66"/>
  <c r="G60" i="61"/>
  <c r="I61" i="63"/>
  <c r="I65" i="63"/>
  <c r="J60" i="61"/>
  <c r="G65" i="66"/>
  <c r="I60" i="61"/>
  <c r="I62" i="63"/>
  <c r="H61" i="63"/>
  <c r="G55" i="61"/>
  <c r="J59" i="61"/>
  <c r="G62" i="63"/>
  <c r="J58" i="62"/>
  <c r="J59" i="65"/>
  <c r="G58" i="62"/>
  <c r="I59" i="65"/>
  <c r="H55" i="62"/>
  <c r="H55" i="61"/>
  <c r="H55" i="65"/>
  <c r="I63" i="63"/>
  <c r="I54" i="65"/>
  <c r="G59" i="65"/>
  <c r="G58" i="61"/>
  <c r="J54" i="65"/>
  <c r="I58" i="61"/>
  <c r="H54" i="65"/>
  <c r="H58" i="61"/>
  <c r="H60" i="63"/>
  <c r="I61" i="66"/>
  <c r="J55" i="62"/>
  <c r="I55" i="61"/>
  <c r="G63" i="63"/>
  <c r="G60" i="63"/>
  <c r="H61" i="66"/>
  <c r="I55" i="62"/>
  <c r="J63" i="63"/>
  <c r="J64" i="63"/>
  <c r="G61" i="66"/>
  <c r="G64" i="63"/>
  <c r="G60" i="64"/>
  <c r="I60" i="64"/>
  <c r="G57" i="65"/>
  <c r="I60" i="62"/>
  <c r="H60" i="64"/>
  <c r="H57" i="65"/>
  <c r="G60" i="62"/>
  <c r="J66" i="66"/>
  <c r="H60" i="62"/>
  <c r="H41" i="62"/>
  <c r="I41" i="62"/>
  <c r="G41" i="62"/>
  <c r="J41" i="62"/>
  <c r="H40" i="62"/>
  <c r="G40" i="62"/>
  <c r="I40" i="62"/>
  <c r="J40" i="62"/>
  <c r="H39" i="61"/>
  <c r="I39" i="61"/>
  <c r="G39" i="61"/>
  <c r="J39" i="61"/>
  <c r="G42" i="64"/>
  <c r="H42" i="64"/>
  <c r="I42" i="64"/>
  <c r="J42" i="64"/>
  <c r="H45" i="63"/>
  <c r="J45" i="63"/>
  <c r="I45" i="63"/>
  <c r="G45" i="63"/>
  <c r="I46" i="63"/>
  <c r="H46" i="63"/>
  <c r="G46" i="63"/>
  <c r="J46" i="63"/>
  <c r="H38" i="62"/>
  <c r="I38" i="62"/>
  <c r="G38" i="62"/>
  <c r="J38" i="62"/>
  <c r="H42" i="62"/>
  <c r="G42" i="62"/>
  <c r="I42" i="62"/>
  <c r="J42" i="62"/>
  <c r="G44" i="64"/>
  <c r="H44" i="64"/>
  <c r="I44" i="64"/>
  <c r="J44" i="64"/>
  <c r="H43" i="62"/>
  <c r="G43" i="62"/>
  <c r="I43" i="62"/>
  <c r="J43" i="62"/>
  <c r="H44" i="63"/>
  <c r="G44" i="63"/>
  <c r="I44" i="63"/>
  <c r="J44" i="63"/>
  <c r="G50" i="66"/>
  <c r="H50" i="66"/>
  <c r="I50" i="66"/>
  <c r="J50" i="66"/>
  <c r="H40" i="63"/>
  <c r="G40" i="63"/>
  <c r="I40" i="63"/>
  <c r="J40" i="63"/>
  <c r="G42" i="65"/>
  <c r="H42" i="65"/>
  <c r="I42" i="65"/>
  <c r="J42" i="65"/>
  <c r="H42" i="63"/>
  <c r="G42" i="63"/>
  <c r="I42" i="63"/>
  <c r="J42" i="63"/>
  <c r="H41" i="64"/>
  <c r="I41" i="64"/>
  <c r="G41" i="64"/>
  <c r="J41" i="64"/>
  <c r="H40" i="64"/>
  <c r="I40" i="64"/>
  <c r="G40" i="64"/>
  <c r="J40" i="64"/>
  <c r="I43" i="65"/>
  <c r="H43" i="65"/>
  <c r="G43" i="65"/>
  <c r="J43" i="65"/>
  <c r="H46" i="66"/>
  <c r="G46" i="66"/>
  <c r="I46" i="66"/>
  <c r="J46" i="66"/>
  <c r="H41" i="63"/>
  <c r="I41" i="63"/>
  <c r="G41" i="63"/>
  <c r="J41" i="63"/>
  <c r="H39" i="64"/>
  <c r="G39" i="64"/>
  <c r="J39" i="64"/>
  <c r="I39" i="64"/>
  <c r="H38" i="64"/>
  <c r="I38" i="64"/>
  <c r="G38" i="64"/>
  <c r="J38" i="64"/>
  <c r="H43" i="64"/>
  <c r="G43" i="64"/>
  <c r="I43" i="64"/>
  <c r="J43" i="64"/>
  <c r="H45" i="66"/>
  <c r="I45" i="66"/>
  <c r="G45" i="66"/>
  <c r="J45" i="66"/>
  <c r="H43" i="63"/>
  <c r="I43" i="63"/>
  <c r="G43" i="63"/>
  <c r="J43" i="63"/>
  <c r="H44" i="61"/>
  <c r="G44" i="61"/>
  <c r="I44" i="61"/>
  <c r="J44" i="61"/>
  <c r="H38" i="61"/>
  <c r="G38" i="61"/>
  <c r="I38" i="61"/>
  <c r="J38" i="61"/>
  <c r="H43" i="61"/>
  <c r="G43" i="61"/>
  <c r="I43" i="61"/>
  <c r="J43" i="61"/>
  <c r="H38" i="65"/>
  <c r="J38" i="65"/>
  <c r="I38" i="65"/>
  <c r="G38" i="65"/>
  <c r="H41" i="65"/>
  <c r="G41" i="65"/>
  <c r="I41" i="65"/>
  <c r="J41" i="65"/>
  <c r="H40" i="65"/>
  <c r="G40" i="65"/>
  <c r="J40" i="65"/>
  <c r="I40" i="65"/>
  <c r="H41" i="61"/>
  <c r="G41" i="61"/>
  <c r="I41" i="61"/>
  <c r="J41" i="61"/>
  <c r="H47" i="66"/>
  <c r="I47" i="66"/>
  <c r="G47" i="66"/>
  <c r="J47" i="66"/>
  <c r="H47" i="63"/>
  <c r="G47" i="63"/>
  <c r="I47" i="63"/>
  <c r="J47" i="63"/>
  <c r="H48" i="66"/>
  <c r="G48" i="66"/>
  <c r="I48" i="66"/>
  <c r="J48" i="66"/>
  <c r="H49" i="66"/>
  <c r="G49" i="66"/>
  <c r="I49" i="66"/>
  <c r="J49" i="66"/>
  <c r="H44" i="66"/>
  <c r="I44" i="66"/>
  <c r="G44" i="66"/>
  <c r="J44" i="66"/>
  <c r="H39" i="62"/>
  <c r="G39" i="62"/>
  <c r="I39" i="62"/>
  <c r="J39" i="62"/>
  <c r="H39" i="65"/>
  <c r="G39" i="65"/>
  <c r="I39" i="65"/>
  <c r="J39" i="65"/>
  <c r="H37" i="65"/>
  <c r="J37" i="65"/>
  <c r="G37" i="65"/>
  <c r="I37" i="65"/>
  <c r="H42" i="61"/>
  <c r="I42" i="61"/>
  <c r="G42" i="61"/>
  <c r="J42" i="61"/>
  <c r="H44" i="62"/>
  <c r="G44" i="62"/>
  <c r="I44" i="62"/>
  <c r="J44" i="62"/>
  <c r="H40" i="61"/>
  <c r="I40" i="61"/>
  <c r="G40" i="61"/>
  <c r="J40" i="61"/>
  <c r="J36" i="60"/>
  <c r="J60" i="60"/>
  <c r="J56" i="60"/>
  <c r="J59" i="60"/>
  <c r="G24" i="54"/>
  <c r="O33" i="57"/>
  <c r="O32" i="55"/>
  <c r="O33" i="55"/>
  <c r="O36" i="58"/>
  <c r="O34" i="56"/>
  <c r="O34" i="58"/>
  <c r="O33" i="56"/>
  <c r="O35" i="58"/>
  <c r="O35" i="59"/>
  <c r="O34" i="59"/>
  <c r="O34" i="57"/>
  <c r="O33" i="59"/>
  <c r="O32" i="54"/>
  <c r="J32" i="54" s="1"/>
  <c r="O33" i="54"/>
  <c r="I24" i="54"/>
  <c r="J24" i="54"/>
  <c r="O30" i="58"/>
  <c r="O31" i="59"/>
  <c r="O31" i="56"/>
  <c r="O30" i="55"/>
  <c r="O30" i="59"/>
  <c r="O30" i="56"/>
  <c r="O29" i="55"/>
  <c r="O29" i="59"/>
  <c r="O31" i="57"/>
  <c r="O32" i="58"/>
  <c r="O31" i="58"/>
  <c r="O30" i="57"/>
  <c r="O29" i="54"/>
  <c r="J29" i="54" s="1"/>
  <c r="O30" i="54"/>
  <c r="J20" i="54"/>
  <c r="G20" i="54"/>
  <c r="O55" i="58"/>
  <c r="O56" i="56"/>
  <c r="O54" i="55"/>
  <c r="O57" i="57"/>
  <c r="O58" i="59"/>
  <c r="O54" i="58"/>
  <c r="J54" i="58" s="1"/>
  <c r="O56" i="57"/>
  <c r="J56" i="57" s="1"/>
  <c r="O55" i="56"/>
  <c r="O53" i="55"/>
  <c r="O57" i="59"/>
  <c r="O55" i="57"/>
  <c r="O56" i="59"/>
  <c r="O54" i="57"/>
  <c r="O52" i="55"/>
  <c r="O53" i="56"/>
  <c r="O55" i="59"/>
  <c r="O59" i="58"/>
  <c r="O49" i="55"/>
  <c r="O53" i="57"/>
  <c r="O51" i="55"/>
  <c r="O52" i="56"/>
  <c r="O54" i="59"/>
  <c r="O58" i="58"/>
  <c r="O52" i="57"/>
  <c r="J52" i="57" s="1"/>
  <c r="O50" i="55"/>
  <c r="O57" i="58"/>
  <c r="O53" i="59"/>
  <c r="J53" i="59" s="1"/>
  <c r="O56" i="58"/>
  <c r="J56" i="58" s="1"/>
  <c r="O57" i="56"/>
  <c r="O54" i="56"/>
  <c r="O54" i="54"/>
  <c r="J54" i="54" s="1"/>
  <c r="O53" i="54"/>
  <c r="H53" i="54" s="1"/>
  <c r="O52" i="54"/>
  <c r="J52" i="54" s="1"/>
  <c r="O51" i="54"/>
  <c r="H51" i="54" s="1"/>
  <c r="O50" i="54"/>
  <c r="O49" i="54"/>
  <c r="G13" i="54"/>
  <c r="I20" i="54"/>
  <c r="O44" i="58"/>
  <c r="O35" i="55"/>
  <c r="O39" i="57"/>
  <c r="O43" i="59"/>
  <c r="O38" i="58"/>
  <c r="O42" i="56"/>
  <c r="O36" i="55"/>
  <c r="O38" i="59"/>
  <c r="O43" i="58"/>
  <c r="O42" i="59"/>
  <c r="O36" i="56"/>
  <c r="O39" i="55"/>
  <c r="O41" i="56"/>
  <c r="O38" i="57"/>
  <c r="O37" i="59"/>
  <c r="O42" i="58"/>
  <c r="O38" i="55"/>
  <c r="O40" i="56"/>
  <c r="O37" i="57"/>
  <c r="O40" i="58"/>
  <c r="O41" i="59"/>
  <c r="O42" i="57"/>
  <c r="O41" i="58"/>
  <c r="O37" i="55"/>
  <c r="O39" i="56"/>
  <c r="O41" i="57"/>
  <c r="O41" i="55"/>
  <c r="O40" i="59"/>
  <c r="O36" i="57"/>
  <c r="O38" i="56"/>
  <c r="O39" i="59"/>
  <c r="O39" i="58"/>
  <c r="O40" i="57"/>
  <c r="O37" i="56"/>
  <c r="O40" i="55"/>
  <c r="O40" i="54"/>
  <c r="O38" i="54"/>
  <c r="O37" i="54"/>
  <c r="H37" i="54" s="1"/>
  <c r="O41" i="54"/>
  <c r="O36" i="54"/>
  <c r="J36" i="54" s="1"/>
  <c r="O35" i="54"/>
  <c r="H35" i="54" s="1"/>
  <c r="O39" i="54"/>
  <c r="G21" i="54"/>
  <c r="I23" i="54"/>
  <c r="J13" i="54"/>
  <c r="H27" i="58"/>
  <c r="I27" i="58"/>
  <c r="J27" i="58"/>
  <c r="G27" i="58"/>
  <c r="H13" i="57"/>
  <c r="J13" i="57"/>
  <c r="I13" i="57"/>
  <c r="G13" i="57"/>
  <c r="I13" i="55"/>
  <c r="H13" i="55"/>
  <c r="G13" i="55"/>
  <c r="J13" i="55"/>
  <c r="H18" i="58"/>
  <c r="I18" i="58"/>
  <c r="J18" i="58"/>
  <c r="G18" i="58"/>
  <c r="H27" i="59"/>
  <c r="G27" i="59"/>
  <c r="I27" i="59"/>
  <c r="J27" i="59"/>
  <c r="G26" i="57"/>
  <c r="J26" i="57"/>
  <c r="I26" i="57"/>
  <c r="H26" i="57"/>
  <c r="H14" i="59"/>
  <c r="I14" i="59"/>
  <c r="G14" i="59"/>
  <c r="H15" i="59"/>
  <c r="I15" i="59"/>
  <c r="G15" i="59"/>
  <c r="H26" i="58"/>
  <c r="G26" i="58"/>
  <c r="J26" i="58"/>
  <c r="I26" i="58"/>
  <c r="H25" i="56"/>
  <c r="G25" i="56"/>
  <c r="I25" i="56"/>
  <c r="I22" i="57"/>
  <c r="G22" i="57"/>
  <c r="H22" i="57"/>
  <c r="J22" i="57"/>
  <c r="H24" i="58"/>
  <c r="G24" i="58"/>
  <c r="J24" i="58"/>
  <c r="I24" i="58"/>
  <c r="H26" i="55"/>
  <c r="I26" i="55"/>
  <c r="G26" i="55"/>
  <c r="J26" i="55"/>
  <c r="H23" i="55"/>
  <c r="J23" i="55"/>
  <c r="G23" i="55"/>
  <c r="I23" i="55"/>
  <c r="G21" i="56"/>
  <c r="I21" i="56"/>
  <c r="J21" i="56"/>
  <c r="H21" i="56"/>
  <c r="H25" i="58"/>
  <c r="G25" i="58"/>
  <c r="I25" i="58"/>
  <c r="J25" i="58"/>
  <c r="H16" i="55"/>
  <c r="I16" i="55"/>
  <c r="G16" i="55"/>
  <c r="H13" i="59"/>
  <c r="G13" i="59"/>
  <c r="I13" i="59"/>
  <c r="J13" i="59"/>
  <c r="J19" i="54"/>
  <c r="H20" i="58"/>
  <c r="I20" i="58"/>
  <c r="G20" i="58"/>
  <c r="J20" i="58"/>
  <c r="H17" i="57"/>
  <c r="I17" i="57"/>
  <c r="G17" i="57"/>
  <c r="J17" i="57"/>
  <c r="I22" i="58"/>
  <c r="J22" i="58"/>
  <c r="G22" i="58"/>
  <c r="H22" i="58"/>
  <c r="H20" i="56"/>
  <c r="I20" i="56"/>
  <c r="J20" i="56"/>
  <c r="G20" i="56"/>
  <c r="H27" i="55"/>
  <c r="G27" i="55"/>
  <c r="I27" i="55"/>
  <c r="J27" i="55"/>
  <c r="H19" i="56"/>
  <c r="I19" i="56"/>
  <c r="J19" i="56"/>
  <c r="G19" i="56"/>
  <c r="I25" i="54"/>
  <c r="J23" i="54"/>
  <c r="G23" i="54"/>
  <c r="H23" i="58"/>
  <c r="J23" i="58"/>
  <c r="I23" i="58"/>
  <c r="G23" i="58"/>
  <c r="H25" i="55"/>
  <c r="J25" i="55"/>
  <c r="G25" i="55"/>
  <c r="I25" i="55"/>
  <c r="H21" i="58"/>
  <c r="I21" i="58"/>
  <c r="G21" i="58"/>
  <c r="J21" i="58"/>
  <c r="H23" i="59"/>
  <c r="J23" i="59"/>
  <c r="I23" i="59"/>
  <c r="G23" i="59"/>
  <c r="H20" i="55"/>
  <c r="I20" i="55"/>
  <c r="J20" i="55"/>
  <c r="G20" i="55"/>
  <c r="H24" i="55"/>
  <c r="G24" i="55"/>
  <c r="I24" i="55"/>
  <c r="I19" i="54"/>
  <c r="I22" i="56"/>
  <c r="G22" i="56"/>
  <c r="H22" i="56"/>
  <c r="J22" i="56"/>
  <c r="I22" i="55"/>
  <c r="G22" i="55"/>
  <c r="J22" i="55"/>
  <c r="H22" i="55"/>
  <c r="H14" i="56"/>
  <c r="G14" i="56"/>
  <c r="I14" i="56"/>
  <c r="J14" i="56"/>
  <c r="I16" i="56"/>
  <c r="J16" i="56"/>
  <c r="G16" i="56"/>
  <c r="H16" i="56"/>
  <c r="H23" i="57"/>
  <c r="J23" i="57"/>
  <c r="G23" i="57"/>
  <c r="I23" i="57"/>
  <c r="H28" i="57"/>
  <c r="I28" i="57"/>
  <c r="J28" i="57"/>
  <c r="G28" i="57"/>
  <c r="H19" i="55"/>
  <c r="J19" i="55"/>
  <c r="G19" i="55"/>
  <c r="I19" i="55"/>
  <c r="H17" i="56"/>
  <c r="I17" i="56"/>
  <c r="G17" i="56"/>
  <c r="G21" i="55"/>
  <c r="H21" i="55"/>
  <c r="J21" i="55"/>
  <c r="I21" i="55"/>
  <c r="H18" i="55"/>
  <c r="G18" i="55"/>
  <c r="J18" i="55"/>
  <c r="I18" i="55"/>
  <c r="I14" i="57"/>
  <c r="H14" i="57"/>
  <c r="G14" i="57"/>
  <c r="J14" i="57"/>
  <c r="J28" i="56"/>
  <c r="G28" i="56"/>
  <c r="H28" i="56"/>
  <c r="I28" i="56"/>
  <c r="J25" i="56"/>
  <c r="G19" i="54"/>
  <c r="H21" i="59"/>
  <c r="I21" i="59"/>
  <c r="G21" i="59"/>
  <c r="J18" i="56"/>
  <c r="I18" i="56"/>
  <c r="G18" i="56"/>
  <c r="H18" i="56"/>
  <c r="G13" i="56"/>
  <c r="J13" i="56"/>
  <c r="H13" i="56"/>
  <c r="I13" i="56"/>
  <c r="H13" i="58"/>
  <c r="G13" i="58"/>
  <c r="I13" i="58"/>
  <c r="J13" i="58"/>
  <c r="H24" i="59"/>
  <c r="I24" i="59"/>
  <c r="J24" i="59"/>
  <c r="G24" i="59"/>
  <c r="J16" i="55"/>
  <c r="H20" i="59"/>
  <c r="G20" i="59"/>
  <c r="J20" i="59"/>
  <c r="I20" i="59"/>
  <c r="I15" i="55"/>
  <c r="H15" i="55"/>
  <c r="G15" i="55"/>
  <c r="J15" i="55"/>
  <c r="H14" i="55"/>
  <c r="G14" i="55"/>
  <c r="I14" i="55"/>
  <c r="J14" i="55"/>
  <c r="H26" i="56"/>
  <c r="G26" i="56"/>
  <c r="I26" i="56"/>
  <c r="I16" i="57"/>
  <c r="J16" i="57"/>
  <c r="H16" i="57"/>
  <c r="G16" i="57"/>
  <c r="I20" i="57"/>
  <c r="H20" i="57"/>
  <c r="G20" i="57"/>
  <c r="J20" i="57"/>
  <c r="H15" i="57"/>
  <c r="I15" i="57"/>
  <c r="G15" i="57"/>
  <c r="J15" i="57"/>
  <c r="J26" i="56"/>
  <c r="G15" i="56"/>
  <c r="H15" i="56"/>
  <c r="I15" i="56"/>
  <c r="H16" i="58"/>
  <c r="G16" i="58"/>
  <c r="I16" i="58"/>
  <c r="H17" i="58"/>
  <c r="G17" i="58"/>
  <c r="J17" i="58"/>
  <c r="I17" i="58"/>
  <c r="H24" i="56"/>
  <c r="I24" i="56"/>
  <c r="G24" i="56"/>
  <c r="H18" i="57"/>
  <c r="G18" i="57"/>
  <c r="I18" i="57"/>
  <c r="J15" i="59"/>
  <c r="H17" i="59"/>
  <c r="G17" i="59"/>
  <c r="I17" i="59"/>
  <c r="H22" i="59"/>
  <c r="I22" i="59"/>
  <c r="G22" i="59"/>
  <c r="J22" i="59"/>
  <c r="H19" i="57"/>
  <c r="G19" i="57"/>
  <c r="J19" i="57"/>
  <c r="I19" i="57"/>
  <c r="H18" i="59"/>
  <c r="G18" i="59"/>
  <c r="J18" i="59"/>
  <c r="I18" i="59"/>
  <c r="H28" i="58"/>
  <c r="J28" i="58"/>
  <c r="I28" i="58"/>
  <c r="G28" i="58"/>
  <c r="H21" i="57"/>
  <c r="J21" i="57"/>
  <c r="G21" i="57"/>
  <c r="I21" i="57"/>
  <c r="I14" i="58"/>
  <c r="G14" i="58"/>
  <c r="H14" i="58"/>
  <c r="J14" i="58"/>
  <c r="J14" i="59"/>
  <c r="H25" i="59"/>
  <c r="J25" i="59"/>
  <c r="I25" i="59"/>
  <c r="G25" i="59"/>
  <c r="J25" i="54"/>
  <c r="I17" i="55"/>
  <c r="H17" i="55"/>
  <c r="G17" i="55"/>
  <c r="J17" i="55"/>
  <c r="I27" i="56"/>
  <c r="H27" i="56"/>
  <c r="G27" i="56"/>
  <c r="J27" i="56"/>
  <c r="G25" i="54"/>
  <c r="H25" i="57"/>
  <c r="G25" i="57"/>
  <c r="J25" i="57"/>
  <c r="I25" i="57"/>
  <c r="H19" i="59"/>
  <c r="G19" i="59"/>
  <c r="I19" i="59"/>
  <c r="I24" i="57"/>
  <c r="J24" i="57"/>
  <c r="G24" i="57"/>
  <c r="H24" i="57"/>
  <c r="H19" i="58"/>
  <c r="I19" i="58"/>
  <c r="J19" i="58"/>
  <c r="G19" i="58"/>
  <c r="I13" i="54"/>
  <c r="G16" i="54"/>
  <c r="J21" i="59"/>
  <c r="H15" i="58"/>
  <c r="G15" i="58"/>
  <c r="J15" i="58"/>
  <c r="I15" i="58"/>
  <c r="I23" i="56"/>
  <c r="H23" i="56"/>
  <c r="G23" i="56"/>
  <c r="J23" i="56"/>
  <c r="H26" i="59"/>
  <c r="I26" i="59"/>
  <c r="J26" i="59"/>
  <c r="G26" i="59"/>
  <c r="H27" i="57"/>
  <c r="I27" i="57"/>
  <c r="J27" i="57"/>
  <c r="G27" i="57"/>
  <c r="G16" i="59"/>
  <c r="H16" i="59"/>
  <c r="J16" i="59"/>
  <c r="I16" i="59"/>
  <c r="V49" i="54"/>
  <c r="V16" i="54"/>
  <c r="J16" i="54" s="1"/>
  <c r="I16" i="54"/>
  <c r="I14" i="54"/>
  <c r="V14" i="54"/>
  <c r="J14" i="54" s="1"/>
  <c r="V51" i="54"/>
  <c r="V35" i="54"/>
  <c r="V21" i="54"/>
  <c r="J21" i="54" s="1"/>
  <c r="I21" i="54"/>
  <c r="V53" i="54"/>
  <c r="V37" i="54"/>
  <c r="I27" i="54"/>
  <c r="V27" i="54"/>
  <c r="J27" i="54" s="1"/>
  <c r="H58" i="60" l="1"/>
  <c r="G58" i="60"/>
  <c r="I58" i="60"/>
  <c r="H39" i="60"/>
  <c r="I39" i="60"/>
  <c r="G39" i="60"/>
  <c r="J39" i="60"/>
  <c r="H55" i="60"/>
  <c r="G55" i="60"/>
  <c r="I55" i="60"/>
  <c r="J55" i="60"/>
  <c r="H38" i="60"/>
  <c r="I38" i="60"/>
  <c r="G38" i="60"/>
  <c r="J38" i="60"/>
  <c r="H59" i="60"/>
  <c r="G59" i="60"/>
  <c r="I59" i="60"/>
  <c r="H40" i="60"/>
  <c r="I40" i="60"/>
  <c r="G40" i="60"/>
  <c r="J40" i="60"/>
  <c r="H36" i="60"/>
  <c r="G36" i="60"/>
  <c r="I36" i="60"/>
  <c r="H41" i="60"/>
  <c r="I41" i="60"/>
  <c r="G41" i="60"/>
  <c r="J41" i="60"/>
  <c r="G56" i="60"/>
  <c r="H56" i="60"/>
  <c r="I56" i="60"/>
  <c r="H42" i="60"/>
  <c r="J42" i="60"/>
  <c r="G42" i="60"/>
  <c r="I42" i="60"/>
  <c r="G34" i="60"/>
  <c r="H34" i="60"/>
  <c r="J34" i="60"/>
  <c r="I34" i="60"/>
  <c r="G57" i="60"/>
  <c r="H57" i="60"/>
  <c r="I57" i="60"/>
  <c r="J57" i="60"/>
  <c r="H44" i="60"/>
  <c r="G44" i="60"/>
  <c r="J44" i="60"/>
  <c r="I44" i="60"/>
  <c r="G35" i="60"/>
  <c r="I35" i="60"/>
  <c r="H35" i="60"/>
  <c r="J35" i="60"/>
  <c r="H60" i="60"/>
  <c r="G60" i="60"/>
  <c r="I60" i="60"/>
  <c r="H43" i="60"/>
  <c r="G43" i="60"/>
  <c r="I43" i="60"/>
  <c r="J43" i="60"/>
  <c r="J58" i="60"/>
  <c r="I53" i="54"/>
  <c r="G32" i="54"/>
  <c r="J37" i="54"/>
  <c r="H32" i="54"/>
  <c r="I32" i="54"/>
  <c r="I34" i="57"/>
  <c r="J34" i="57"/>
  <c r="G34" i="57"/>
  <c r="H34" i="57"/>
  <c r="H34" i="59"/>
  <c r="G34" i="59"/>
  <c r="J34" i="59"/>
  <c r="I34" i="59"/>
  <c r="H35" i="59"/>
  <c r="G35" i="59"/>
  <c r="I35" i="59"/>
  <c r="H33" i="59"/>
  <c r="I33" i="59"/>
  <c r="G33" i="59"/>
  <c r="I51" i="54"/>
  <c r="G54" i="54"/>
  <c r="H33" i="56"/>
  <c r="J33" i="56"/>
  <c r="G33" i="56"/>
  <c r="I33" i="56"/>
  <c r="I35" i="58"/>
  <c r="J35" i="58"/>
  <c r="H35" i="58"/>
  <c r="G35" i="58"/>
  <c r="H34" i="58"/>
  <c r="J34" i="58"/>
  <c r="I34" i="58"/>
  <c r="G34" i="58"/>
  <c r="I35" i="54"/>
  <c r="J51" i="54"/>
  <c r="H34" i="56"/>
  <c r="I34" i="56"/>
  <c r="G34" i="56"/>
  <c r="J34" i="56"/>
  <c r="G36" i="58"/>
  <c r="I36" i="58"/>
  <c r="H36" i="58"/>
  <c r="J36" i="58"/>
  <c r="I33" i="55"/>
  <c r="H33" i="55"/>
  <c r="G33" i="55"/>
  <c r="J33" i="55"/>
  <c r="H32" i="55"/>
  <c r="G32" i="55"/>
  <c r="J32" i="55"/>
  <c r="I32" i="55"/>
  <c r="I33" i="57"/>
  <c r="J33" i="57"/>
  <c r="G33" i="57"/>
  <c r="H33" i="57"/>
  <c r="J35" i="59"/>
  <c r="H33" i="54"/>
  <c r="G33" i="54"/>
  <c r="J33" i="54"/>
  <c r="I33" i="54"/>
  <c r="J33" i="59"/>
  <c r="J53" i="54"/>
  <c r="I30" i="54"/>
  <c r="G30" i="54"/>
  <c r="J30" i="54"/>
  <c r="H30" i="54"/>
  <c r="H29" i="54"/>
  <c r="G29" i="54"/>
  <c r="I29" i="54"/>
  <c r="J35" i="54"/>
  <c r="I30" i="57"/>
  <c r="G30" i="57"/>
  <c r="H30" i="57"/>
  <c r="J30" i="57"/>
  <c r="G31" i="58"/>
  <c r="J31" i="58"/>
  <c r="I31" i="58"/>
  <c r="H31" i="58"/>
  <c r="I31" i="57"/>
  <c r="G31" i="57"/>
  <c r="H31" i="57"/>
  <c r="J31" i="57"/>
  <c r="H32" i="58"/>
  <c r="G32" i="58"/>
  <c r="I32" i="58"/>
  <c r="J32" i="58"/>
  <c r="H29" i="59"/>
  <c r="I29" i="59"/>
  <c r="G29" i="59"/>
  <c r="J29" i="59"/>
  <c r="H29" i="55"/>
  <c r="I29" i="55"/>
  <c r="G29" i="55"/>
  <c r="J29" i="55"/>
  <c r="H30" i="56"/>
  <c r="I30" i="56"/>
  <c r="G30" i="56"/>
  <c r="J30" i="56"/>
  <c r="G30" i="59"/>
  <c r="I30" i="59"/>
  <c r="H30" i="59"/>
  <c r="J30" i="59"/>
  <c r="J49" i="54"/>
  <c r="I30" i="55"/>
  <c r="G30" i="55"/>
  <c r="H30" i="55"/>
  <c r="J30" i="55"/>
  <c r="H31" i="56"/>
  <c r="J31" i="56"/>
  <c r="G31" i="56"/>
  <c r="I31" i="56"/>
  <c r="H31" i="59"/>
  <c r="G31" i="59"/>
  <c r="J31" i="59"/>
  <c r="I31" i="59"/>
  <c r="I37" i="54"/>
  <c r="G30" i="58"/>
  <c r="J30" i="58"/>
  <c r="I30" i="58"/>
  <c r="H30" i="58"/>
  <c r="I52" i="56"/>
  <c r="H52" i="56"/>
  <c r="G52" i="56"/>
  <c r="J52" i="56"/>
  <c r="H58" i="59"/>
  <c r="I58" i="59"/>
  <c r="G58" i="59"/>
  <c r="J58" i="59"/>
  <c r="G49" i="54"/>
  <c r="H49" i="54"/>
  <c r="H51" i="55"/>
  <c r="I51" i="55"/>
  <c r="J51" i="55"/>
  <c r="G51" i="55"/>
  <c r="G57" i="57"/>
  <c r="H57" i="57"/>
  <c r="I57" i="57"/>
  <c r="J57" i="57"/>
  <c r="I50" i="54"/>
  <c r="H50" i="54"/>
  <c r="H53" i="57"/>
  <c r="I53" i="57"/>
  <c r="G53" i="57"/>
  <c r="J53" i="57"/>
  <c r="H54" i="55"/>
  <c r="I54" i="55"/>
  <c r="G54" i="55"/>
  <c r="I49" i="55"/>
  <c r="H49" i="55"/>
  <c r="J49" i="55"/>
  <c r="G49" i="55"/>
  <c r="G56" i="56"/>
  <c r="I56" i="56"/>
  <c r="H56" i="56"/>
  <c r="J56" i="56"/>
  <c r="I52" i="54"/>
  <c r="H52" i="54"/>
  <c r="I59" i="58"/>
  <c r="H59" i="58"/>
  <c r="G59" i="58"/>
  <c r="J59" i="58"/>
  <c r="H55" i="58"/>
  <c r="I55" i="58"/>
  <c r="G55" i="58"/>
  <c r="J55" i="58"/>
  <c r="H55" i="59"/>
  <c r="I55" i="59"/>
  <c r="G55" i="59"/>
  <c r="G51" i="54"/>
  <c r="I54" i="54"/>
  <c r="H54" i="54"/>
  <c r="I53" i="56"/>
  <c r="G53" i="56"/>
  <c r="H53" i="56"/>
  <c r="J53" i="56"/>
  <c r="H54" i="56"/>
  <c r="I54" i="56"/>
  <c r="G54" i="56"/>
  <c r="H52" i="55"/>
  <c r="G52" i="55"/>
  <c r="I52" i="55"/>
  <c r="J54" i="56"/>
  <c r="H57" i="56"/>
  <c r="G57" i="56"/>
  <c r="I57" i="56"/>
  <c r="J57" i="56"/>
  <c r="H54" i="57"/>
  <c r="G54" i="57"/>
  <c r="I54" i="57"/>
  <c r="J52" i="55"/>
  <c r="H56" i="58"/>
  <c r="I56" i="58"/>
  <c r="G56" i="58"/>
  <c r="I56" i="59"/>
  <c r="H56" i="59"/>
  <c r="J56" i="59"/>
  <c r="G56" i="59"/>
  <c r="J54" i="57"/>
  <c r="G53" i="59"/>
  <c r="H53" i="59"/>
  <c r="I53" i="59"/>
  <c r="H55" i="57"/>
  <c r="I55" i="57"/>
  <c r="G55" i="57"/>
  <c r="J55" i="57"/>
  <c r="J50" i="54"/>
  <c r="J54" i="55"/>
  <c r="H57" i="58"/>
  <c r="I57" i="58"/>
  <c r="G57" i="58"/>
  <c r="J57" i="58"/>
  <c r="H57" i="59"/>
  <c r="I57" i="59"/>
  <c r="G57" i="59"/>
  <c r="J57" i="59"/>
  <c r="G50" i="54"/>
  <c r="H50" i="55"/>
  <c r="I50" i="55"/>
  <c r="J50" i="55"/>
  <c r="G50" i="55"/>
  <c r="G53" i="55"/>
  <c r="H53" i="55"/>
  <c r="I53" i="55"/>
  <c r="J53" i="55"/>
  <c r="H52" i="57"/>
  <c r="G52" i="57"/>
  <c r="I52" i="57"/>
  <c r="I55" i="56"/>
  <c r="H55" i="56"/>
  <c r="J55" i="56"/>
  <c r="G55" i="56"/>
  <c r="J55" i="59"/>
  <c r="H58" i="58"/>
  <c r="I58" i="58"/>
  <c r="G58" i="58"/>
  <c r="J58" i="58"/>
  <c r="H56" i="57"/>
  <c r="G56" i="57"/>
  <c r="I56" i="57"/>
  <c r="G53" i="54"/>
  <c r="I49" i="54"/>
  <c r="H54" i="59"/>
  <c r="G54" i="59"/>
  <c r="J54" i="59"/>
  <c r="I54" i="59"/>
  <c r="H54" i="58"/>
  <c r="G54" i="58"/>
  <c r="I54" i="58"/>
  <c r="G52" i="54"/>
  <c r="I41" i="57"/>
  <c r="G41" i="57"/>
  <c r="H41" i="57"/>
  <c r="J41" i="57"/>
  <c r="H39" i="56"/>
  <c r="G39" i="56"/>
  <c r="I39" i="56"/>
  <c r="J39" i="56"/>
  <c r="I43" i="58"/>
  <c r="G43" i="58"/>
  <c r="J43" i="58"/>
  <c r="H43" i="58"/>
  <c r="H39" i="54"/>
  <c r="I39" i="54"/>
  <c r="H42" i="59"/>
  <c r="G42" i="59"/>
  <c r="I42" i="59"/>
  <c r="J42" i="59"/>
  <c r="H36" i="54"/>
  <c r="I36" i="54"/>
  <c r="H37" i="55"/>
  <c r="J37" i="55"/>
  <c r="G37" i="55"/>
  <c r="I37" i="55"/>
  <c r="H38" i="59"/>
  <c r="G38" i="59"/>
  <c r="I38" i="59"/>
  <c r="J38" i="59"/>
  <c r="J41" i="58"/>
  <c r="I41" i="58"/>
  <c r="G41" i="58"/>
  <c r="H41" i="58"/>
  <c r="J41" i="54"/>
  <c r="H41" i="54"/>
  <c r="I41" i="54"/>
  <c r="G41" i="54"/>
  <c r="I36" i="55"/>
  <c r="H36" i="55"/>
  <c r="G36" i="55"/>
  <c r="J36" i="55"/>
  <c r="I42" i="57"/>
  <c r="J42" i="57"/>
  <c r="G42" i="57"/>
  <c r="H42" i="57"/>
  <c r="H42" i="56"/>
  <c r="G42" i="56"/>
  <c r="J42" i="56"/>
  <c r="I42" i="56"/>
  <c r="I38" i="54"/>
  <c r="H38" i="54"/>
  <c r="J38" i="58"/>
  <c r="G38" i="58"/>
  <c r="H38" i="58"/>
  <c r="I38" i="58"/>
  <c r="I41" i="59"/>
  <c r="J41" i="59"/>
  <c r="G41" i="59"/>
  <c r="H41" i="59"/>
  <c r="I40" i="54"/>
  <c r="H40" i="54"/>
  <c r="I40" i="58"/>
  <c r="J40" i="58"/>
  <c r="G40" i="58"/>
  <c r="H40" i="58"/>
  <c r="I43" i="59"/>
  <c r="J43" i="59"/>
  <c r="G43" i="59"/>
  <c r="H43" i="59"/>
  <c r="I37" i="57"/>
  <c r="G37" i="57"/>
  <c r="H37" i="57"/>
  <c r="J37" i="57"/>
  <c r="I40" i="55"/>
  <c r="G40" i="55"/>
  <c r="H40" i="55"/>
  <c r="J40" i="55"/>
  <c r="I39" i="57"/>
  <c r="J39" i="57"/>
  <c r="G39" i="57"/>
  <c r="H39" i="57"/>
  <c r="H37" i="56"/>
  <c r="J37" i="56"/>
  <c r="I37" i="56"/>
  <c r="G37" i="56"/>
  <c r="H40" i="56"/>
  <c r="I40" i="56"/>
  <c r="G40" i="56"/>
  <c r="J40" i="56"/>
  <c r="H35" i="55"/>
  <c r="G35" i="55"/>
  <c r="J35" i="55"/>
  <c r="I35" i="55"/>
  <c r="I40" i="57"/>
  <c r="G40" i="57"/>
  <c r="J40" i="57"/>
  <c r="H40" i="57"/>
  <c r="J38" i="55"/>
  <c r="H38" i="55"/>
  <c r="I38" i="55"/>
  <c r="G38" i="55"/>
  <c r="G44" i="58"/>
  <c r="I44" i="58"/>
  <c r="J44" i="58"/>
  <c r="H44" i="58"/>
  <c r="G39" i="58"/>
  <c r="I39" i="58"/>
  <c r="H39" i="58"/>
  <c r="J39" i="58"/>
  <c r="I42" i="58"/>
  <c r="G42" i="58"/>
  <c r="J42" i="58"/>
  <c r="H42" i="58"/>
  <c r="J40" i="54"/>
  <c r="G39" i="59"/>
  <c r="I39" i="59"/>
  <c r="H39" i="59"/>
  <c r="J39" i="59"/>
  <c r="G37" i="59"/>
  <c r="H37" i="59"/>
  <c r="J37" i="59"/>
  <c r="I37" i="59"/>
  <c r="G39" i="54"/>
  <c r="G38" i="54"/>
  <c r="H38" i="56"/>
  <c r="I38" i="56"/>
  <c r="G38" i="56"/>
  <c r="J38" i="56"/>
  <c r="I38" i="57"/>
  <c r="J38" i="57"/>
  <c r="H38" i="57"/>
  <c r="G38" i="57"/>
  <c r="G37" i="54"/>
  <c r="H41" i="56"/>
  <c r="J41" i="56"/>
  <c r="I41" i="56"/>
  <c r="G41" i="56"/>
  <c r="G40" i="54"/>
  <c r="H40" i="59"/>
  <c r="G40" i="59"/>
  <c r="I40" i="59"/>
  <c r="J40" i="59"/>
  <c r="H39" i="55"/>
  <c r="I39" i="55"/>
  <c r="G39" i="55"/>
  <c r="J39" i="55"/>
  <c r="G36" i="54"/>
  <c r="J39" i="54"/>
  <c r="G36" i="57"/>
  <c r="I36" i="57"/>
  <c r="H36" i="57"/>
  <c r="J36" i="57"/>
  <c r="G35" i="54"/>
  <c r="H41" i="55"/>
  <c r="G41" i="55"/>
  <c r="J41" i="55"/>
  <c r="I41" i="55"/>
  <c r="H36" i="56"/>
  <c r="G36" i="56"/>
  <c r="J36" i="56"/>
  <c r="I36" i="56"/>
  <c r="J38" i="54"/>
  <c r="C4" i="2" l="1"/>
  <c r="D6" i="2" l="1"/>
  <c r="C6" i="2"/>
  <c r="B6" i="2"/>
  <c r="C3" i="2" l="1"/>
  <c r="D4" i="2" l="1"/>
  <c r="B4" i="2"/>
  <c r="D5" i="2"/>
  <c r="C5" i="2"/>
  <c r="B5" i="2"/>
  <c r="D3" i="2"/>
  <c r="B3" i="2"/>
  <c r="H31" i="60" l="1"/>
  <c r="J31" i="60"/>
  <c r="G31" i="60"/>
  <c r="I31" i="60"/>
  <c r="H30" i="60"/>
  <c r="J30" i="60"/>
  <c r="G30" i="60"/>
  <c r="I30" i="60"/>
  <c r="H32" i="60"/>
  <c r="I32" i="60"/>
  <c r="G32" i="60"/>
  <c r="J32" i="60"/>
  <c r="S52" i="73" l="1"/>
  <c r="U52" i="73"/>
  <c r="V52" i="73" s="1"/>
  <c r="J24" i="76" l="1"/>
  <c r="G24" i="76"/>
  <c r="J25" i="76"/>
  <c r="G26" i="76"/>
  <c r="J26" i="76"/>
  <c r="G25" i="76"/>
  <c r="H26" i="76"/>
  <c r="H24" i="76"/>
  <c r="H25" i="76"/>
  <c r="I24" i="76"/>
  <c r="I26" i="76"/>
  <c r="I25" i="76"/>
</calcChain>
</file>

<file path=xl/sharedStrings.xml><?xml version="1.0" encoding="utf-8"?>
<sst xmlns="http://schemas.openxmlformats.org/spreadsheetml/2006/main" count="26111" uniqueCount="539">
  <si>
    <t>Delivery</t>
  </si>
  <si>
    <t>Pick up</t>
  </si>
  <si>
    <t>TOTAL</t>
  </si>
  <si>
    <t>DELIVERY</t>
  </si>
  <si>
    <t>FSC %</t>
  </si>
  <si>
    <t>CHASSIS/DAY</t>
  </si>
  <si>
    <t>PER CHS SPLIT</t>
  </si>
  <si>
    <t>waiting time</t>
  </si>
  <si>
    <t>DRIVER DETN</t>
  </si>
  <si>
    <t>PORT /RAMP CONGESTION FEE</t>
  </si>
  <si>
    <t>YARD STORAGE/DAY</t>
  </si>
  <si>
    <t>SURCHARGE/   TERMINAL FEE</t>
  </si>
  <si>
    <t>TRUCKER USED</t>
  </si>
  <si>
    <t>note</t>
  </si>
  <si>
    <t>$85(2)</t>
  </si>
  <si>
    <t xml:space="preserve">LA </t>
  </si>
  <si>
    <t>CITY OF INDUSTRY, CA - DOOR VIA LAX</t>
  </si>
  <si>
    <t>HIALEAH/MIRAMAR, FL - DOOR VIA MIAMI</t>
  </si>
  <si>
    <t>MIAMI</t>
  </si>
  <si>
    <t>DORAL, FL DOOR</t>
  </si>
  <si>
    <t>NY</t>
  </si>
  <si>
    <t>WOODSIDE, NY - DOOR VIA NYC</t>
  </si>
  <si>
    <t>DAYTON, NJ - DOOR VIA NYC</t>
  </si>
  <si>
    <t>OCEAN FREIGHT</t>
  </si>
  <si>
    <t>20'</t>
  </si>
  <si>
    <t>40'</t>
  </si>
  <si>
    <t>40' HQ</t>
  </si>
  <si>
    <t>OCEAN COST</t>
  </si>
  <si>
    <t>Profit</t>
  </si>
  <si>
    <t>LSF</t>
  </si>
  <si>
    <t>ARB</t>
  </si>
  <si>
    <t>THIS SIDE INTERNAL INFO ONLY</t>
  </si>
  <si>
    <t xml:space="preserve">    OEC Group Southwest Region  OTI#16023NF</t>
  </si>
  <si>
    <t>Company:</t>
  </si>
  <si>
    <t>Acme Furniture</t>
  </si>
  <si>
    <t>Date:</t>
  </si>
  <si>
    <t>Email:</t>
  </si>
  <si>
    <t>yiting@acmecorp.com; Yuchen@acmecorp.com</t>
  </si>
  <si>
    <t>EFFECTIVE GATE IN:</t>
  </si>
  <si>
    <t>COMMODITY:</t>
  </si>
  <si>
    <t>Furniture</t>
  </si>
  <si>
    <t>ORIGIN:</t>
  </si>
  <si>
    <t>DESTINATION:</t>
  </si>
  <si>
    <t>MODE:</t>
  </si>
  <si>
    <t>TIER</t>
  </si>
  <si>
    <t>CHASSIS</t>
  </si>
  <si>
    <t>HQ'</t>
  </si>
  <si>
    <t>45'</t>
  </si>
  <si>
    <t>CARRIERS</t>
  </si>
  <si>
    <t>CY</t>
  </si>
  <si>
    <t>I/H</t>
  </si>
  <si>
    <t>Chassis</t>
  </si>
  <si>
    <t>COST 20'</t>
  </si>
  <si>
    <t>COST 40'</t>
  </si>
  <si>
    <t>CY/DR</t>
  </si>
  <si>
    <t>SHANGHAI</t>
  </si>
  <si>
    <t>HO CHI MINH</t>
  </si>
  <si>
    <t>PORT KELANG</t>
  </si>
  <si>
    <t>PASIR GUDANG / TPP</t>
  </si>
  <si>
    <t>XIAMEN</t>
  </si>
  <si>
    <t>QINGDAO</t>
  </si>
  <si>
    <t>YANTIAN</t>
  </si>
  <si>
    <t>FUZHOU</t>
  </si>
  <si>
    <t>ZHAPU</t>
  </si>
  <si>
    <t>SEMARANG</t>
  </si>
  <si>
    <t>TAIZHOU</t>
  </si>
  <si>
    <t>LIANYUNGANG</t>
  </si>
  <si>
    <t>CHARGE ITEM TYPE</t>
  </si>
  <si>
    <t>AMOUNT and ADDITIONAL INFORMATION</t>
  </si>
  <si>
    <t xml:space="preserve"> - OEC Handling Service Fee:</t>
  </si>
  <si>
    <t>USD 0 Per HBL</t>
  </si>
  <si>
    <t xml:space="preserve"> - AMS Fee:</t>
  </si>
  <si>
    <t>ADDITIONAL SERVICES*</t>
  </si>
  <si>
    <t xml:space="preserve"> - OPTIONAL: OEC Customs Brokerage Services:</t>
  </si>
  <si>
    <t xml:space="preserve"> - OPTIONAL: ISF Filing (10+2):</t>
  </si>
  <si>
    <t>USD 25 Per HBL</t>
  </si>
  <si>
    <t xml:space="preserve"> - OPTIONAL: Marine Cargo Insurance (Coverage: Commercial Invoice Value and All Freight Charges)</t>
  </si>
  <si>
    <t>$0.32 Per each $100 Value @ 110% coverage, Min: $50.00 per Shipment</t>
  </si>
  <si>
    <t xml:space="preserve"> - OPTIONAL: Warehousing, Distribution, Consolidations, Domestic LTL/Trailers</t>
  </si>
  <si>
    <t>Upon Request</t>
  </si>
  <si>
    <t>All rates are subject to Unforeseeable charges such as not limited to: Customs exam related fees, Storage, Perdiem, Demurrage, Waiting time, Dry Run fee, Overweight, PSS/GRI surcharge adjustments, Rail Surcharges, Split Fees, Flip Fees, Diversions, Fuel/Bunker adjustments, Carriers cost recovery surcharges, origin charges depending on buying terms and/or others and will not be liable by OEC Group.</t>
  </si>
  <si>
    <t xml:space="preserve">HONG KONG </t>
  </si>
  <si>
    <t>Los Angeles</t>
  </si>
  <si>
    <t>WOODSIDE, NY</t>
  </si>
  <si>
    <t>DAYTON, NJ</t>
  </si>
  <si>
    <t xml:space="preserve">HIALEAH/MIRAMAR, FL </t>
  </si>
  <si>
    <t>DORAL, FL</t>
  </si>
  <si>
    <t>first two hrs free, 45/ hr thereafter</t>
  </si>
  <si>
    <t>Ocean</t>
  </si>
  <si>
    <t>ADDITIONAL INFORMATION*</t>
  </si>
  <si>
    <r>
      <t xml:space="preserve">This proposal is an offer to enter into a Confidential Negotiated Rate Agreement (NRA). </t>
    </r>
    <r>
      <rPr>
        <b/>
        <sz val="8"/>
        <color indexed="8"/>
        <rFont val="Times New Roman"/>
        <family val="1"/>
      </rPr>
      <t xml:space="preserve">THE SHIPPER’S BOOKING OF CARGO AFTER RECEIVING THE TERMS OF THIS NRA OR NRA AMENDMENT CONSTITUTES ACCEPTANCE OF THE RATES AND TERMS OF THIS NRA OR NRA AMENDMENT. </t>
    </r>
    <r>
      <rPr>
        <sz val="8"/>
        <color indexed="8"/>
        <rFont val="Times New Roman"/>
        <family val="1"/>
      </rPr>
      <t xml:space="preserve"> OEC Group Los Angeles As Agents For the Carrier Orient Express Container Co., Ltd.</t>
    </r>
  </si>
  <si>
    <t>to</t>
  </si>
  <si>
    <t>Subject to future surcharge adjustments if/when applicable</t>
  </si>
  <si>
    <t>Hayward,CA Door via Oakland Port</t>
  </si>
  <si>
    <t>OAK</t>
  </si>
  <si>
    <t>$85(1)</t>
  </si>
  <si>
    <t>PCF SSA TOLL inclusive</t>
  </si>
  <si>
    <t>LAX-120044</t>
  </si>
  <si>
    <t>Norcross, GA</t>
  </si>
  <si>
    <t>Norcross, GA via Atlanta</t>
  </si>
  <si>
    <t>ALT</t>
  </si>
  <si>
    <t>chassis split</t>
  </si>
  <si>
    <t>LAX-120045</t>
  </si>
  <si>
    <t>FT. WORTH,TX via Dallas</t>
  </si>
  <si>
    <t>Dallas</t>
  </si>
  <si>
    <t xml:space="preserve">Tel: 562.926.7186 x614  Fax: 562.926.7183 * Email: twang.lax@oecgroup.com * Website/Quick Track: www.oecgroup.com </t>
  </si>
  <si>
    <t>Norcross, GA via Savannah</t>
  </si>
  <si>
    <t>SAV</t>
  </si>
  <si>
    <t>TIANJIN XINGANG</t>
  </si>
  <si>
    <t>CY/CY</t>
  </si>
  <si>
    <t>N/A</t>
  </si>
  <si>
    <t>ADDITIONAL CHARGES - GENERAL*</t>
  </si>
  <si>
    <t xml:space="preserve"> - OCEAN FULL CONTAINER LOADS (FCL)</t>
  </si>
  <si>
    <t>INTERNAL REMARK &amp; INSTRUCTION</t>
  </si>
  <si>
    <t>Subject to</t>
  </si>
  <si>
    <t>**Amount freehand by quoter, may range from ZERO TO ANY LEVEL, 75 is Tariff</t>
  </si>
  <si>
    <t>USD 35 Per HBL (Unless Prepaid by Shipper)</t>
  </si>
  <si>
    <t xml:space="preserve"> - Chassis usage fee - When door by OEC </t>
  </si>
  <si>
    <t>**Make sure this Chassis instructions does not conflict with Above External and Internal sections</t>
  </si>
  <si>
    <t xml:space="preserve"> - Rail Surcharges - if/when applicable (commonly occurs via CN/CP/CSX/KCS)</t>
  </si>
  <si>
    <t>USD 250 Per container if/when applicable</t>
  </si>
  <si>
    <t>**Cost may range, 250 is the tariff to cover and you can lower this amount as needed without a loss</t>
  </si>
  <si>
    <t xml:space="preserve"> - Prepull - if/when applicable</t>
  </si>
  <si>
    <t>USD 150 Per Container</t>
  </si>
  <si>
    <t xml:space="preserve"> - Trucking yard storage - if/when applicable</t>
  </si>
  <si>
    <t>USD 50 Per day (Load / Empty)</t>
  </si>
  <si>
    <t xml:space="preserve"> - Equipment detention / per diem free time</t>
  </si>
  <si>
    <t>Inclusive of</t>
  </si>
  <si>
    <t>5 CALENDAR DAYS</t>
  </si>
  <si>
    <r>
      <t>Free Time, subject to carrier's tariff per diem charge thereafter</t>
    </r>
    <r>
      <rPr>
        <b/>
        <sz val="9"/>
        <color rgb="FFFF0000"/>
        <rFont val="Times New Roman"/>
        <family val="1"/>
      </rPr>
      <t xml:space="preserve"> except MSC</t>
    </r>
  </si>
  <si>
    <t>Reminder: Free Time may differ for Premium &amp; NOR type services</t>
  </si>
  <si>
    <t>4 WORKING DAYS</t>
  </si>
  <si>
    <r>
      <t>Free Time, subject to carrier's tariff per diem charge thereafter</t>
    </r>
    <r>
      <rPr>
        <b/>
        <sz val="9"/>
        <color rgb="FFFF0000"/>
        <rFont val="Times New Roman"/>
        <family val="1"/>
      </rPr>
      <t xml:space="preserve"> on MSC service</t>
    </r>
  </si>
  <si>
    <t>ADDITIONAL CHARGES - DESTINATION*</t>
  </si>
  <si>
    <t>Destination</t>
  </si>
  <si>
    <t>Mode</t>
  </si>
  <si>
    <t xml:space="preserve">Service Mode </t>
  </si>
  <si>
    <t>Description</t>
  </si>
  <si>
    <t>Rate</t>
  </si>
  <si>
    <t xml:space="preserve">Unit </t>
  </si>
  <si>
    <t>Min</t>
  </si>
  <si>
    <t>Remarks</t>
  </si>
  <si>
    <t>ALL</t>
  </si>
  <si>
    <t>Door</t>
  </si>
  <si>
    <t>Chassis fee</t>
  </si>
  <si>
    <t>Day</t>
  </si>
  <si>
    <t>CFS</t>
  </si>
  <si>
    <t xml:space="preserve">All modes </t>
  </si>
  <si>
    <t>Chassis fee (CFS) via OEC LA CONSOL</t>
  </si>
  <si>
    <t>CBM OR TON</t>
  </si>
  <si>
    <t>New York</t>
  </si>
  <si>
    <t>Chassis Fee(CFS)via OEC NYC CONSOL</t>
  </si>
  <si>
    <t>CBM</t>
  </si>
  <si>
    <t xml:space="preserve"> --</t>
  </si>
  <si>
    <t>Kansas City</t>
  </si>
  <si>
    <t>BNSF-EDGERTON KS Rail Surcharge</t>
  </si>
  <si>
    <t xml:space="preserve">Chicago </t>
  </si>
  <si>
    <t>CN/CP/CSX Rail Surcharge</t>
  </si>
  <si>
    <t>Chassis Split (IF APPLICABLE)</t>
  </si>
  <si>
    <t>NYC toll Fee via NYCT</t>
  </si>
  <si>
    <t>Boston</t>
  </si>
  <si>
    <t>Boston Massport usage fee</t>
  </si>
  <si>
    <t>40'/HQ</t>
  </si>
  <si>
    <t>Miami</t>
  </si>
  <si>
    <t xml:space="preserve">POMTOC terminal Terminal landing fee </t>
  </si>
  <si>
    <t xml:space="preserve">POMTOC Terminal Port Security Fee </t>
  </si>
  <si>
    <t>South florida International Terminal landing fee</t>
  </si>
  <si>
    <t xml:space="preserve">Port Everglades </t>
  </si>
  <si>
    <t xml:space="preserve">Port everglades Terminal landing fee </t>
  </si>
  <si>
    <t xml:space="preserve">Oakland </t>
  </si>
  <si>
    <t>Oakland Port via Trapac/SSA Gate Fee applicable to all Modes Import/Export/to Port/Door/IPI</t>
  </si>
  <si>
    <t>Waiting time (IF APPLICABLE)</t>
  </si>
  <si>
    <t>Hour</t>
  </si>
  <si>
    <t>LA/LB</t>
  </si>
  <si>
    <t xml:space="preserve">Pierpass fee (CFS) via OEC LA consol </t>
  </si>
  <si>
    <t xml:space="preserve">Pierpass fee (CY) </t>
  </si>
  <si>
    <t>Pierpass fee (CY)</t>
  </si>
  <si>
    <t xml:space="preserve">CTF (CFS)VIA OEC LA CONSOL </t>
  </si>
  <si>
    <t>Yard storages (IF APPLICABLE)</t>
  </si>
  <si>
    <t>From LGB port to Exam warehouse(Price Transfer)</t>
  </si>
  <si>
    <t>Amendment fee (IF APPLICABLE)</t>
  </si>
  <si>
    <t>BL</t>
  </si>
  <si>
    <t>Reloading fee via OEC LA consol</t>
  </si>
  <si>
    <t>Pallet fee</t>
  </si>
  <si>
    <t>PALLET</t>
  </si>
  <si>
    <t>Palletization fee (shrink&amp;wrap)</t>
  </si>
  <si>
    <t xml:space="preserve">Handling Charges </t>
  </si>
  <si>
    <t>AMS</t>
  </si>
  <si>
    <t xml:space="preserve">Appointment fee </t>
  </si>
  <si>
    <t xml:space="preserve">Lift Gate charges </t>
  </si>
  <si>
    <t>UPON REQUEST</t>
  </si>
  <si>
    <t>Residential delivery fee</t>
  </si>
  <si>
    <t>use</t>
  </si>
  <si>
    <t>Waiting time (CFS)</t>
  </si>
  <si>
    <t>hour</t>
  </si>
  <si>
    <t>If APPLICABLE</t>
  </si>
  <si>
    <t xml:space="preserve">Imperial to Exam warehouse </t>
  </si>
  <si>
    <t>LB</t>
  </si>
  <si>
    <t xml:space="preserve">ALL modes </t>
  </si>
  <si>
    <t>Exam Admin fee (IF APPLICABLE)</t>
  </si>
  <si>
    <t>Xray Exam fee via OEC LA consol (IF APPLICABLE)</t>
  </si>
  <si>
    <t>IF APPLICABLE</t>
  </si>
  <si>
    <t xml:space="preserve">Wire transfer fee </t>
  </si>
  <si>
    <t xml:space="preserve">Transaction </t>
  </si>
  <si>
    <t>Scale ticket charges (IF APPLICABLE)</t>
  </si>
  <si>
    <t>TRI-AXLE CHASSIS (20') ONLY for weight between 38001 TO 43000 LBS (subject to trucker availability)</t>
  </si>
  <si>
    <t>CY Per Day</t>
  </si>
  <si>
    <t>Rail Flip charges (IF APPLICABLE)</t>
  </si>
  <si>
    <t>Flip</t>
  </si>
  <si>
    <t xml:space="preserve">Terminal demurrages </t>
  </si>
  <si>
    <t>at Cost</t>
  </si>
  <si>
    <t xml:space="preserve">Rail demurrages </t>
  </si>
  <si>
    <t>at cost</t>
  </si>
  <si>
    <t xml:space="preserve">Canada </t>
  </si>
  <si>
    <t>IF APPLICABLE effective 12/1/2014</t>
  </si>
  <si>
    <t xml:space="preserve">Vanouver Port fee via vancouver Terminal </t>
  </si>
  <si>
    <t>All</t>
  </si>
  <si>
    <t xml:space="preserve">ACI/Emanifest Fee </t>
  </si>
  <si>
    <t>IF APPLICABLE 01/01/2019</t>
  </si>
  <si>
    <t xml:space="preserve">Port Congestion Fee via Global Terminal, APM Terminal Or PNCT Terminal </t>
  </si>
  <si>
    <t xml:space="preserve">Inclusive in IH </t>
  </si>
  <si>
    <t xml:space="preserve">Seattle </t>
  </si>
  <si>
    <t>Port Congestion Fee</t>
  </si>
  <si>
    <t xml:space="preserve">IF APPLICABLE </t>
  </si>
  <si>
    <t xml:space="preserve">Per Diem Charge </t>
  </si>
  <si>
    <t xml:space="preserve">follow tariff </t>
  </si>
  <si>
    <t>IF APPLICABLE 06/15/2016</t>
  </si>
  <si>
    <t>CMA late customs clearance fee for IPI Cargo via USWC</t>
  </si>
  <si>
    <t>IF APPLICABLE 06/01/2016</t>
  </si>
  <si>
    <t>Late IT cancellation fee (cancel I.T. request must be sent 8 days prior to vessel ETA)</t>
  </si>
  <si>
    <t>BILL</t>
  </si>
  <si>
    <t xml:space="preserve">LCL chassis split </t>
  </si>
  <si>
    <t>AT COST</t>
  </si>
  <si>
    <t xml:space="preserve">If applicable </t>
  </si>
  <si>
    <t>Labelling fee (Customer provide label)</t>
  </si>
  <si>
    <t>CTN</t>
  </si>
  <si>
    <t>labelling fee (Imperial provide Label)</t>
  </si>
  <si>
    <t xml:space="preserve">Sorting fee </t>
  </si>
  <si>
    <t>$0.50 Per CTN Or $7.5/CBM</t>
  </si>
  <si>
    <t xml:space="preserve">Tacoma </t>
  </si>
  <si>
    <t xml:space="preserve">Port Congestion Fee </t>
  </si>
  <si>
    <t>Disbursement Fee</t>
  </si>
  <si>
    <t xml:space="preserve">$0.03*Lay out duty amount </t>
  </si>
  <si>
    <t xml:space="preserve">Columbus </t>
  </si>
  <si>
    <t>CSX Congestion Fee viaCSX Columbus OH</t>
  </si>
  <si>
    <t xml:space="preserve">Memphis </t>
  </si>
  <si>
    <t xml:space="preserve">Rail surcharge via UP Marion Or NS Memphis </t>
  </si>
  <si>
    <t xml:space="preserve">Minneapolis </t>
  </si>
  <si>
    <t xml:space="preserve">Rail surcharge via CP Minneapolis or CN Minneapolis </t>
  </si>
  <si>
    <t>Trucking Related surcharges , please refer to trucking quote from Vendor Team</t>
  </si>
  <si>
    <t xml:space="preserve">Tampa </t>
  </si>
  <si>
    <t xml:space="preserve">Rail surcharges via CSX-winter Haven FL </t>
  </si>
  <si>
    <t xml:space="preserve"> - Disbursement Fee of Customs Duties and Other Outlay Costs (Unless via Importer's ACH/PUN)</t>
  </si>
  <si>
    <t>3%, Min: $15.00/shipment (No Charge if using Importer's direct ACH account)</t>
  </si>
  <si>
    <t>$75/Shipment</t>
  </si>
  <si>
    <t xml:space="preserve">                      13100 Alondra Blvd., #100 Cerritos, CA 90703 * Tel: 562-926-7186 * Fax: 562-926-7183 * www.oecgroup.com</t>
  </si>
  <si>
    <t>FCL:</t>
  </si>
  <si>
    <t>specific CARRIERS or ANY</t>
  </si>
  <si>
    <t>DRAYAGE</t>
  </si>
  <si>
    <t>OCEAN FREIGHT COSTS</t>
  </si>
  <si>
    <t>OTHER INFO</t>
  </si>
  <si>
    <t>CY or RAMP</t>
  </si>
  <si>
    <t>&lt;&lt; &lt;      I/H Inclusive notes if any</t>
  </si>
  <si>
    <t>Live unload / Drop Pick</t>
  </si>
  <si>
    <t>Drayage quote# / expire date</t>
  </si>
  <si>
    <t>COST 40HQ</t>
  </si>
  <si>
    <t>COST 45'</t>
  </si>
  <si>
    <t>PROFIT</t>
  </si>
  <si>
    <t>Other Per Cntr</t>
  </si>
  <si>
    <t>REMARKS:</t>
  </si>
  <si>
    <t>Minimum 3 days</t>
  </si>
  <si>
    <t>Note: For all CY/CY shipments which is not OEC door,  OEC will not be liable for tracking the demurrage free-time and all Chassis usage on our contracts will be considered billable to the shipper/consignee/client.</t>
  </si>
  <si>
    <t>CMA/Any</t>
  </si>
  <si>
    <t>TAIWAN</t>
  </si>
  <si>
    <t>arb</t>
  </si>
  <si>
    <t>NANJING</t>
  </si>
  <si>
    <t>SHEKOU/NANSHA</t>
  </si>
  <si>
    <t xml:space="preserve"> - Prepull via Rail ramp - if/when applicable</t>
  </si>
  <si>
    <t>USD 200 Per Container</t>
  </si>
  <si>
    <t>Pre pull via Port CY (IF APPLICABLE)</t>
  </si>
  <si>
    <t>Container</t>
  </si>
  <si>
    <t>Pre pull via Rail Ramp CY (IF APPLICABLE)</t>
  </si>
  <si>
    <t>pierpass.org</t>
  </si>
  <si>
    <t>IPI via CFS</t>
  </si>
  <si>
    <t>Oversize Surcharge *(HBL with Over 20cbm or 20,000 lbs)</t>
  </si>
  <si>
    <t>CBM OR 800lbs</t>
  </si>
  <si>
    <t>Jacksonville</t>
  </si>
  <si>
    <t>HIALEAH/MIRAMAR, FL - DOOR VIA JAX</t>
  </si>
  <si>
    <t>LAX-133569</t>
  </si>
  <si>
    <t>include prepull</t>
  </si>
  <si>
    <t>MSC DT</t>
  </si>
  <si>
    <t>Hayward,CA Door via LA Port</t>
  </si>
  <si>
    <t>USWC</t>
  </si>
  <si>
    <t>USEC</t>
  </si>
  <si>
    <t>MIA</t>
  </si>
  <si>
    <t>DAL</t>
  </si>
  <si>
    <t>SHA/XMN</t>
  </si>
  <si>
    <t>HK/YTN</t>
  </si>
  <si>
    <t>PCF, Pre pull, Pier pass</t>
  </si>
  <si>
    <t>PCF, Pre pull, NY Toll</t>
  </si>
  <si>
    <t xml:space="preserve">WT, PCF, Prepull,terminal </t>
  </si>
  <si>
    <t>WT,prepull,terminal</t>
  </si>
  <si>
    <t>PCF,pre pull</t>
  </si>
  <si>
    <t xml:space="preserve"> - Chassis usage fee - Trucker: PCC Trucking</t>
  </si>
  <si>
    <t>USD 55 Per Day @ Minimum 3 days, Normal Chassis only, TriAxles and specialty chassis quoted by request</t>
  </si>
  <si>
    <t>jchang.lax@oecgroup.com</t>
  </si>
  <si>
    <t>USD 50 Per Day @ Minimum 3 days, Normal Chassis only, TriAxles and specialty chassis quoted by request</t>
  </si>
  <si>
    <t>** Jessica Chang** / OEC Group USA Southwest Region</t>
  </si>
  <si>
    <t>FAK and Standard Premium</t>
  </si>
  <si>
    <r>
      <t xml:space="preserve"> - WCCP (LA/LGB) </t>
    </r>
    <r>
      <rPr>
        <b/>
        <sz val="9"/>
        <rFont val="Times New Roman"/>
        <family val="1"/>
      </rPr>
      <t>chassis escalated fee schedule</t>
    </r>
    <r>
      <rPr>
        <b/>
        <sz val="9"/>
        <color theme="1"/>
        <rFont val="Times New Roman"/>
        <family val="1"/>
      </rPr>
      <t xml:space="preserve"> effective Dec 1st, 2021</t>
    </r>
  </si>
  <si>
    <t>USD 50 Per Day, @ Minimum 3 days, Normal Chassis only, TriAxles and specialty chassis quoted by request
USD 75 Per Day on the 5th day forward</t>
  </si>
  <si>
    <t xml:space="preserve"> - LA/LGB Emergency Terminal Fee:  port container excess dwell fee starting on the 9th calendar day (local) and 6th calendar day (rail transit)  - Effective Nov 1st, 2021</t>
  </si>
  <si>
    <r>
      <t xml:space="preserve">Starting at a rate of $100 and going up an additional $100 for each subsequent day, with no maximum, until the container(s) is out-gated. This charge will be passed through to the beneficial cargo owners.
</t>
    </r>
    <r>
      <rPr>
        <b/>
        <sz val="9"/>
        <color rgb="FFFF0000"/>
        <rFont val="Times New Roman"/>
        <family val="1"/>
      </rPr>
      <t xml:space="preserve">Example Scenario: 13 days at terminal with charges starting on the 9th day accruing a total of $1500.  </t>
    </r>
  </si>
  <si>
    <t>WCCP Chassis fee</t>
  </si>
  <si>
    <t>Eff: 12/01/2021</t>
  </si>
  <si>
    <t>ZIM Premium</t>
  </si>
  <si>
    <t>Xiamen</t>
  </si>
  <si>
    <t>Thailand</t>
  </si>
  <si>
    <t>Laem Chabang</t>
  </si>
  <si>
    <t>TH</t>
  </si>
  <si>
    <t>SHA/YTN/HCM</t>
  </si>
  <si>
    <t>SHA/YTN</t>
  </si>
  <si>
    <t>PASIR GUDANG / TPP/HCM</t>
  </si>
  <si>
    <t>FT. WORTH,TX</t>
  </si>
  <si>
    <t>x</t>
  </si>
  <si>
    <t>WT,prepull</t>
  </si>
  <si>
    <t>Shanghai</t>
  </si>
  <si>
    <t>Yantian</t>
  </si>
  <si>
    <t>HCM</t>
  </si>
  <si>
    <t>WHL Premium</t>
  </si>
  <si>
    <t>SHA</t>
  </si>
  <si>
    <t>Xiamen/Yantian</t>
  </si>
  <si>
    <t>City of Industry, CA</t>
  </si>
  <si>
    <t>Woodside, NY</t>
  </si>
  <si>
    <t>Dayton, NJ</t>
  </si>
  <si>
    <t>Hialeah/Miramar, FL</t>
  </si>
  <si>
    <t>Ft. Worth,TX</t>
  </si>
  <si>
    <t>Doral, FL</t>
  </si>
  <si>
    <t>City of Industry, CA Door (LA/LGB, CA Port)</t>
  </si>
  <si>
    <t>Woodside, NY Door (NY Port)</t>
  </si>
  <si>
    <t>Hialeah/Miramar, FL Door (MIA Port)</t>
  </si>
  <si>
    <t>Dayton, NJ Door (NY Port)</t>
  </si>
  <si>
    <t>Norcross, GA Door (SAV Port)</t>
  </si>
  <si>
    <t>Ft. Worth, TX Door (Dallas IPI)</t>
  </si>
  <si>
    <t>Doral, FL Door (MIA Port)</t>
  </si>
  <si>
    <t>Quote #</t>
  </si>
  <si>
    <t>LA/LGB</t>
  </si>
  <si>
    <t>PCF, Pre pull, Pier pass, CTF</t>
  </si>
  <si>
    <t>INCLUSIVE IN QUOTE</t>
  </si>
  <si>
    <t>Name:</t>
  </si>
  <si>
    <t>Ting Ting / Julie</t>
  </si>
  <si>
    <t>Lena Hsu</t>
  </si>
  <si>
    <t>lhsu.lax@oecgroup.com</t>
  </si>
  <si>
    <t>Lena Hsu / OEC Group USA Southwest Region</t>
  </si>
  <si>
    <t xml:space="preserve">Tel: 562.926.7186 x851  Fax: 562.926.7183 * Email: lhsu.lax@oecgroup.com * Website/Quick Track: www.oecgroup.com </t>
  </si>
  <si>
    <t>Pierpass / CTF</t>
  </si>
  <si>
    <t>**PORT FEE: EVERGLADES, POMTOC, FLORIDA INTL, SOUTH FL CONTAINER</t>
  </si>
  <si>
    <t>NYCT TOLL $180-285</t>
  </si>
  <si>
    <t>chassis split / toll</t>
  </si>
  <si>
    <t>$150(1)</t>
  </si>
  <si>
    <t>chassis split / toll / CTF</t>
  </si>
  <si>
    <t>WT,prepull, CTF</t>
  </si>
  <si>
    <t>IPI via LA/LB or Door via LA/LB</t>
  </si>
  <si>
    <t>CTF (CY) - Effective April 1, 2022</t>
  </si>
  <si>
    <t>$10 per TEU; $20 per 40'/HQ</t>
  </si>
  <si>
    <t>Cargo moved by truck via LA/LB port including Off Dock moved Rail.</t>
  </si>
  <si>
    <t>PASIR GUDANG</t>
  </si>
  <si>
    <r>
      <t xml:space="preserve"> - Carrier chassis usage fee </t>
    </r>
    <r>
      <rPr>
        <b/>
        <sz val="9"/>
        <color theme="1"/>
        <rFont val="Times New Roman"/>
        <family val="1"/>
      </rPr>
      <t>(chassis not inclusive in CY/CY quote)</t>
    </r>
  </si>
  <si>
    <r>
      <rPr>
        <b/>
        <sz val="9"/>
        <color rgb="FFFF0000"/>
        <rFont val="Times New Roman"/>
        <family val="1"/>
      </rPr>
      <t>USD 50 Per Day</t>
    </r>
    <r>
      <rPr>
        <b/>
        <sz val="9"/>
        <color theme="1"/>
        <rFont val="Times New Roman"/>
        <family val="1"/>
      </rPr>
      <t xml:space="preserve"> if OEC is billed carrier chassis </t>
    </r>
    <r>
      <rPr>
        <sz val="9"/>
        <color theme="1"/>
        <rFont val="Times New Roman"/>
        <family val="1"/>
      </rPr>
      <t>- Normal Chassis only, TriAxles and specialty chassis quoted by request</t>
    </r>
  </si>
  <si>
    <r>
      <rPr>
        <b/>
        <sz val="9"/>
        <color rgb="FFFF0000"/>
        <rFont val="Times New Roman"/>
        <family val="1"/>
      </rPr>
      <t xml:space="preserve">USD 80 Per Day @ Minimum 3 days or per trucker tariff, </t>
    </r>
    <r>
      <rPr>
        <sz val="9"/>
        <color theme="1"/>
        <rFont val="Times New Roman"/>
        <family val="1"/>
      </rPr>
      <t>Normal Chassis only, TriAxles and specialty chassis quoted by request</t>
    </r>
  </si>
  <si>
    <r>
      <t xml:space="preserve"> - Chassis usage fee - Trucker: </t>
    </r>
    <r>
      <rPr>
        <b/>
        <sz val="9"/>
        <color rgb="FFFF0000"/>
        <rFont val="Times New Roman"/>
        <family val="1"/>
      </rPr>
      <t xml:space="preserve">PCC Trucking </t>
    </r>
    <r>
      <rPr>
        <b/>
        <sz val="9"/>
        <color theme="1"/>
        <rFont val="Times New Roman"/>
        <family val="1"/>
      </rPr>
      <t>(PACIFIC COAST CARTAGE INC. - City of Industry Door)</t>
    </r>
  </si>
  <si>
    <r>
      <t>$10 per TEU; $20 per 40'/HQ -</t>
    </r>
    <r>
      <rPr>
        <b/>
        <sz val="9"/>
        <rFont val="Times New Roman"/>
        <family val="1"/>
      </rPr>
      <t xml:space="preserve"> INCLUSIVE in INDUSTRY QUOTE</t>
    </r>
  </si>
  <si>
    <r>
      <t xml:space="preserve"> - Equipment detention / per diem free time </t>
    </r>
    <r>
      <rPr>
        <b/>
        <sz val="9"/>
        <color rgb="FFFF0000"/>
        <rFont val="Times New Roman"/>
        <family val="1"/>
      </rPr>
      <t>(COMBINED DEMURRAGE/DETENTION)</t>
    </r>
  </si>
  <si>
    <r>
      <t>Free Time, subject to carrier's tariff per diem charge thereafter</t>
    </r>
    <r>
      <rPr>
        <b/>
        <sz val="9"/>
        <color rgb="FFFF0000"/>
        <rFont val="Times New Roman"/>
        <family val="1"/>
      </rPr>
      <t xml:space="preserve"> on ZIM: FAK, Premium, ZEX.</t>
    </r>
  </si>
  <si>
    <r>
      <t>Free Time, subject to carrier's tariff per diem charge thereafter</t>
    </r>
    <r>
      <rPr>
        <b/>
        <sz val="9"/>
        <color rgb="FFFF0000"/>
        <rFont val="Times New Roman"/>
        <family val="1"/>
      </rPr>
      <t xml:space="preserve"> on MSC/EMC service</t>
    </r>
  </si>
  <si>
    <t>Free Time, subject to carrier's tariff per diem charge thereafter</t>
  </si>
  <si>
    <t>YANTIAN / SHEKOU / NANSHA</t>
  </si>
  <si>
    <t>MSC FAK</t>
  </si>
  <si>
    <t>any FAK/STD Prem that covers</t>
  </si>
  <si>
    <t>FUYE</t>
  </si>
  <si>
    <t xml:space="preserve"> - Chassis usage fee - Trucker: FUYE (City of Industry Door)</t>
  </si>
  <si>
    <r>
      <rPr>
        <b/>
        <sz val="9"/>
        <color rgb="FFFF0000"/>
        <rFont val="Times New Roman"/>
        <family val="1"/>
      </rPr>
      <t xml:space="preserve">USD 75 Per Day @ Minimum 3 days or per trucker tariff, </t>
    </r>
    <r>
      <rPr>
        <sz val="9"/>
        <color theme="1"/>
        <rFont val="Times New Roman"/>
        <family val="1"/>
      </rPr>
      <t>Normal Chassis only, TriAxles and specialty chassis quoted by request</t>
    </r>
  </si>
  <si>
    <r>
      <t xml:space="preserve"> - Chassis usage fee - Trucker: </t>
    </r>
    <r>
      <rPr>
        <b/>
        <sz val="9"/>
        <color rgb="FFFF0000"/>
        <rFont val="Times New Roman"/>
        <family val="1"/>
      </rPr>
      <t>FUYE</t>
    </r>
    <r>
      <rPr>
        <b/>
        <sz val="9"/>
        <color theme="1"/>
        <rFont val="Times New Roman"/>
        <family val="1"/>
      </rPr>
      <t xml:space="preserve"> (City of Industry Door)</t>
    </r>
  </si>
  <si>
    <t>FAK</t>
  </si>
  <si>
    <t>any FAK that covers</t>
  </si>
  <si>
    <r>
      <t>Free Time, subject to carrier's tariff per diem charge thereafter</t>
    </r>
    <r>
      <rPr>
        <b/>
        <sz val="9"/>
        <color rgb="FFFF0000"/>
        <rFont val="Times New Roman"/>
        <family val="1"/>
      </rPr>
      <t xml:space="preserve"> on ZIM</t>
    </r>
  </si>
  <si>
    <r>
      <t xml:space="preserve">Free Time, subject to carrier's tariff per diem charge thereafter </t>
    </r>
    <r>
      <rPr>
        <sz val="9"/>
        <color rgb="FFFF0000"/>
        <rFont val="Times New Roman"/>
        <family val="1"/>
      </rPr>
      <t>on other carriers</t>
    </r>
  </si>
  <si>
    <r>
      <t xml:space="preserve">Minimum 3 days, </t>
    </r>
    <r>
      <rPr>
        <b/>
        <sz val="10"/>
        <color rgb="FFFF0000"/>
        <rFont val="Times New Roman"/>
        <family val="1"/>
      </rPr>
      <t>see below</t>
    </r>
  </si>
  <si>
    <r>
      <t xml:space="preserve"> - Chassis usage fee - Trucker: </t>
    </r>
    <r>
      <rPr>
        <b/>
        <sz val="9"/>
        <color rgb="FFFF0000"/>
        <rFont val="Times New Roman"/>
        <family val="1"/>
      </rPr>
      <t>FUYE</t>
    </r>
    <r>
      <rPr>
        <b/>
        <sz val="9"/>
        <color theme="1"/>
        <rFont val="Times New Roman"/>
        <family val="1"/>
      </rPr>
      <t xml:space="preserve"> (</t>
    </r>
    <r>
      <rPr>
        <b/>
        <sz val="9"/>
        <color rgb="FFFF0000"/>
        <rFont val="Times New Roman"/>
        <family val="1"/>
      </rPr>
      <t>City of Industry</t>
    </r>
    <r>
      <rPr>
        <b/>
        <sz val="9"/>
        <color theme="1"/>
        <rFont val="Times New Roman"/>
        <family val="1"/>
      </rPr>
      <t xml:space="preserve"> Door)</t>
    </r>
  </si>
  <si>
    <t>SHA LANES</t>
  </si>
  <si>
    <t>Eau Claire, WI Door (St. Paul/Minneapolis IPI)</t>
  </si>
  <si>
    <t>Eau Claire, WI Door (Chicago via USWC/USEC)</t>
  </si>
  <si>
    <t>Holiday City, OH Door (Chicago via USWC/USEC)</t>
  </si>
  <si>
    <t>Plano, IL Door (Chicago via USWC/USEC)</t>
  </si>
  <si>
    <t>Shelby, IA Door (Omaha/Council Bluff via IPI)</t>
  </si>
  <si>
    <t>Holiday City, OH Door (Detroit via USWC/USEC)</t>
  </si>
  <si>
    <t>Holiday City, OH Door (Cleveland via USWC/USEC)</t>
  </si>
  <si>
    <t>St.Paul/Minn</t>
  </si>
  <si>
    <t>CHI</t>
  </si>
  <si>
    <t>Cleveland</t>
  </si>
  <si>
    <t>Detroit</t>
  </si>
  <si>
    <t>Omaha/Council Bluff</t>
  </si>
  <si>
    <t>PENDING</t>
  </si>
  <si>
    <t>WHL - SPECIAL RATE</t>
  </si>
  <si>
    <t>WHL / SM LINE - SPECIAL RATE</t>
  </si>
  <si>
    <t>WHL/SMLINE - SPECIAL RATE</t>
  </si>
  <si>
    <t>CMA - SPECIAL RATE</t>
  </si>
  <si>
    <t>YML/HMM - SPECIAL RATE</t>
  </si>
  <si>
    <t>YML - SPECIAL RATE</t>
  </si>
  <si>
    <t>7 CALENDAR DAYS</t>
  </si>
  <si>
    <r>
      <t xml:space="preserve">Free Time, subject to carrier's tariff per diem charge thereafter </t>
    </r>
    <r>
      <rPr>
        <b/>
        <sz val="9"/>
        <color rgb="FFFF0000"/>
        <rFont val="Times New Roman"/>
        <family val="1"/>
      </rPr>
      <t>on other carriers</t>
    </r>
  </si>
  <si>
    <t>PCF, chassis split, drop fee</t>
  </si>
  <si>
    <t>$125(1)</t>
  </si>
  <si>
    <t>Rail fee, toll, drop</t>
  </si>
  <si>
    <t>Rail fee, chassis split, drop</t>
  </si>
  <si>
    <t>Rail fee, chassis split, drop, toll</t>
  </si>
  <si>
    <t>chassis split, drop</t>
  </si>
  <si>
    <r>
      <t xml:space="preserve">10 days, </t>
    </r>
    <r>
      <rPr>
        <b/>
        <sz val="10"/>
        <color rgb="FFFF0000"/>
        <rFont val="Times New Roman"/>
        <family val="1"/>
      </rPr>
      <t>see below</t>
    </r>
  </si>
  <si>
    <r>
      <rPr>
        <b/>
        <sz val="9"/>
        <color rgb="FFFF0000"/>
        <rFont val="Times New Roman"/>
        <family val="1"/>
      </rPr>
      <t xml:space="preserve">10 DAYS, additonal at USD 75 Per Day or per trucker tariff, </t>
    </r>
    <r>
      <rPr>
        <sz val="9"/>
        <color theme="1"/>
        <rFont val="Times New Roman"/>
        <family val="1"/>
      </rPr>
      <t>Normal Chassis only, TriAxles and specialty chassis quoted by request</t>
    </r>
  </si>
  <si>
    <t>Fresno, CA (OAK, CA Port)</t>
  </si>
  <si>
    <t>PCF,Toll, Gate fee</t>
  </si>
  <si>
    <t>100(1)</t>
  </si>
  <si>
    <r>
      <t xml:space="preserve">7 days, </t>
    </r>
    <r>
      <rPr>
        <b/>
        <sz val="10"/>
        <color rgb="FFFF0000"/>
        <rFont val="Times New Roman"/>
        <family val="1"/>
      </rPr>
      <t>see below</t>
    </r>
  </si>
  <si>
    <r>
      <rPr>
        <b/>
        <sz val="9"/>
        <color rgb="FFFF0000"/>
        <rFont val="Times New Roman"/>
        <family val="1"/>
      </rPr>
      <t xml:space="preserve">7 DAYS, additonal at USD 50 Per Day or per trucker tariff, </t>
    </r>
    <r>
      <rPr>
        <sz val="9"/>
        <color theme="1"/>
        <rFont val="Times New Roman"/>
        <family val="1"/>
      </rPr>
      <t>Normal Chassis only, TriAxles and specialty chassis quoted by request</t>
    </r>
  </si>
  <si>
    <t>GEMLIK, TURKEY</t>
  </si>
  <si>
    <t>MSC SC# 22-500WW</t>
  </si>
  <si>
    <t>FAK - MSC</t>
  </si>
  <si>
    <t>PRE-PULL</t>
  </si>
  <si>
    <t>Rail fee, drop fee, toll fee</t>
  </si>
  <si>
    <t xml:space="preserve"> LAX-144721</t>
  </si>
  <si>
    <t>160(1)</t>
  </si>
  <si>
    <t>LAX-144723</t>
  </si>
  <si>
    <t>LAX-144745</t>
  </si>
  <si>
    <t>LAX-144724</t>
  </si>
  <si>
    <t>LAX-144746</t>
  </si>
  <si>
    <t>LAX-144727</t>
  </si>
  <si>
    <t>TCH LANES</t>
  </si>
  <si>
    <t>TAICHUNG</t>
  </si>
  <si>
    <r>
      <t xml:space="preserve"> - WCCP (LA/LGB) chassis escalated fee schedule</t>
    </r>
    <r>
      <rPr>
        <b/>
        <sz val="9"/>
        <rFont val="Times New Roman"/>
        <family val="1"/>
      </rPr>
      <t xml:space="preserve"> effective Sept 1st, 2022</t>
    </r>
  </si>
  <si>
    <r>
      <t xml:space="preserve">USD 50 Per Day, @ Minimum 3 days, Normal Chassis only, TriAxles and specialty chassis quoted by request.
USD 75 Per Day on the 5th day forward.
</t>
    </r>
    <r>
      <rPr>
        <b/>
        <sz val="9"/>
        <color rgb="FFFF0000"/>
        <rFont val="Times New Roman"/>
        <family val="1"/>
      </rPr>
      <t>USD 100 Per Day on the 15th day forward.</t>
    </r>
  </si>
  <si>
    <t>LA/LGB Port</t>
  </si>
  <si>
    <t>LAX-146251</t>
  </si>
  <si>
    <t>lax-144745/10-30-2022</t>
  </si>
  <si>
    <t>lax-144745/10-30-2023</t>
  </si>
  <si>
    <t>lax-144745/10-30-2024</t>
  </si>
  <si>
    <t>LAX-144721/10-29-2022</t>
  </si>
  <si>
    <t>LAX-144721/10-29-2023</t>
  </si>
  <si>
    <t>LAX-144721/10-29-2024</t>
  </si>
  <si>
    <t>LAX-144721/10-29-2025</t>
  </si>
  <si>
    <t>LAX-144721/10-29-2026</t>
  </si>
  <si>
    <t>LAX-144721/10-29-2027</t>
  </si>
  <si>
    <t>LAX-144721/10-29-2028</t>
  </si>
  <si>
    <t>LAX-144721/10-29-2029</t>
  </si>
  <si>
    <t>LAX-144721/10-29-2030</t>
  </si>
  <si>
    <t>LAX-144721/10-29-2031</t>
  </si>
  <si>
    <t>LAX-144721/10-29-2032</t>
  </si>
  <si>
    <t>LAX-144721/10-29-2033</t>
  </si>
  <si>
    <t>lax-144724/10-29-2022</t>
  </si>
  <si>
    <t>lax-144724/10-29-2023</t>
  </si>
  <si>
    <t>lax-144724/10-29-2024</t>
  </si>
  <si>
    <t>LAX-144746/10-30-2022</t>
  </si>
  <si>
    <t>LAX-144746/10-30-2023</t>
  </si>
  <si>
    <t>LAX-144746/10-30-2024</t>
  </si>
  <si>
    <t>LAX-144746/10-30-2025</t>
  </si>
  <si>
    <t>LAX-144727/10-29/2022</t>
  </si>
  <si>
    <t>LAX-144727/10-29/2023</t>
  </si>
  <si>
    <t>LAX-144727/10-29/2024</t>
  </si>
  <si>
    <t>LAX-144723/10-29-2022</t>
  </si>
  <si>
    <t>LAX-144723/10-29-2023</t>
  </si>
  <si>
    <t>LAX-144723/10-29-2024</t>
  </si>
  <si>
    <t>LAX-144723/10-29-2025</t>
  </si>
  <si>
    <t>LAX-144723/10-29-2026</t>
  </si>
  <si>
    <t>LAX-144723/10-29-2027</t>
  </si>
  <si>
    <t>LAX-144741/10-30-2022</t>
  </si>
  <si>
    <t>LAX-144760/10-30-2022</t>
  </si>
  <si>
    <t>LAX-144770/10-30-2022</t>
  </si>
  <si>
    <t>LAX-144767/10-30-2022</t>
  </si>
  <si>
    <t>LAX-144768/10-30-2022</t>
  </si>
  <si>
    <t>LAX-144766/10-30-2022</t>
  </si>
  <si>
    <t>LAX-144761/10-30-2022</t>
  </si>
  <si>
    <t>lax-143996/10-30-2022</t>
  </si>
  <si>
    <t>Tram Nguyen</t>
  </si>
  <si>
    <t>tnguyen.lax@oecgroup.com</t>
  </si>
  <si>
    <t>Tram Nguyen / OEC Group USA Southwest Region</t>
  </si>
  <si>
    <t xml:space="preserve">Tel: 562.926.7186 x854  Fax: 562.926.7183 * Email: tnguyen.lax@oecgroup.com * Website/Quick Track: www.oecgroup.com </t>
  </si>
  <si>
    <t>Miramar FL Door drop fee</t>
  </si>
  <si>
    <t>DROP/PICK delivery</t>
  </si>
  <si>
    <r>
      <t xml:space="preserve">**$66 PORT FEE: EVERGLADES, POMTOC, FLORIDA INTL, SOUTH FL CONTAINER.
</t>
    </r>
    <r>
      <rPr>
        <b/>
        <sz val="11"/>
        <color rgb="FFFF0000"/>
        <rFont val="Calibri"/>
        <family val="2"/>
        <scheme val="minor"/>
      </rPr>
      <t>Includes $200 Drop &amp; Pick.</t>
    </r>
  </si>
  <si>
    <t>DROP &amp; PICK DELIVERY INCLUDED</t>
  </si>
  <si>
    <t>LAX-146774</t>
  </si>
  <si>
    <t>LAX-146758</t>
  </si>
  <si>
    <t>LAX-146791</t>
  </si>
  <si>
    <t>LAX-146793</t>
  </si>
  <si>
    <t>LAX-146759</t>
  </si>
  <si>
    <t>LAX-146757</t>
  </si>
  <si>
    <t>LAX-146761</t>
  </si>
  <si>
    <r>
      <t>PCF, chassis split,</t>
    </r>
    <r>
      <rPr>
        <b/>
        <sz val="11"/>
        <color rgb="FFFF0000"/>
        <rFont val="Calibri"/>
        <family val="2"/>
        <scheme val="minor"/>
      </rPr>
      <t xml:space="preserve"> drop fee</t>
    </r>
  </si>
  <si>
    <r>
      <t xml:space="preserve">Rail fee, toll, </t>
    </r>
    <r>
      <rPr>
        <b/>
        <sz val="11"/>
        <color rgb="FFFF0000"/>
        <rFont val="Calibri"/>
        <family val="2"/>
        <scheme val="minor"/>
      </rPr>
      <t>drop</t>
    </r>
  </si>
  <si>
    <r>
      <t xml:space="preserve">Rail fee, </t>
    </r>
    <r>
      <rPr>
        <b/>
        <sz val="11"/>
        <color rgb="FFFF0000"/>
        <rFont val="Calibri"/>
        <family val="2"/>
        <scheme val="minor"/>
      </rPr>
      <t>drop fee</t>
    </r>
    <r>
      <rPr>
        <sz val="11"/>
        <color theme="1"/>
        <rFont val="Calibri"/>
        <family val="2"/>
        <scheme val="minor"/>
      </rPr>
      <t>, toll fee</t>
    </r>
  </si>
  <si>
    <r>
      <t xml:space="preserve">Rail fee, chassis split, </t>
    </r>
    <r>
      <rPr>
        <b/>
        <sz val="11"/>
        <color rgb="FFFF0000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>, toll</t>
    </r>
  </si>
  <si>
    <r>
      <t xml:space="preserve">Rail fee, chassis split, </t>
    </r>
    <r>
      <rPr>
        <b/>
        <sz val="11"/>
        <color rgb="FFFF0000"/>
        <rFont val="Calibri"/>
        <family val="2"/>
        <scheme val="minor"/>
      </rPr>
      <t>drop</t>
    </r>
  </si>
  <si>
    <r>
      <t xml:space="preserve">chassis split, </t>
    </r>
    <r>
      <rPr>
        <b/>
        <sz val="11"/>
        <color rgb="FFFF0000"/>
        <rFont val="Calibri"/>
        <family val="2"/>
        <scheme val="minor"/>
      </rPr>
      <t>drop</t>
    </r>
  </si>
  <si>
    <t xml:space="preserve"> - OEC Door Delivery Drop &amp; Pick Fee:</t>
  </si>
  <si>
    <t>only if indicated in ABOVE QUOTE, otherwise it is subject to if requested.</t>
  </si>
  <si>
    <t>SHA / HCM LANES</t>
  </si>
  <si>
    <t>SHANGHAI / HO CHI MINH</t>
  </si>
  <si>
    <t>MODE</t>
  </si>
  <si>
    <t>AVG</t>
  </si>
  <si>
    <t>MEDIAN</t>
  </si>
  <si>
    <t>MIN</t>
  </si>
  <si>
    <t>MAX</t>
  </si>
  <si>
    <t>Attn:</t>
  </si>
  <si>
    <t>From:</t>
  </si>
  <si>
    <t>Company Email:</t>
  </si>
  <si>
    <t>ORIGIN</t>
  </si>
  <si>
    <t>DESTINATION</t>
  </si>
  <si>
    <t>ARB COST 20'</t>
  </si>
  <si>
    <t>ARB COST 40'</t>
  </si>
  <si>
    <t>ARB COST 40HQ</t>
  </si>
  <si>
    <t>ARB COST 45'</t>
  </si>
  <si>
    <t xml:space="preserve">Live unload </t>
  </si>
  <si>
    <t>I/H Inclusive 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</si>
  <si>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</si>
  <si>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</si>
  <si>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</si>
  <si>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</si>
  <si>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</si>
  <si>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</si>
  <si>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</si>
  <si>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</si>
  <si>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</si>
  <si>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</si>
  <si>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</si>
  <si>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</si>
  <si>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</si>
  <si>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</si>
  <si>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</si>
  <si>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o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</si>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</sst>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21.5"/>
      <color rgb="FFFF0000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21.5"/>
      <color theme="0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8.5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21.5"/>
      <name val="Times New Roman"/>
      <family val="1"/>
    </font>
    <font>
      <sz val="11"/>
      <name val="Times New Roman"/>
      <family val="1"/>
    </font>
    <font>
      <b/>
      <sz val="14"/>
      <name val="Calibri"/>
      <family val="2"/>
      <scheme val="minor"/>
    </font>
    <font>
      <b/>
      <sz val="9"/>
      <name val="Times New Roman"/>
      <family val="1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2"/>
      <color theme="1"/>
      <name val="Times New Roman"/>
      <family val="1"/>
    </font>
    <font>
      <b/>
      <sz val="9"/>
      <color rgb="FFFF0000"/>
      <name val="Times New Roman"/>
      <family val="1"/>
    </font>
    <font>
      <strike/>
      <sz val="9"/>
      <color theme="1"/>
      <name val="Times New Roman"/>
      <family val="1"/>
    </font>
    <font>
      <sz val="9"/>
      <color rgb="FF000000"/>
      <name val="Times New Roman"/>
      <family val="1"/>
    </font>
    <font>
      <sz val="14"/>
      <color theme="0"/>
      <name val="Times New Roman"/>
      <family val="1"/>
    </font>
    <font>
      <sz val="2"/>
      <color theme="0"/>
      <name val="Times New Roman"/>
      <family val="1"/>
    </font>
    <font>
      <b/>
      <sz val="9"/>
      <color theme="0"/>
      <name val="Times New Roman"/>
      <family val="1"/>
    </font>
    <font>
      <b/>
      <i/>
      <sz val="9"/>
      <color theme="0"/>
      <name val="Times New Roman"/>
      <family val="1"/>
    </font>
    <font>
      <b/>
      <i/>
      <sz val="8"/>
      <color theme="0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Calibri Light"/>
      <family val="1"/>
      <scheme val="major"/>
    </font>
    <font>
      <sz val="2"/>
      <name val="Times New Roman"/>
      <family val="1"/>
    </font>
    <font>
      <sz val="12"/>
      <name val="Calibri"/>
      <family val="2"/>
      <scheme val="minor"/>
    </font>
    <font>
      <b/>
      <sz val="12"/>
      <color theme="1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b/>
      <sz val="10"/>
      <color rgb="FFFF0000"/>
      <name val="Times New Roman"/>
      <family val="1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249">
    <xf numFmtId="0" fontId="0" fillId="0" borderId="0" xfId="0"/>
    <xf numFmtId="0" fontId="3" fillId="2" borderId="1" xfId="0" applyFont="1" applyFill="1" applyBorder="1" applyAlignment="1">
      <alignment vertical="center"/>
    </xf>
    <xf numFmtId="44" fontId="4" fillId="2" borderId="1" xfId="1" applyFont="1" applyFill="1" applyBorder="1" applyAlignment="1">
      <alignment vertical="center"/>
    </xf>
    <xf numFmtId="9" fontId="4" fillId="2" borderId="1" xfId="2" applyFont="1" applyFill="1" applyBorder="1" applyAlignment="1">
      <alignment vertical="center"/>
    </xf>
    <xf numFmtId="44" fontId="3" fillId="2" borderId="1" xfId="1" applyFont="1" applyFill="1" applyBorder="1" applyAlignment="1">
      <alignment vertical="center"/>
    </xf>
    <xf numFmtId="44" fontId="3" fillId="3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44" fontId="3" fillId="2" borderId="1" xfId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/>
    </xf>
    <xf numFmtId="0" fontId="0" fillId="0" borderId="3" xfId="0" applyBorder="1"/>
    <xf numFmtId="44" fontId="0" fillId="5" borderId="3" xfId="1" applyFont="1" applyFill="1" applyBorder="1"/>
    <xf numFmtId="44" fontId="2" fillId="0" borderId="3" xfId="1" applyFont="1" applyBorder="1"/>
    <xf numFmtId="9" fontId="2" fillId="0" borderId="3" xfId="2" applyFont="1" applyBorder="1"/>
    <xf numFmtId="44" fontId="0" fillId="0" borderId="3" xfId="1" applyFont="1" applyBorder="1"/>
    <xf numFmtId="0" fontId="2" fillId="0" borderId="3" xfId="0" applyFont="1" applyBorder="1"/>
    <xf numFmtId="0" fontId="0" fillId="0" borderId="3" xfId="0" applyBorder="1" applyAlignment="1">
      <alignment vertical="center" wrapText="1"/>
    </xf>
    <xf numFmtId="44" fontId="4" fillId="0" borderId="0" xfId="1" applyFont="1"/>
    <xf numFmtId="9" fontId="2" fillId="0" borderId="0" xfId="2" applyFont="1"/>
    <xf numFmtId="44" fontId="0" fillId="0" borderId="0" xfId="1" applyFont="1"/>
    <xf numFmtId="0" fontId="2" fillId="0" borderId="0" xfId="0" applyFont="1"/>
    <xf numFmtId="44" fontId="2" fillId="0" borderId="0" xfId="1" applyFont="1"/>
    <xf numFmtId="164" fontId="0" fillId="7" borderId="3" xfId="1" applyNumberFormat="1" applyFont="1" applyFill="1" applyBorder="1"/>
    <xf numFmtId="0" fontId="6" fillId="0" borderId="3" xfId="0" applyFont="1" applyBorder="1"/>
    <xf numFmtId="165" fontId="15" fillId="9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14" fillId="9" borderId="0" xfId="0" applyNumberFormat="1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7" fillId="0" borderId="0" xfId="0" applyFont="1"/>
    <xf numFmtId="0" fontId="14" fillId="0" borderId="7" xfId="0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 vertical="center"/>
    </xf>
    <xf numFmtId="0" fontId="9" fillId="0" borderId="0" xfId="0" applyFont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righ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8" fillId="15" borderId="0" xfId="0" applyFont="1" applyFill="1" applyAlignment="1" applyProtection="1">
      <alignment vertical="center"/>
      <protection locked="0"/>
    </xf>
    <xf numFmtId="14" fontId="25" fillId="16" borderId="0" xfId="0" applyNumberFormat="1" applyFont="1" applyFill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30" fillId="10" borderId="3" xfId="0" applyFont="1" applyFill="1" applyBorder="1" applyAlignment="1">
      <alignment horizontal="center" vertical="center"/>
    </xf>
    <xf numFmtId="0" fontId="30" fillId="10" borderId="3" xfId="0" applyFont="1" applyFill="1" applyBorder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29" fillId="0" borderId="0" xfId="0" applyFont="1" applyAlignment="1" applyProtection="1">
      <alignment vertical="center"/>
      <protection locked="0"/>
    </xf>
    <xf numFmtId="0" fontId="29" fillId="0" borderId="0" xfId="0" applyFont="1"/>
    <xf numFmtId="0" fontId="32" fillId="0" borderId="3" xfId="0" applyFont="1" applyBorder="1" applyAlignment="1">
      <alignment horizontal="center" vertical="center"/>
    </xf>
    <xf numFmtId="165" fontId="32" fillId="9" borderId="8" xfId="0" applyNumberFormat="1" applyFont="1" applyFill="1" applyBorder="1" applyAlignment="1">
      <alignment horizontal="center" vertical="center"/>
    </xf>
    <xf numFmtId="165" fontId="32" fillId="9" borderId="0" xfId="0" applyNumberFormat="1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4" fillId="15" borderId="0" xfId="0" applyFont="1" applyFill="1" applyAlignment="1" applyProtection="1">
      <alignment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0" fillId="2" borderId="3" xfId="0" applyFont="1" applyFill="1" applyBorder="1"/>
    <xf numFmtId="44" fontId="20" fillId="2" borderId="3" xfId="1" applyFont="1" applyFill="1" applyBorder="1"/>
    <xf numFmtId="0" fontId="18" fillId="0" borderId="3" xfId="0" applyFont="1" applyBorder="1"/>
    <xf numFmtId="44" fontId="18" fillId="0" borderId="3" xfId="1" applyFont="1" applyBorder="1"/>
    <xf numFmtId="0" fontId="36" fillId="0" borderId="3" xfId="0" applyFont="1" applyBorder="1"/>
    <xf numFmtId="0" fontId="18" fillId="0" borderId="3" xfId="0" applyFont="1" applyBorder="1" applyAlignment="1">
      <alignment horizontal="left" vertical="center"/>
    </xf>
    <xf numFmtId="44" fontId="18" fillId="0" borderId="3" xfId="1" applyFont="1" applyFill="1" applyBorder="1"/>
    <xf numFmtId="0" fontId="17" fillId="0" borderId="3" xfId="0" applyFont="1" applyBorder="1"/>
    <xf numFmtId="44" fontId="17" fillId="0" borderId="3" xfId="1" applyFont="1" applyBorder="1"/>
    <xf numFmtId="44" fontId="17" fillId="0" borderId="3" xfId="1" applyFont="1" applyFill="1" applyBorder="1"/>
    <xf numFmtId="8" fontId="37" fillId="0" borderId="3" xfId="0" applyNumberFormat="1" applyFont="1" applyBorder="1" applyAlignment="1">
      <alignment vertical="center"/>
    </xf>
    <xf numFmtId="44" fontId="37" fillId="0" borderId="3" xfId="1" applyFont="1" applyFill="1" applyBorder="1"/>
    <xf numFmtId="0" fontId="34" fillId="15" borderId="0" xfId="0" applyFont="1" applyFill="1" applyProtection="1">
      <protection locked="0"/>
    </xf>
    <xf numFmtId="44" fontId="36" fillId="0" borderId="3" xfId="1" applyFont="1" applyFill="1" applyBorder="1"/>
    <xf numFmtId="0" fontId="19" fillId="14" borderId="12" xfId="0" applyFont="1" applyFill="1" applyBorder="1" applyProtection="1">
      <protection locked="0"/>
    </xf>
    <xf numFmtId="0" fontId="38" fillId="14" borderId="13" xfId="0" applyFont="1" applyFill="1" applyBorder="1" applyAlignment="1" applyProtection="1">
      <alignment horizontal="right" vertical="top" wrapText="1"/>
      <protection locked="0"/>
    </xf>
    <xf numFmtId="0" fontId="39" fillId="15" borderId="0" xfId="0" applyFont="1" applyFill="1" applyProtection="1">
      <protection locked="0"/>
    </xf>
    <xf numFmtId="0" fontId="8" fillId="8" borderId="8" xfId="0" applyFont="1" applyFill="1" applyBorder="1" applyAlignment="1" applyProtection="1">
      <alignment vertical="center"/>
      <protection locked="0"/>
    </xf>
    <xf numFmtId="0" fontId="10" fillId="14" borderId="14" xfId="0" applyFont="1" applyFill="1" applyBorder="1" applyAlignment="1" applyProtection="1">
      <alignment horizontal="center" vertical="center" wrapText="1"/>
      <protection locked="0"/>
    </xf>
    <xf numFmtId="0" fontId="10" fillId="14" borderId="0" xfId="0" applyFont="1" applyFill="1"/>
    <xf numFmtId="0" fontId="10" fillId="14" borderId="15" xfId="0" applyFont="1" applyFill="1" applyBorder="1"/>
    <xf numFmtId="0" fontId="8" fillId="8" borderId="0" xfId="0" applyFont="1" applyFill="1" applyAlignment="1" applyProtection="1">
      <alignment horizontal="center" vertical="center"/>
      <protection locked="0"/>
    </xf>
    <xf numFmtId="0" fontId="10" fillId="14" borderId="16" xfId="0" applyFont="1" applyFill="1" applyBorder="1" applyAlignment="1" applyProtection="1">
      <alignment horizontal="center" vertical="center" wrapText="1"/>
      <protection locked="0"/>
    </xf>
    <xf numFmtId="0" fontId="42" fillId="14" borderId="17" xfId="0" applyFont="1" applyFill="1" applyBorder="1"/>
    <xf numFmtId="0" fontId="42" fillId="14" borderId="18" xfId="0" applyFont="1" applyFill="1" applyBorder="1"/>
    <xf numFmtId="0" fontId="12" fillId="0" borderId="0" xfId="0" applyFont="1" applyAlignment="1" applyProtection="1">
      <alignment vertical="center" wrapText="1"/>
      <protection locked="0"/>
    </xf>
    <xf numFmtId="0" fontId="34" fillId="15" borderId="0" xfId="0" applyFont="1" applyFill="1" applyAlignment="1" applyProtection="1">
      <alignment vertical="center" wrapText="1"/>
      <protection locked="0"/>
    </xf>
    <xf numFmtId="0" fontId="7" fillId="4" borderId="0" xfId="0" applyFont="1" applyFill="1" applyAlignment="1" applyProtection="1">
      <alignment horizontal="left" vertical="center"/>
      <protection locked="0"/>
    </xf>
    <xf numFmtId="0" fontId="12" fillId="10" borderId="3" xfId="0" applyFont="1" applyFill="1" applyBorder="1" applyAlignment="1" applyProtection="1">
      <alignment horizontal="center" vertical="center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0" fontId="16" fillId="19" borderId="3" xfId="0" applyFont="1" applyFill="1" applyBorder="1" applyAlignment="1" applyProtection="1">
      <alignment horizontal="center" vertical="center"/>
      <protection locked="0"/>
    </xf>
    <xf numFmtId="0" fontId="16" fillId="17" borderId="3" xfId="0" applyFont="1" applyFill="1" applyBorder="1" applyAlignment="1" applyProtection="1">
      <alignment horizontal="center" vertical="center"/>
      <protection locked="0"/>
    </xf>
    <xf numFmtId="0" fontId="10" fillId="18" borderId="3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left" vertical="center" wrapText="1"/>
      <protection locked="0"/>
    </xf>
    <xf numFmtId="165" fontId="7" fillId="0" borderId="5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0" fontId="7" fillId="10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8" borderId="0" xfId="0" applyFont="1" applyFill="1" applyAlignment="1" applyProtection="1">
      <alignment horizontal="center" vertical="center"/>
      <protection locked="0"/>
    </xf>
    <xf numFmtId="0" fontId="7" fillId="20" borderId="0" xfId="0" applyFont="1" applyFill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 wrapText="1"/>
      <protection locked="0"/>
    </xf>
    <xf numFmtId="0" fontId="16" fillId="0" borderId="5" xfId="0" applyFont="1" applyBorder="1" applyAlignment="1" applyProtection="1">
      <alignment horizontal="left" vertical="center" wrapText="1"/>
      <protection locked="0"/>
    </xf>
    <xf numFmtId="165" fontId="16" fillId="0" borderId="5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0" fontId="45" fillId="15" borderId="0" xfId="0" applyFont="1" applyFill="1" applyAlignment="1" applyProtection="1">
      <alignment vertical="center"/>
      <protection locked="0"/>
    </xf>
    <xf numFmtId="165" fontId="16" fillId="0" borderId="0" xfId="0" applyNumberFormat="1" applyFont="1" applyAlignment="1" applyProtection="1">
      <alignment horizontal="center" vertical="center"/>
      <protection locked="0"/>
    </xf>
    <xf numFmtId="0" fontId="16" fillId="10" borderId="0" xfId="0" applyFont="1" applyFill="1" applyAlignment="1" applyProtection="1">
      <alignment horizontal="center" vertical="center"/>
      <protection locked="0"/>
    </xf>
    <xf numFmtId="0" fontId="16" fillId="20" borderId="0" xfId="0" applyFont="1" applyFill="1" applyAlignment="1" applyProtection="1">
      <alignment horizontal="center" vertical="center"/>
      <protection locked="0"/>
    </xf>
    <xf numFmtId="0" fontId="18" fillId="11" borderId="3" xfId="0" applyFont="1" applyFill="1" applyBorder="1" applyAlignment="1" applyProtection="1">
      <alignment horizontal="center" vertical="center" wrapText="1"/>
      <protection locked="0"/>
    </xf>
    <xf numFmtId="0" fontId="34" fillId="11" borderId="0" xfId="0" applyFont="1" applyFill="1" applyAlignment="1" applyProtection="1">
      <alignment vertical="center"/>
      <protection locked="0"/>
    </xf>
    <xf numFmtId="0" fontId="18" fillId="11" borderId="0" xfId="0" applyFont="1" applyFill="1" applyAlignment="1" applyProtection="1">
      <alignment vertical="center"/>
      <protection locked="0"/>
    </xf>
    <xf numFmtId="0" fontId="18" fillId="0" borderId="0" xfId="0" applyFont="1"/>
    <xf numFmtId="0" fontId="18" fillId="0" borderId="0" xfId="0" applyFont="1" applyAlignment="1">
      <alignment horizontal="center"/>
    </xf>
    <xf numFmtId="44" fontId="18" fillId="0" borderId="0" xfId="1" applyFont="1" applyFill="1" applyBorder="1"/>
    <xf numFmtId="44" fontId="18" fillId="0" borderId="0" xfId="1" applyFont="1" applyBorder="1"/>
    <xf numFmtId="165" fontId="32" fillId="9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 applyProtection="1">
      <alignment horizontal="center" vertical="center" wrapText="1"/>
      <protection locked="0"/>
    </xf>
    <xf numFmtId="0" fontId="18" fillId="4" borderId="3" xfId="0" applyFont="1" applyFill="1" applyBorder="1"/>
    <xf numFmtId="44" fontId="18" fillId="4" borderId="3" xfId="1" applyFont="1" applyFill="1" applyBorder="1"/>
    <xf numFmtId="0" fontId="7" fillId="11" borderId="6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8" fillId="0" borderId="3" xfId="0" applyFont="1" applyBorder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0" fillId="14" borderId="0" xfId="0" applyFont="1" applyFill="1" applyAlignment="1" applyProtection="1">
      <alignment horizontal="center" vertical="center" wrapText="1"/>
      <protection locked="0"/>
    </xf>
    <xf numFmtId="0" fontId="20" fillId="0" borderId="3" xfId="0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vertical="center"/>
      <protection locked="0"/>
    </xf>
    <xf numFmtId="0" fontId="46" fillId="0" borderId="3" xfId="0" applyFont="1" applyBorder="1" applyAlignment="1">
      <alignment horizontal="center" vertical="center"/>
    </xf>
    <xf numFmtId="0" fontId="47" fillId="10" borderId="3" xfId="0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vertical="center"/>
    </xf>
    <xf numFmtId="165" fontId="26" fillId="0" borderId="0" xfId="0" applyNumberFormat="1" applyFont="1" applyAlignment="1" applyProtection="1">
      <alignment horizontal="center" vertical="center"/>
      <protection locked="0"/>
    </xf>
    <xf numFmtId="44" fontId="48" fillId="0" borderId="3" xfId="1" applyFont="1" applyFill="1" applyBorder="1" applyAlignment="1">
      <alignment wrapText="1"/>
    </xf>
    <xf numFmtId="0" fontId="12" fillId="0" borderId="0" xfId="0" applyFont="1" applyAlignment="1" applyProtection="1">
      <alignment vertical="center"/>
      <protection locked="0"/>
    </xf>
    <xf numFmtId="0" fontId="2" fillId="0" borderId="3" xfId="0" applyFont="1" applyBorder="1" applyAlignment="1">
      <alignment wrapText="1"/>
    </xf>
    <xf numFmtId="0" fontId="27" fillId="4" borderId="3" xfId="0" applyFont="1" applyFill="1" applyBorder="1" applyAlignment="1">
      <alignment wrapText="1"/>
    </xf>
    <xf numFmtId="44" fontId="27" fillId="4" borderId="3" xfId="1" applyFont="1" applyFill="1" applyBorder="1" applyAlignment="1">
      <alignment vertical="center" wrapText="1"/>
    </xf>
    <xf numFmtId="0" fontId="18" fillId="4" borderId="3" xfId="0" applyFont="1" applyFill="1" applyBorder="1" applyAlignment="1">
      <alignment vertical="center"/>
    </xf>
    <xf numFmtId="44" fontId="27" fillId="4" borderId="3" xfId="1" applyFont="1" applyFill="1" applyBorder="1" applyAlignment="1">
      <alignment horizontal="center" wrapText="1"/>
    </xf>
    <xf numFmtId="0" fontId="50" fillId="0" borderId="3" xfId="0" applyFont="1" applyBorder="1" applyAlignment="1">
      <alignment horizontal="center" vertical="center"/>
    </xf>
    <xf numFmtId="0" fontId="18" fillId="4" borderId="3" xfId="0" applyFont="1" applyFill="1" applyBorder="1" applyAlignment="1" applyProtection="1">
      <alignment horizontal="center" vertical="center" wrapText="1"/>
      <protection locked="0"/>
    </xf>
    <xf numFmtId="44" fontId="17" fillId="0" borderId="3" xfId="1" applyFont="1" applyFill="1" applyBorder="1" applyAlignment="1">
      <alignment vertical="center" wrapText="1"/>
    </xf>
    <xf numFmtId="0" fontId="17" fillId="0" borderId="3" xfId="0" applyFont="1" applyBorder="1" applyAlignment="1">
      <alignment wrapText="1"/>
    </xf>
    <xf numFmtId="0" fontId="17" fillId="0" borderId="3" xfId="0" applyFont="1" applyBorder="1" applyAlignment="1">
      <alignment vertical="center"/>
    </xf>
    <xf numFmtId="44" fontId="17" fillId="0" borderId="3" xfId="1" applyFont="1" applyFill="1" applyBorder="1" applyAlignment="1">
      <alignment horizontal="center" wrapText="1"/>
    </xf>
    <xf numFmtId="0" fontId="18" fillId="4" borderId="3" xfId="0" applyFont="1" applyFill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51" fillId="0" borderId="6" xfId="0" applyFont="1" applyBorder="1" applyAlignment="1" applyProtection="1">
      <alignment horizontal="center" vertical="center"/>
      <protection locked="0"/>
    </xf>
    <xf numFmtId="165" fontId="26" fillId="0" borderId="3" xfId="0" applyNumberFormat="1" applyFont="1" applyBorder="1" applyAlignment="1">
      <alignment horizontal="center" vertical="center"/>
    </xf>
    <xf numFmtId="165" fontId="51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 applyProtection="1">
      <alignment horizontal="left" vertical="center"/>
      <protection locked="0"/>
    </xf>
    <xf numFmtId="0" fontId="7" fillId="11" borderId="0" xfId="0" applyFont="1" applyFill="1" applyAlignment="1" applyProtection="1">
      <alignment horizontal="center" vertical="center"/>
      <protection locked="0"/>
    </xf>
    <xf numFmtId="0" fontId="32" fillId="11" borderId="0" xfId="0" applyFont="1" applyFill="1" applyAlignment="1">
      <alignment horizontal="center" vertical="center"/>
    </xf>
    <xf numFmtId="165" fontId="26" fillId="11" borderId="3" xfId="0" applyNumberFormat="1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vertical="center"/>
    </xf>
    <xf numFmtId="165" fontId="26" fillId="0" borderId="0" xfId="0" applyNumberFormat="1" applyFont="1" applyAlignment="1" applyProtection="1">
      <alignment horizontal="left" vertical="center"/>
      <protection locked="0"/>
    </xf>
    <xf numFmtId="0" fontId="33" fillId="9" borderId="0" xfId="0" applyFont="1" applyFill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51" fillId="0" borderId="6" xfId="0" applyFont="1" applyBorder="1" applyAlignment="1" applyProtection="1">
      <alignment horizontal="center" vertical="center" wrapText="1"/>
      <protection locked="0"/>
    </xf>
    <xf numFmtId="165" fontId="26" fillId="0" borderId="5" xfId="0" applyNumberFormat="1" applyFont="1" applyBorder="1" applyAlignment="1">
      <alignment horizontal="center" vertical="center"/>
    </xf>
    <xf numFmtId="0" fontId="43" fillId="0" borderId="6" xfId="0" applyFont="1" applyBorder="1" applyAlignment="1" applyProtection="1">
      <alignment horizontal="center" vertical="center"/>
      <protection locked="0"/>
    </xf>
    <xf numFmtId="0" fontId="43" fillId="0" borderId="7" xfId="0" applyFont="1" applyBorder="1" applyAlignment="1" applyProtection="1">
      <alignment horizontal="center" vertical="center"/>
      <protection locked="0"/>
    </xf>
    <xf numFmtId="0" fontId="12" fillId="6" borderId="3" xfId="0" applyFont="1" applyFill="1" applyBorder="1" applyAlignment="1" applyProtection="1">
      <alignment horizontal="center" vertical="center"/>
      <protection locked="0"/>
    </xf>
    <xf numFmtId="14" fontId="25" fillId="6" borderId="0" xfId="0" applyNumberFormat="1" applyFont="1" applyFill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165" fontId="16" fillId="0" borderId="0" xfId="0" applyNumberFormat="1" applyFont="1" applyAlignment="1" applyProtection="1">
      <alignment horizontal="left" vertical="center"/>
      <protection locked="0"/>
    </xf>
    <xf numFmtId="0" fontId="16" fillId="8" borderId="0" xfId="0" applyFont="1" applyFill="1" applyAlignment="1" applyProtection="1">
      <alignment horizontal="center" vertical="center"/>
      <protection locked="0"/>
    </xf>
    <xf numFmtId="0" fontId="34" fillId="21" borderId="0" xfId="0" applyFont="1" applyFill="1" applyAlignment="1" applyProtection="1">
      <alignment vertical="center"/>
      <protection locked="0"/>
    </xf>
    <xf numFmtId="0" fontId="27" fillId="21" borderId="0" xfId="0" applyFont="1" applyFill="1" applyAlignment="1" applyProtection="1">
      <alignment horizontal="left" vertical="center"/>
      <protection locked="0"/>
    </xf>
    <xf numFmtId="0" fontId="18" fillId="21" borderId="0" xfId="0" applyFont="1" applyFill="1" applyAlignment="1" applyProtection="1">
      <alignment horizontal="left" vertical="center"/>
      <protection locked="0"/>
    </xf>
    <xf numFmtId="0" fontId="18" fillId="21" borderId="0" xfId="0" applyFont="1" applyFill="1" applyAlignment="1" applyProtection="1">
      <alignment vertical="center"/>
      <protection locked="0"/>
    </xf>
    <xf numFmtId="0" fontId="0" fillId="11" borderId="3" xfId="0" applyFill="1" applyBorder="1"/>
    <xf numFmtId="0" fontId="12" fillId="11" borderId="3" xfId="0" applyFont="1" applyFill="1" applyBorder="1" applyAlignment="1" applyProtection="1">
      <alignment horizontal="center" vertical="center"/>
      <protection locked="0"/>
    </xf>
    <xf numFmtId="0" fontId="20" fillId="10" borderId="3" xfId="0" applyFont="1" applyFill="1" applyBorder="1" applyAlignment="1" applyProtection="1">
      <alignment horizontal="left" vertical="center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21" fillId="0" borderId="3" xfId="0" applyFont="1" applyBorder="1" applyAlignment="1" applyProtection="1">
      <alignment horizontal="center" vertical="center" wrapText="1"/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left" vertical="center" wrapText="1"/>
      <protection locked="0"/>
    </xf>
    <xf numFmtId="0" fontId="20" fillId="13" borderId="3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18" fillId="0" borderId="3" xfId="0" applyFont="1" applyBorder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18" fillId="0" borderId="6" xfId="0" applyFont="1" applyBorder="1" applyAlignment="1" applyProtection="1">
      <alignment horizontal="left" vertical="center"/>
      <protection locked="0"/>
    </xf>
    <xf numFmtId="0" fontId="20" fillId="11" borderId="3" xfId="0" applyFont="1" applyFill="1" applyBorder="1" applyAlignment="1" applyProtection="1">
      <alignment horizontal="left" vertical="center"/>
      <protection locked="0"/>
    </xf>
    <xf numFmtId="0" fontId="20" fillId="11" borderId="6" xfId="0" applyFont="1" applyFill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horizontal="left" vertical="center" wrapText="1"/>
      <protection locked="0"/>
    </xf>
    <xf numFmtId="0" fontId="17" fillId="0" borderId="6" xfId="0" applyFont="1" applyBorder="1" applyAlignment="1" applyProtection="1">
      <alignment horizontal="left" vertical="center" wrapText="1"/>
      <protection locked="0"/>
    </xf>
    <xf numFmtId="0" fontId="20" fillId="11" borderId="7" xfId="0" applyFont="1" applyFill="1" applyBorder="1" applyAlignment="1" applyProtection="1">
      <alignment horizontal="left" vertical="center"/>
      <protection locked="0"/>
    </xf>
    <xf numFmtId="0" fontId="20" fillId="11" borderId="5" xfId="0" applyFont="1" applyFill="1" applyBorder="1" applyAlignment="1" applyProtection="1">
      <alignment horizontal="left" vertical="center"/>
      <protection locked="0"/>
    </xf>
    <xf numFmtId="0" fontId="20" fillId="9" borderId="3" xfId="0" applyFont="1" applyFill="1" applyBorder="1" applyAlignment="1" applyProtection="1">
      <alignment horizontal="left" vertical="center"/>
      <protection locked="0"/>
    </xf>
    <xf numFmtId="0" fontId="18" fillId="4" borderId="0" xfId="0" applyFont="1" applyFill="1" applyAlignment="1" applyProtection="1">
      <alignment horizontal="left" vertical="center"/>
      <protection locked="0"/>
    </xf>
    <xf numFmtId="0" fontId="12" fillId="10" borderId="19" xfId="0" applyFont="1" applyFill="1" applyBorder="1" applyAlignment="1" applyProtection="1">
      <alignment horizontal="center" vertical="center" wrapText="1"/>
      <protection locked="0"/>
    </xf>
    <xf numFmtId="0" fontId="12" fillId="10" borderId="9" xfId="0" applyFont="1" applyFill="1" applyBorder="1" applyAlignment="1" applyProtection="1">
      <alignment horizontal="center" vertical="center" wrapText="1"/>
      <protection locked="0"/>
    </xf>
    <xf numFmtId="0" fontId="43" fillId="0" borderId="3" xfId="0" applyFont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3" fillId="0" borderId="0" xfId="3" applyAlignment="1">
      <alignment horizontal="left" vertical="center"/>
      <protection locked="0"/>
    </xf>
    <xf numFmtId="0" fontId="44" fillId="0" borderId="4" xfId="0" applyFont="1" applyBorder="1" applyAlignment="1">
      <alignment horizontal="left" vertical="center"/>
    </xf>
    <xf numFmtId="0" fontId="25" fillId="17" borderId="4" xfId="0" applyFont="1" applyFill="1" applyBorder="1" applyAlignment="1" applyProtection="1">
      <alignment horizontal="center" vertical="center"/>
      <protection locked="0"/>
    </xf>
    <xf numFmtId="0" fontId="10" fillId="14" borderId="11" xfId="0" applyFont="1" applyFill="1" applyBorder="1" applyAlignment="1" applyProtection="1">
      <alignment horizontal="center" vertical="center" wrapText="1"/>
      <protection locked="0"/>
    </xf>
    <xf numFmtId="0" fontId="10" fillId="14" borderId="12" xfId="0" applyFont="1" applyFill="1" applyBorder="1" applyAlignment="1" applyProtection="1">
      <alignment horizontal="center" vertical="center" wrapText="1"/>
      <protection locked="0"/>
    </xf>
    <xf numFmtId="0" fontId="40" fillId="14" borderId="0" xfId="0" applyFont="1" applyFill="1" applyAlignment="1">
      <alignment horizontal="center"/>
    </xf>
    <xf numFmtId="0" fontId="41" fillId="14" borderId="17" xfId="0" applyFont="1" applyFill="1" applyBorder="1" applyAlignment="1">
      <alignment horizontal="center" vertical="center" wrapText="1"/>
    </xf>
    <xf numFmtId="0" fontId="49" fillId="0" borderId="0" xfId="3" applyFont="1" applyAlignment="1">
      <alignment horizontal="left" vertical="center"/>
      <protection locked="0"/>
    </xf>
    <xf numFmtId="14" fontId="16" fillId="0" borderId="0" xfId="0" applyNumberFormat="1" applyFont="1" applyAlignment="1" applyProtection="1">
      <alignment horizontal="left" vertical="center"/>
      <protection locked="0"/>
    </xf>
    <xf numFmtId="0" fontId="10" fillId="18" borderId="4" xfId="0" applyFont="1" applyFill="1" applyBorder="1" applyAlignment="1" applyProtection="1">
      <alignment horizontal="center" vertical="center"/>
      <protection locked="0"/>
    </xf>
    <xf numFmtId="0" fontId="18" fillId="11" borderId="6" xfId="0" applyFont="1" applyFill="1" applyBorder="1" applyAlignment="1" applyProtection="1">
      <alignment horizontal="left" vertical="center"/>
      <protection locked="0"/>
    </xf>
    <xf numFmtId="0" fontId="18" fillId="11" borderId="7" xfId="0" applyFont="1" applyFill="1" applyBorder="1" applyAlignment="1" applyProtection="1">
      <alignment horizontal="left" vertical="center"/>
      <protection locked="0"/>
    </xf>
    <xf numFmtId="0" fontId="18" fillId="11" borderId="5" xfId="0" applyFont="1" applyFill="1" applyBorder="1" applyAlignment="1" applyProtection="1">
      <alignment horizontal="left" vertical="center"/>
      <protection locked="0"/>
    </xf>
    <xf numFmtId="0" fontId="12" fillId="6" borderId="19" xfId="0" applyFont="1" applyFill="1" applyBorder="1" applyAlignment="1" applyProtection="1">
      <alignment horizontal="center" vertical="center" wrapText="1"/>
      <protection locked="0"/>
    </xf>
    <xf numFmtId="0" fontId="12" fillId="6" borderId="9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 applyProtection="1">
      <alignment horizontal="left" vertical="center" wrapText="1"/>
      <protection locked="0"/>
    </xf>
    <xf numFmtId="0" fontId="6" fillId="6" borderId="4" xfId="0" applyFont="1" applyFill="1" applyBorder="1" applyAlignment="1">
      <alignment horizontal="center" vertical="center"/>
    </xf>
    <xf numFmtId="0" fontId="18" fillId="4" borderId="3" xfId="0" applyFont="1" applyFill="1" applyBorder="1" applyAlignment="1" applyProtection="1">
      <alignment horizontal="left" vertical="center"/>
      <protection locked="0"/>
    </xf>
    <xf numFmtId="0" fontId="18" fillId="4" borderId="6" xfId="0" applyFont="1" applyFill="1" applyBorder="1" applyAlignment="1" applyProtection="1">
      <alignment horizontal="left" vertical="center"/>
      <protection locked="0"/>
    </xf>
    <xf numFmtId="0" fontId="18" fillId="4" borderId="3" xfId="0" applyFont="1" applyFill="1" applyBorder="1" applyAlignment="1" applyProtection="1">
      <alignment horizontal="left" vertical="center" wrapText="1"/>
      <protection locked="0"/>
    </xf>
    <xf numFmtId="0" fontId="20" fillId="0" borderId="3" xfId="0" applyFont="1" applyBorder="1" applyAlignment="1" applyProtection="1">
      <alignment horizontal="left" vertical="center"/>
      <protection locked="0"/>
    </xf>
    <xf numFmtId="0" fontId="20" fillId="0" borderId="6" xfId="0" applyFont="1" applyBorder="1" applyAlignment="1" applyProtection="1">
      <alignment horizontal="left" vertical="center"/>
      <protection locked="0"/>
    </xf>
    <xf numFmtId="0" fontId="27" fillId="4" borderId="6" xfId="0" applyFont="1" applyFill="1" applyBorder="1" applyAlignment="1">
      <alignment horizontal="center"/>
    </xf>
    <xf numFmtId="0" fontId="27" fillId="4" borderId="7" xfId="0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12" fillId="0" borderId="0" xfId="0" applyFont="1" applyAlignment="1" applyProtection="1">
      <alignment horizontal="center" vertical="center"/>
      <protection locked="0"/>
    </xf>
    <xf numFmtId="0" fontId="18" fillId="4" borderId="6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20" fillId="4" borderId="6" xfId="0" applyFont="1" applyFill="1" applyBorder="1" applyAlignment="1" applyProtection="1">
      <alignment horizontal="left" vertical="center" wrapText="1"/>
      <protection locked="0"/>
    </xf>
    <xf numFmtId="0" fontId="20" fillId="4" borderId="7" xfId="0" applyFont="1" applyFill="1" applyBorder="1" applyAlignment="1" applyProtection="1">
      <alignment horizontal="left" vertical="center" wrapText="1"/>
      <protection locked="0"/>
    </xf>
    <xf numFmtId="0" fontId="20" fillId="4" borderId="5" xfId="0" applyFont="1" applyFill="1" applyBorder="1" applyAlignment="1" applyProtection="1">
      <alignment horizontal="left" vertical="center" wrapText="1"/>
      <protection locked="0"/>
    </xf>
    <xf numFmtId="0" fontId="18" fillId="11" borderId="3" xfId="0" applyFont="1" applyFill="1" applyBorder="1" applyAlignment="1" applyProtection="1">
      <alignment horizontal="left" vertical="center"/>
      <protection locked="0"/>
    </xf>
    <xf numFmtId="0" fontId="18" fillId="11" borderId="0" xfId="0" applyFont="1" applyFill="1" applyAlignment="1" applyProtection="1">
      <alignment horizontal="left" vertical="center"/>
      <protection locked="0"/>
    </xf>
    <xf numFmtId="0" fontId="20" fillId="4" borderId="3" xfId="0" applyFont="1" applyFill="1" applyBorder="1" applyAlignment="1" applyProtection="1">
      <alignment horizontal="left" vertical="center" wrapText="1"/>
      <protection locked="0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716068</xdr:colOff>
      <xdr:row>2</xdr:row>
      <xdr:rowOff>65494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387F4C-DEB0-4004-B698-F27A8CBBF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017" y="0"/>
          <a:ext cx="6491501" cy="998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713280</xdr:colOff>
      <xdr:row>2</xdr:row>
      <xdr:rowOff>68149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D4098-E61F-486D-ACC4-89B72D7B6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39758" cy="1001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711900</xdr:colOff>
      <xdr:row>2</xdr:row>
      <xdr:rowOff>66769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27C0ED-F795-48DA-8092-A2ABF1CD4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40920" cy="10015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1055962</xdr:colOff>
      <xdr:row>2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03C25-11A3-482A-8F43-E0B7B528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38182" cy="9987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1058667</xdr:colOff>
      <xdr:row>2</xdr:row>
      <xdr:rowOff>63984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D3A8BC-5C64-4A30-9221-FDC3DB5B3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39539" cy="1000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1054581</xdr:colOff>
      <xdr:row>2</xdr:row>
      <xdr:rowOff>65341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71802-277E-474E-9990-0E6F5C1DC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40879" cy="1001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1055921</xdr:colOff>
      <xdr:row>2</xdr:row>
      <xdr:rowOff>66681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18417D-2C3D-4E29-8899-2CD77E19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43592" cy="998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1058634</xdr:colOff>
      <xdr:row>2</xdr:row>
      <xdr:rowOff>69394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97ED6-A34E-4BBF-9605-E0A05EDAA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42228" cy="1002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1057270</xdr:colOff>
      <xdr:row>2</xdr:row>
      <xdr:rowOff>68030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2D020-CA4C-4A2C-976C-D7A9A8B75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43563" cy="998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1058605</xdr:colOff>
      <xdr:row>2</xdr:row>
      <xdr:rowOff>69365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466E6B-19D5-405F-8931-37F24DD63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017" y="0"/>
          <a:ext cx="6517142" cy="10014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1103659</xdr:colOff>
      <xdr:row>2</xdr:row>
      <xdr:rowOff>68002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AE4F45-AD3A-49A0-87A3-ED0506DBD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017" y="0"/>
          <a:ext cx="6517142" cy="10014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716068</xdr:colOff>
      <xdr:row>2</xdr:row>
      <xdr:rowOff>65494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01B75-1DA3-4FF4-A79A-55BED2706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60246" cy="997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1103659</xdr:colOff>
      <xdr:row>2</xdr:row>
      <xdr:rowOff>68002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F2BAE-FF65-4D5F-8688-80B60B4C8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017" y="0"/>
          <a:ext cx="6517142" cy="10014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1103659</xdr:colOff>
      <xdr:row>2</xdr:row>
      <xdr:rowOff>68002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CC7F0-DE3C-478E-8CBF-1C610C674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017" y="0"/>
          <a:ext cx="6517142" cy="10014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1103659</xdr:colOff>
      <xdr:row>2</xdr:row>
      <xdr:rowOff>68002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A5CF82-B882-40A6-8475-48DDB0F58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017" y="0"/>
          <a:ext cx="6517142" cy="10014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1103659</xdr:colOff>
      <xdr:row>2</xdr:row>
      <xdr:rowOff>68002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4C29B-C295-417B-95D2-38283E530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017" y="0"/>
          <a:ext cx="6517142" cy="10014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713338</xdr:colOff>
      <xdr:row>2</xdr:row>
      <xdr:rowOff>68207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E69D2-2255-47E1-BABA-E7A7D02DE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017" y="0"/>
          <a:ext cx="6488771" cy="1001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713338</xdr:colOff>
      <xdr:row>2</xdr:row>
      <xdr:rowOff>68207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9FFB34-9146-4378-939C-D6C17A767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235" y="0"/>
          <a:ext cx="6843917" cy="99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713338</xdr:colOff>
      <xdr:row>2</xdr:row>
      <xdr:rowOff>68207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DFA45-29C9-40FC-A6B7-2E6041522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38451" cy="100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716036</xdr:colOff>
      <xdr:row>2</xdr:row>
      <xdr:rowOff>65462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286AA7-DDE6-48C4-8EC7-B469CA5E1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42518" cy="998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714660</xdr:colOff>
      <xdr:row>2</xdr:row>
      <xdr:rowOff>64086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A6CA44-EE30-434D-8917-4EAB92843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235" y="0"/>
          <a:ext cx="6845234" cy="99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714655</xdr:colOff>
      <xdr:row>2</xdr:row>
      <xdr:rowOff>64081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0C27C7-B3B8-4EE6-8677-2AA0A3CBA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78" y="0"/>
          <a:ext cx="6841138" cy="9975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177692</xdr:colOff>
      <xdr:row>0</xdr:row>
      <xdr:rowOff>0</xdr:rowOff>
    </xdr:from>
    <xdr:to>
      <xdr:col>4</xdr:col>
      <xdr:colOff>713280</xdr:colOff>
      <xdr:row>2</xdr:row>
      <xdr:rowOff>68149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E43696-FB28-4188-8534-8694C65BA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6235" y="0"/>
          <a:ext cx="6843859" cy="998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nroy.lax\AppData\Local\Microsoft\Windows\INetCache\Content.Outlook\KTH8XCLN\2023%200201-0228.xlsx" TargetMode="External"/><Relationship Id="rId1" Type="http://schemas.openxmlformats.org/officeDocument/2006/relationships/externalLinkPath" Target="/Users/amonroy.lax/AppData/Local/Microsoft/Windows/INetCache/Content.Outlook/KTH8XCLN/2023%200201-02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wang/AppData/Local/Microsoft/Windows/Temporary%20Internet%20Files/Content.Outlook/U7WJNCNV/QUOTE%20TEMPLATE%2005-01-21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BS Ref. Table"/>
      <sheetName val="6.DAR-RIPI"/>
      <sheetName val="6.OAR-PS"/>
      <sheetName val="6.OAR-PN"/>
      <sheetName val="6.OAR-EC"/>
      <sheetName val="6.OAR-GC"/>
      <sheetName val="0. SC Number"/>
      <sheetName val="1. CBP_40HC"/>
      <sheetName val="1.1 CBP_20ST"/>
      <sheetName val="2. SEA_40HC"/>
      <sheetName val="2.1 SEA_20ST"/>
      <sheetName val="3. Taiwan_40HC"/>
      <sheetName val="4a. Premium Summary"/>
      <sheetName val="3.1 Taiwan_20ST"/>
      <sheetName val="4. Korea_40HC"/>
      <sheetName val="4.1 Korea_20ST"/>
      <sheetName val="5. SVC Free Time"/>
      <sheetName val="6. SOC"/>
      <sheetName val="7. NOR"/>
      <sheetName val="8. OAR"/>
      <sheetName val="8.1 ZIM OAR"/>
      <sheetName val="9. REEFER"/>
      <sheetName val="10. ISC"/>
      <sheetName val="11. MED to USA"/>
      <sheetName val="12. N. Europe to USA"/>
      <sheetName val="13. ASIA TO LATAM"/>
      <sheetName val="9.TP Transit Time"/>
      <sheetName val="14. Premium Transit Time"/>
      <sheetName val="15. TP Transit Time"/>
      <sheetName val="16. CBP_SEA_Origin"/>
      <sheetName val="17. Commodity"/>
      <sheetName val="45 Add-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7">
          <cell r="C27">
            <v>2400</v>
          </cell>
          <cell r="E27">
            <v>2750</v>
          </cell>
          <cell r="F27">
            <v>2600</v>
          </cell>
          <cell r="J27">
            <v>2450</v>
          </cell>
          <cell r="O27">
            <v>2750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IR RATE TABLE"/>
      <sheetName val="OCEAN"/>
      <sheetName val="DEST ACESSORIAL"/>
      <sheetName val="LINK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jchang.lax@oecgroup.com" TargetMode="External"/><Relationship Id="rId4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jchang.lax@oecgroup.com" TargetMode="External"/><Relationship Id="rId4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jchang.lax@oecgroup.com" TargetMode="External"/><Relationship Id="rId4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jchang.lax@oecgroup.com" TargetMode="External"/><Relationship Id="rId4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jchang.lax@oecgroup.com" TargetMode="External"/><Relationship Id="rId4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jchang.lax@oecgroup.com" TargetMode="External"/><Relationship Id="rId4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tnguyen.lax@oecgroup.com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jchang.lax@oecgroup.com" TargetMode="External"/><Relationship Id="rId1" Type="http://schemas.openxmlformats.org/officeDocument/2006/relationships/hyperlink" Target="mailto:lhsu.lax@oecgroup.com" TargetMode="Externa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8CF0-11B2-4FEA-BB45-EA6C993173B1}">
  <sheetPr>
    <pageSetUpPr fitToPage="1"/>
  </sheetPr>
  <dimension ref="A1:AC179"/>
  <sheetViews>
    <sheetView tabSelected="1" zoomScale="85" zoomScaleNormal="85" zoomScaleSheetLayoutView="40" workbookViewId="0">
      <pane xSplit="3" ySplit="11" topLeftCell="M12" activePane="bottomRight" state="frozen"/>
      <selection pane="topRight" activeCell="D1" sqref="D1"/>
      <selection pane="bottomLeft" activeCell="A13" sqref="A13"/>
      <selection pane="bottomRight" activeCell="W5" sqref="W5"/>
    </sheetView>
  </sheetViews>
  <sheetFormatPr defaultColWidth="8.85546875" defaultRowHeight="15" x14ac:dyDescent="0.25"/>
  <cols>
    <col min="1" max="1" width="27.5703125" style="50" customWidth="1"/>
    <col min="2" max="2" width="55.28515625" style="50" customWidth="1"/>
    <col min="3" max="3" width="10.85546875" style="50" customWidth="1"/>
    <col min="4" max="4" width="23.140625" style="50" customWidth="1"/>
    <col min="5" max="5" width="16.7109375" style="50" customWidth="1"/>
    <col min="6" max="6" width="19.85546875" style="50" customWidth="1"/>
    <col min="7" max="7" width="19" style="50" customWidth="1"/>
    <col min="8" max="10" width="14" style="50" customWidth="1"/>
    <col min="11" max="11" width="3.28515625" style="50" customWidth="1"/>
    <col min="12" max="12" width="15.7109375" style="50" customWidth="1"/>
    <col min="13" max="13" width="16" style="50" customWidth="1"/>
    <col min="14" max="14" width="9.42578125" style="50" customWidth="1"/>
    <col min="15" max="15" width="10.7109375" style="50" bestFit="1" customWidth="1"/>
    <col min="16" max="16" width="17.28515625" style="50" customWidth="1"/>
    <col min="17" max="17" width="13.28515625" style="50" customWidth="1"/>
    <col min="18" max="18" width="17.5703125" style="50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511</v>
      </c>
      <c r="B4" s="213" t="s">
        <v>350</v>
      </c>
      <c r="C4" s="213"/>
      <c r="D4" s="127"/>
      <c r="F4" s="41" t="s">
        <v>512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 t="s">
        <v>506</v>
      </c>
      <c r="Q5" s="85" t="s">
        <v>507</v>
      </c>
      <c r="R5" s="85"/>
      <c r="S5" s="85" t="s">
        <v>508</v>
      </c>
      <c r="T5" s="85" t="s">
        <v>509</v>
      </c>
      <c r="U5" s="85" t="s">
        <v>510</v>
      </c>
    </row>
    <row r="6" spans="1:29" s="42" customFormat="1" ht="15" customHeight="1" x14ac:dyDescent="0.25">
      <c r="A6" s="41" t="s">
        <v>513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>
        <f>_xlfn.MODE.SNGL('[1]1. CBP_40HC'!$C27:$W27)</f>
        <v>2750</v>
      </c>
      <c r="O6" s="85">
        <f>_xlfn.MODE.SNGL('[1]1. CBP_40HC'!$C27:$W27)</f>
        <v>2750</v>
      </c>
      <c r="P6" s="85">
        <f>_xlfn.MODE.SNGL('[1]1. CBP_40HC'!$C$27:$W$27)</f>
        <v>2750</v>
      </c>
      <c r="Q6" s="85">
        <f>AVERAGE('[1]1. CBP_40HC'!$C$27:$W$27)</f>
        <v>2590</v>
      </c>
      <c r="R6" s="85"/>
      <c r="S6" s="85">
        <f>MEDIAN('[1]1. CBP_40HC'!$C$27:$W$27)</f>
        <v>2600</v>
      </c>
      <c r="T6" s="85">
        <f>MIN('[1]1. CBP_40HC'!$C$27:$W$27)</f>
        <v>2400</v>
      </c>
      <c r="U6" s="85">
        <f>MAX('[1]1. CBP_40HC'!$C$27:$W$27)</f>
        <v>2750</v>
      </c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44958</v>
      </c>
      <c r="C8" s="45" t="s">
        <v>91</v>
      </c>
      <c r="D8" s="44">
        <v>44971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514</v>
      </c>
      <c r="B11" s="88" t="s">
        <v>515</v>
      </c>
      <c r="C11" s="88" t="s">
        <v>506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521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516</v>
      </c>
      <c r="Z11" s="92" t="s">
        <v>517</v>
      </c>
      <c r="AA11" s="92" t="s">
        <v>518</v>
      </c>
      <c r="AB11" s="92" t="s">
        <v>519</v>
      </c>
      <c r="AC11" s="93" t="s">
        <v>538</v>
      </c>
    </row>
    <row r="12" spans="1:29" s="40" customFormat="1" ht="18.75" x14ac:dyDescent="0.25">
      <c r="A12" s="133" t="s">
        <v>81</v>
      </c>
      <c r="B12" s="51" t="s">
        <v>338</v>
      </c>
      <c r="C12" s="94" t="s">
        <v>54</v>
      </c>
      <c r="D12" s="95" t="s">
        <v>383</v>
      </c>
      <c r="E12" s="95" t="s">
        <v>127</v>
      </c>
      <c r="F12" s="97" t="s">
        <v>422</v>
      </c>
      <c r="G12" s="98">
        <f>CEILING(S12+W12+X12+O12+N12+Y12,10) + 1</f>
        <v>2851</v>
      </c>
      <c r="H12" s="99">
        <f>CEILING(T12+W12+X12+O12+N12+Z12,10) + 1</f>
        <v>3001</v>
      </c>
      <c r="I12" s="99">
        <f>CEILING(U12+W12+X12+O12+N12+AA12,10) + 1</f>
        <v>3011</v>
      </c>
      <c r="J12" s="99">
        <f>CEILING(V12+W12+X12+O12+N12+AB12,10) + 1</f>
        <v>3381</v>
      </c>
      <c r="K12" s="57"/>
      <c r="L12" s="156" t="s">
        <v>384</v>
      </c>
      <c r="M12" s="52" t="s">
        <v>440</v>
      </c>
      <c r="N12" s="40">
        <f>50*7</f>
        <v>350</v>
      </c>
      <c r="O12" s="53">
        <f>VLOOKUP(B12,DRAYAGE!$A$1:$C$107,3,FALSE)</f>
        <v>1310</v>
      </c>
      <c r="P12" s="40" t="s">
        <v>347</v>
      </c>
      <c r="Q12" s="40" t="s">
        <v>520</v>
      </c>
      <c r="R12" s="40" t="s">
        <v>445</v>
      </c>
      <c r="S12" s="101">
        <f t="shared" ref="S12:S27" si="0">0.9*T12</f>
        <v>1170</v>
      </c>
      <c r="T12" s="54">
        <f>1200+100</f>
        <v>1300</v>
      </c>
      <c r="U12" s="103">
        <f>T12</f>
        <v>1300</v>
      </c>
      <c r="V12" s="104">
        <f>CEILING(U12*1.266, 10)</f>
        <v>1650</v>
      </c>
      <c r="W12" s="40">
        <v>0</v>
      </c>
      <c r="X12" s="40">
        <f>0+1</f>
        <v>1</v>
      </c>
      <c r="Y12" s="40">
        <v>17</v>
      </c>
      <c r="Z12" s="40">
        <v>33</v>
      </c>
      <c r="AA12" s="40">
        <v>49</v>
      </c>
      <c r="AB12" s="40">
        <v>65</v>
      </c>
      <c r="AC12" s="40" t="s">
        <v>522</v>
      </c>
    </row>
    <row r="13" spans="1:29" s="40" customFormat="1" ht="18.75" x14ac:dyDescent="0.25">
      <c r="A13" s="133" t="s">
        <v>55</v>
      </c>
      <c r="B13" s="51" t="s">
        <v>338</v>
      </c>
      <c r="C13" s="94" t="s">
        <v>54</v>
      </c>
      <c r="D13" s="95" t="s">
        <v>383</v>
      </c>
      <c r="E13" s="95" t="s">
        <v>127</v>
      </c>
      <c r="F13" s="97" t="s">
        <v>422</v>
      </c>
      <c r="G13" s="98">
        <f>CEILING(S13+W13+X13+O13+N13+Y13,10) + 2</f>
        <v>2852</v>
      </c>
      <c r="H13" s="99">
        <f>CEILING(T13+W13+X13+O13+N13+Z13,10) + 2</f>
        <v>3002</v>
      </c>
      <c r="I13" s="99">
        <f>CEILING(U13+W13+X13+O13+N13+AA13,10) + 2</f>
        <v>3022</v>
      </c>
      <c r="J13" s="99">
        <f>CEILING(V13+W13+X13+O13+N13+AB13,10) + 2</f>
        <v>3382</v>
      </c>
      <c r="K13" s="57"/>
      <c r="L13" s="156" t="s">
        <v>384</v>
      </c>
      <c r="M13" s="52" t="s">
        <v>440</v>
      </c>
      <c r="N13" s="40">
        <f t="shared" ref="N13:N26" si="1">50*7</f>
        <v>350</v>
      </c>
      <c r="O13" s="53">
        <f>VLOOKUP(B13,DRAYAGE!$A$1:$C$107,3,FALSE)</f>
        <v>1310</v>
      </c>
      <c r="P13" s="40" t="s">
        <v>347</v>
      </c>
      <c r="Q13" s="40" t="s">
        <v>520</v>
      </c>
      <c r="R13" s="40" t="s">
        <v>445</v>
      </c>
      <c r="S13" s="101">
        <f t="shared" si="0"/>
        <v>1170</v>
      </c>
      <c r="T13" s="54">
        <f>T12</f>
        <v>1300</v>
      </c>
      <c r="U13" s="103">
        <f t="shared" ref="U13:U59" si="2">T13</f>
        <v>1300</v>
      </c>
      <c r="V13" s="104">
        <f t="shared" ref="V13:V27" si="3">CEILING(U13*1.266, 10)</f>
        <v>1650</v>
      </c>
      <c r="W13" s="40">
        <v>0</v>
      </c>
      <c r="X13" s="40">
        <v>2</v>
      </c>
      <c r="Y13" s="40">
        <v>18</v>
      </c>
      <c r="Z13" s="40">
        <v>34</v>
      </c>
      <c r="AA13" s="40">
        <v>50</v>
      </c>
      <c r="AB13" s="40">
        <v>66</v>
      </c>
      <c r="AC13" s="40" t="s">
        <v>523</v>
      </c>
    </row>
    <row r="14" spans="1:29" s="40" customFormat="1" ht="18.75" x14ac:dyDescent="0.25">
      <c r="A14" s="133" t="s">
        <v>56</v>
      </c>
      <c r="B14" s="51" t="s">
        <v>338</v>
      </c>
      <c r="C14" s="94" t="s">
        <v>54</v>
      </c>
      <c r="D14" s="95" t="s">
        <v>383</v>
      </c>
      <c r="E14" s="95" t="s">
        <v>127</v>
      </c>
      <c r="F14" s="97" t="s">
        <v>422</v>
      </c>
      <c r="G14" s="98">
        <f>CEILING(S14+W14+X14+O14+N14+Y14,10) + 3</f>
        <v>2863</v>
      </c>
      <c r="H14" s="99">
        <f>CEILING(T14+W14+X14+O14+N14+Z14,10) + 3</f>
        <v>3003</v>
      </c>
      <c r="I14" s="99">
        <f>CEILING(U14+W14+X14+O14+N14+AA14,10) + 3</f>
        <v>3023</v>
      </c>
      <c r="J14" s="99">
        <f>CEILING(V14+W14+X14+O14+N14+AB14,10) + 3</f>
        <v>3383</v>
      </c>
      <c r="K14" s="57"/>
      <c r="L14" s="156" t="s">
        <v>384</v>
      </c>
      <c r="M14" s="52" t="s">
        <v>440</v>
      </c>
      <c r="N14" s="40">
        <f t="shared" si="1"/>
        <v>350</v>
      </c>
      <c r="O14" s="53">
        <f>VLOOKUP(B14,DRAYAGE!$A$1:$C$107,3,FALSE)</f>
        <v>1310</v>
      </c>
      <c r="P14" s="40" t="s">
        <v>347</v>
      </c>
      <c r="Q14" s="40" t="s">
        <v>520</v>
      </c>
      <c r="R14" s="40" t="s">
        <v>445</v>
      </c>
      <c r="S14" s="101">
        <f t="shared" si="0"/>
        <v>1170</v>
      </c>
      <c r="T14" s="54">
        <f>T13</f>
        <v>1300</v>
      </c>
      <c r="U14" s="103">
        <f t="shared" si="2"/>
        <v>1300</v>
      </c>
      <c r="V14" s="104">
        <f t="shared" si="3"/>
        <v>1650</v>
      </c>
      <c r="W14" s="40">
        <v>0</v>
      </c>
      <c r="X14" s="40">
        <v>3</v>
      </c>
      <c r="Y14" s="40">
        <v>19</v>
      </c>
      <c r="Z14" s="40">
        <v>35</v>
      </c>
      <c r="AA14" s="40">
        <v>51</v>
      </c>
      <c r="AB14" s="40">
        <v>67</v>
      </c>
      <c r="AC14" s="40" t="s">
        <v>524</v>
      </c>
    </row>
    <row r="15" spans="1:29" s="40" customFormat="1" ht="18.75" x14ac:dyDescent="0.25">
      <c r="A15" s="133" t="s">
        <v>57</v>
      </c>
      <c r="B15" s="51" t="s">
        <v>338</v>
      </c>
      <c r="C15" s="94" t="s">
        <v>54</v>
      </c>
      <c r="D15" s="95" t="s">
        <v>383</v>
      </c>
      <c r="E15" s="95" t="s">
        <v>127</v>
      </c>
      <c r="F15" s="97" t="s">
        <v>422</v>
      </c>
      <c r="G15" s="98">
        <f>CEILING(S15+W15+X15+O15+N15+Y15,10) + 4</f>
        <v>2864</v>
      </c>
      <c r="H15" s="99">
        <f>CEILING(T15+W15+X15+O15+N15+Z15,10) + 4</f>
        <v>3004</v>
      </c>
      <c r="I15" s="99">
        <f>CEILING(U15+W15+X15+O15+N15+AA15,10) + 4</f>
        <v>3024</v>
      </c>
      <c r="J15" s="99">
        <f>CEILING(V15+W15+X15+O15+N15+AB15,10) + 4</f>
        <v>3394</v>
      </c>
      <c r="K15" s="57"/>
      <c r="L15" s="156" t="s">
        <v>384</v>
      </c>
      <c r="M15" s="52" t="s">
        <v>440</v>
      </c>
      <c r="N15" s="40">
        <f t="shared" si="1"/>
        <v>350</v>
      </c>
      <c r="O15" s="53">
        <f>VLOOKUP(B15,DRAYAGE!$A$1:$C$107,3,FALSE)</f>
        <v>1310</v>
      </c>
      <c r="P15" s="40" t="s">
        <v>347</v>
      </c>
      <c r="Q15" s="40" t="s">
        <v>520</v>
      </c>
      <c r="R15" s="40" t="s">
        <v>445</v>
      </c>
      <c r="S15" s="101">
        <f t="shared" si="0"/>
        <v>1170</v>
      </c>
      <c r="T15" s="54">
        <f>T14</f>
        <v>1300</v>
      </c>
      <c r="U15" s="103">
        <f t="shared" si="2"/>
        <v>1300</v>
      </c>
      <c r="V15" s="104">
        <f t="shared" si="3"/>
        <v>1650</v>
      </c>
      <c r="W15" s="40">
        <v>0</v>
      </c>
      <c r="X15" s="40">
        <v>4</v>
      </c>
      <c r="Y15" s="40">
        <v>20</v>
      </c>
      <c r="Z15" s="40">
        <v>36</v>
      </c>
      <c r="AA15" s="40">
        <v>52</v>
      </c>
      <c r="AB15" s="40">
        <v>68</v>
      </c>
      <c r="AC15" s="40" t="s">
        <v>525</v>
      </c>
    </row>
    <row r="16" spans="1:29" s="40" customFormat="1" ht="18.75" x14ac:dyDescent="0.25">
      <c r="A16" s="133" t="s">
        <v>64</v>
      </c>
      <c r="B16" s="51" t="s">
        <v>338</v>
      </c>
      <c r="C16" s="94" t="s">
        <v>54</v>
      </c>
      <c r="D16" s="95" t="s">
        <v>383</v>
      </c>
      <c r="E16" s="95" t="s">
        <v>127</v>
      </c>
      <c r="F16" s="97" t="s">
        <v>422</v>
      </c>
      <c r="G16" s="98">
        <f>CEILING(S16+W16+X16+O16+N16+Y16,10) + 5</f>
        <v>3045</v>
      </c>
      <c r="H16" s="99">
        <f>CEILING(T16+W16+X16+O16+N16+Z16,10)+ 5</f>
        <v>3215</v>
      </c>
      <c r="I16" s="99">
        <f>CEILING(U16+W16+X16+O16+N16+AA16,10) + 5</f>
        <v>3225</v>
      </c>
      <c r="J16" s="99">
        <f>CEILING(V16+W16+X16+O16+N16+AB16,10) + 5</f>
        <v>3645</v>
      </c>
      <c r="K16" s="57"/>
      <c r="L16" s="156" t="s">
        <v>384</v>
      </c>
      <c r="M16" s="52" t="s">
        <v>440</v>
      </c>
      <c r="N16" s="40">
        <f t="shared" si="1"/>
        <v>350</v>
      </c>
      <c r="O16" s="53">
        <f>VLOOKUP(B16,DRAYAGE!$A$1:$C$107,3,FALSE)</f>
        <v>1310</v>
      </c>
      <c r="P16" s="40" t="s">
        <v>347</v>
      </c>
      <c r="Q16" s="40" t="s">
        <v>520</v>
      </c>
      <c r="R16" s="40" t="s">
        <v>445</v>
      </c>
      <c r="S16" s="101">
        <f>0.9*T16</f>
        <v>1350</v>
      </c>
      <c r="T16" s="54">
        <f>1300+100+100</f>
        <v>1500</v>
      </c>
      <c r="U16" s="103">
        <f>T16</f>
        <v>1500</v>
      </c>
      <c r="V16" s="104">
        <f t="shared" si="3"/>
        <v>1900</v>
      </c>
      <c r="W16" s="40">
        <v>0</v>
      </c>
      <c r="X16" s="40">
        <v>5</v>
      </c>
      <c r="Y16" s="40">
        <v>21</v>
      </c>
      <c r="Z16" s="40">
        <v>37</v>
      </c>
      <c r="AA16" s="40">
        <v>53</v>
      </c>
      <c r="AB16" s="40">
        <v>69</v>
      </c>
      <c r="AC16" s="40" t="s">
        <v>526</v>
      </c>
    </row>
    <row r="17" spans="1:29" s="40" customFormat="1" ht="18.75" x14ac:dyDescent="0.25">
      <c r="A17" s="133" t="s">
        <v>366</v>
      </c>
      <c r="B17" s="51" t="s">
        <v>338</v>
      </c>
      <c r="C17" s="94" t="s">
        <v>54</v>
      </c>
      <c r="D17" s="95" t="s">
        <v>383</v>
      </c>
      <c r="E17" s="95" t="s">
        <v>127</v>
      </c>
      <c r="F17" s="97" t="s">
        <v>422</v>
      </c>
      <c r="G17" s="98">
        <f t="shared" ref="G17:G27" si="4">CEILING(S17+W17+X17+O17+N17+Y17,10)</f>
        <v>3180</v>
      </c>
      <c r="H17" s="99">
        <f t="shared" ref="H17:H27" si="5">CEILING(T17+W17+X17+O17+N17+Z17,10)</f>
        <v>3360</v>
      </c>
      <c r="I17" s="99">
        <f t="shared" ref="I17:I27" si="6">CEILING(U17+W17+X17+O17+N17+AA17,10)</f>
        <v>3370</v>
      </c>
      <c r="J17" s="99">
        <f t="shared" ref="J17:J27" si="7">CEILING(V17+W17+X17+O17+N17+AB17,10)</f>
        <v>3830</v>
      </c>
      <c r="K17" s="57"/>
      <c r="L17" s="156" t="s">
        <v>384</v>
      </c>
      <c r="M17" s="52" t="s">
        <v>440</v>
      </c>
      <c r="N17" s="40">
        <f t="shared" si="1"/>
        <v>350</v>
      </c>
      <c r="O17" s="53">
        <f>VLOOKUP(B17,DRAYAGE!$A$1:$C$107,3,FALSE)</f>
        <v>1310</v>
      </c>
      <c r="P17" s="40" t="s">
        <v>347</v>
      </c>
      <c r="Q17" s="40" t="s">
        <v>520</v>
      </c>
      <c r="R17" s="40" t="s">
        <v>446</v>
      </c>
      <c r="S17" s="101">
        <f>0.9*T17</f>
        <v>1485</v>
      </c>
      <c r="T17" s="54">
        <f>1300+250+100</f>
        <v>1650</v>
      </c>
      <c r="U17" s="103">
        <f>T17</f>
        <v>1650</v>
      </c>
      <c r="V17" s="104">
        <f t="shared" si="3"/>
        <v>2090</v>
      </c>
      <c r="W17" s="40">
        <v>0</v>
      </c>
      <c r="X17" s="40">
        <v>6</v>
      </c>
      <c r="Y17" s="40">
        <v>22</v>
      </c>
      <c r="Z17" s="40">
        <v>38</v>
      </c>
      <c r="AA17" s="40">
        <v>54</v>
      </c>
      <c r="AB17" s="40">
        <v>70</v>
      </c>
      <c r="AC17" s="40" t="s">
        <v>527</v>
      </c>
    </row>
    <row r="18" spans="1:29" s="40" customFormat="1" ht="18.75" x14ac:dyDescent="0.25">
      <c r="A18" s="133" t="s">
        <v>59</v>
      </c>
      <c r="B18" s="51" t="s">
        <v>338</v>
      </c>
      <c r="C18" s="94" t="s">
        <v>54</v>
      </c>
      <c r="D18" s="95" t="s">
        <v>383</v>
      </c>
      <c r="E18" s="95" t="s">
        <v>127</v>
      </c>
      <c r="F18" s="97" t="s">
        <v>422</v>
      </c>
      <c r="G18" s="98">
        <f t="shared" si="4"/>
        <v>2860</v>
      </c>
      <c r="H18" s="99">
        <f t="shared" si="5"/>
        <v>3010</v>
      </c>
      <c r="I18" s="99">
        <f t="shared" si="6"/>
        <v>3030</v>
      </c>
      <c r="J18" s="99">
        <f t="shared" si="7"/>
        <v>3390</v>
      </c>
      <c r="K18" s="57"/>
      <c r="L18" s="156" t="s">
        <v>384</v>
      </c>
      <c r="M18" s="52" t="s">
        <v>440</v>
      </c>
      <c r="N18" s="40">
        <f t="shared" si="1"/>
        <v>350</v>
      </c>
      <c r="O18" s="53">
        <f>VLOOKUP(B18,DRAYAGE!$A$1:$C$107,3,FALSE)</f>
        <v>1310</v>
      </c>
      <c r="P18" s="40" t="s">
        <v>347</v>
      </c>
      <c r="Q18" s="40" t="s">
        <v>520</v>
      </c>
      <c r="R18" s="40" t="s">
        <v>447</v>
      </c>
      <c r="S18" s="101">
        <f t="shared" si="0"/>
        <v>1170</v>
      </c>
      <c r="T18" s="54">
        <f>T12</f>
        <v>1300</v>
      </c>
      <c r="U18" s="103">
        <f t="shared" si="2"/>
        <v>1300</v>
      </c>
      <c r="V18" s="104">
        <f t="shared" si="3"/>
        <v>1650</v>
      </c>
      <c r="W18" s="40">
        <v>0</v>
      </c>
      <c r="X18" s="40">
        <v>7</v>
      </c>
      <c r="Y18" s="40">
        <v>23</v>
      </c>
      <c r="Z18" s="40">
        <v>39</v>
      </c>
      <c r="AA18" s="40">
        <v>55</v>
      </c>
      <c r="AB18" s="40">
        <v>71</v>
      </c>
      <c r="AC18" s="40" t="s">
        <v>528</v>
      </c>
    </row>
    <row r="19" spans="1:29" s="40" customFormat="1" ht="18.75" x14ac:dyDescent="0.25">
      <c r="A19" s="133" t="s">
        <v>60</v>
      </c>
      <c r="B19" s="51" t="s">
        <v>338</v>
      </c>
      <c r="C19" s="94" t="s">
        <v>54</v>
      </c>
      <c r="D19" s="95" t="s">
        <v>383</v>
      </c>
      <c r="E19" s="95" t="s">
        <v>127</v>
      </c>
      <c r="F19" s="97" t="s">
        <v>422</v>
      </c>
      <c r="G19" s="98">
        <f t="shared" si="4"/>
        <v>2870</v>
      </c>
      <c r="H19" s="99">
        <f t="shared" si="5"/>
        <v>3010</v>
      </c>
      <c r="I19" s="99">
        <f t="shared" si="6"/>
        <v>3030</v>
      </c>
      <c r="J19" s="99">
        <f t="shared" si="7"/>
        <v>3390</v>
      </c>
      <c r="K19" s="57"/>
      <c r="L19" s="156" t="s">
        <v>384</v>
      </c>
      <c r="M19" s="52" t="s">
        <v>440</v>
      </c>
      <c r="N19" s="40">
        <f t="shared" si="1"/>
        <v>350</v>
      </c>
      <c r="O19" s="53">
        <f>VLOOKUP(B19,DRAYAGE!$A$1:$C$107,3,FALSE)</f>
        <v>1310</v>
      </c>
      <c r="P19" s="40" t="s">
        <v>347</v>
      </c>
      <c r="Q19" s="40" t="s">
        <v>520</v>
      </c>
      <c r="R19" s="40" t="s">
        <v>448</v>
      </c>
      <c r="S19" s="101">
        <f t="shared" si="0"/>
        <v>1170</v>
      </c>
      <c r="T19" s="54">
        <f>T12</f>
        <v>1300</v>
      </c>
      <c r="U19" s="103">
        <f t="shared" si="2"/>
        <v>1300</v>
      </c>
      <c r="V19" s="104">
        <f t="shared" si="3"/>
        <v>1650</v>
      </c>
      <c r="W19" s="40">
        <v>0</v>
      </c>
      <c r="X19" s="40">
        <v>8</v>
      </c>
      <c r="Y19" s="40">
        <v>24</v>
      </c>
      <c r="Z19" s="40">
        <v>40</v>
      </c>
      <c r="AA19" s="40">
        <v>56</v>
      </c>
      <c r="AB19" s="40">
        <v>72</v>
      </c>
      <c r="AC19" s="40" t="s">
        <v>529</v>
      </c>
    </row>
    <row r="20" spans="1:29" s="40" customFormat="1" ht="18.75" x14ac:dyDescent="0.25">
      <c r="A20" s="133" t="s">
        <v>376</v>
      </c>
      <c r="B20" s="51" t="s">
        <v>338</v>
      </c>
      <c r="C20" s="94" t="s">
        <v>54</v>
      </c>
      <c r="D20" s="95" t="s">
        <v>383</v>
      </c>
      <c r="E20" s="95" t="s">
        <v>127</v>
      </c>
      <c r="F20" s="97" t="s">
        <v>422</v>
      </c>
      <c r="G20" s="98">
        <f t="shared" si="4"/>
        <v>2870</v>
      </c>
      <c r="H20" s="99">
        <f t="shared" si="5"/>
        <v>3010</v>
      </c>
      <c r="I20" s="99">
        <f t="shared" si="6"/>
        <v>3030</v>
      </c>
      <c r="J20" s="99">
        <f t="shared" si="7"/>
        <v>3400</v>
      </c>
      <c r="K20" s="57"/>
      <c r="L20" s="156" t="s">
        <v>384</v>
      </c>
      <c r="M20" s="52" t="s">
        <v>440</v>
      </c>
      <c r="N20" s="40">
        <f t="shared" si="1"/>
        <v>350</v>
      </c>
      <c r="O20" s="53">
        <f>VLOOKUP(B20,DRAYAGE!$A$1:$C$107,3,FALSE)</f>
        <v>1310</v>
      </c>
      <c r="P20" s="40" t="s">
        <v>347</v>
      </c>
      <c r="Q20" s="40" t="s">
        <v>520</v>
      </c>
      <c r="R20" s="40" t="s">
        <v>449</v>
      </c>
      <c r="S20" s="101">
        <f t="shared" si="0"/>
        <v>1170</v>
      </c>
      <c r="T20" s="54">
        <f>T12</f>
        <v>1300</v>
      </c>
      <c r="U20" s="103">
        <f t="shared" si="2"/>
        <v>1300</v>
      </c>
      <c r="V20" s="104">
        <f t="shared" si="3"/>
        <v>1650</v>
      </c>
      <c r="W20" s="40">
        <v>0</v>
      </c>
      <c r="X20" s="40">
        <v>9</v>
      </c>
      <c r="Y20" s="40">
        <v>25</v>
      </c>
      <c r="Z20" s="40">
        <v>41</v>
      </c>
      <c r="AA20" s="40">
        <v>57</v>
      </c>
      <c r="AB20" s="40">
        <v>73</v>
      </c>
      <c r="AC20" s="40" t="s">
        <v>530</v>
      </c>
    </row>
    <row r="21" spans="1:29" s="40" customFormat="1" ht="18.75" x14ac:dyDescent="0.25">
      <c r="A21" s="133" t="s">
        <v>108</v>
      </c>
      <c r="B21" s="51" t="s">
        <v>338</v>
      </c>
      <c r="C21" s="94" t="s">
        <v>54</v>
      </c>
      <c r="D21" s="95" t="s">
        <v>383</v>
      </c>
      <c r="E21" s="95" t="s">
        <v>127</v>
      </c>
      <c r="F21" s="97" t="s">
        <v>422</v>
      </c>
      <c r="G21" s="98">
        <f t="shared" si="4"/>
        <v>2870</v>
      </c>
      <c r="H21" s="99">
        <f t="shared" si="5"/>
        <v>3020</v>
      </c>
      <c r="I21" s="99">
        <f t="shared" si="6"/>
        <v>3030</v>
      </c>
      <c r="J21" s="99">
        <f t="shared" si="7"/>
        <v>3400</v>
      </c>
      <c r="K21" s="57"/>
      <c r="L21" s="156" t="s">
        <v>384</v>
      </c>
      <c r="M21" s="52" t="s">
        <v>440</v>
      </c>
      <c r="N21" s="40">
        <f t="shared" si="1"/>
        <v>350</v>
      </c>
      <c r="O21" s="53">
        <f>VLOOKUP(B21,DRAYAGE!$A$1:$C$107,3,FALSE)</f>
        <v>1310</v>
      </c>
      <c r="P21" s="40" t="s">
        <v>347</v>
      </c>
      <c r="Q21" s="40" t="s">
        <v>520</v>
      </c>
      <c r="R21" s="40" t="s">
        <v>450</v>
      </c>
      <c r="S21" s="101">
        <f t="shared" si="0"/>
        <v>1170</v>
      </c>
      <c r="T21" s="54">
        <f>T15</f>
        <v>1300</v>
      </c>
      <c r="U21" s="103">
        <f t="shared" si="2"/>
        <v>1300</v>
      </c>
      <c r="V21" s="104">
        <f t="shared" si="3"/>
        <v>1650</v>
      </c>
      <c r="W21" s="40">
        <v>0</v>
      </c>
      <c r="X21" s="40">
        <v>10</v>
      </c>
      <c r="Y21" s="40">
        <v>26</v>
      </c>
      <c r="Z21" s="40">
        <v>42</v>
      </c>
      <c r="AA21" s="40">
        <v>58</v>
      </c>
      <c r="AB21" s="40">
        <v>74</v>
      </c>
      <c r="AC21" s="40" t="s">
        <v>531</v>
      </c>
    </row>
    <row r="22" spans="1:29" s="40" customFormat="1" ht="18.75" x14ac:dyDescent="0.25">
      <c r="A22" s="133" t="s">
        <v>62</v>
      </c>
      <c r="B22" s="51" t="s">
        <v>338</v>
      </c>
      <c r="C22" s="94" t="s">
        <v>54</v>
      </c>
      <c r="D22" s="95" t="s">
        <v>383</v>
      </c>
      <c r="E22" s="95" t="s">
        <v>127</v>
      </c>
      <c r="F22" s="97" t="s">
        <v>422</v>
      </c>
      <c r="G22" s="98">
        <f t="shared" si="4"/>
        <v>2870</v>
      </c>
      <c r="H22" s="99">
        <f t="shared" si="5"/>
        <v>3020</v>
      </c>
      <c r="I22" s="99">
        <f t="shared" si="6"/>
        <v>3030</v>
      </c>
      <c r="J22" s="99">
        <f t="shared" si="7"/>
        <v>3400</v>
      </c>
      <c r="K22" s="57"/>
      <c r="L22" s="156" t="s">
        <v>384</v>
      </c>
      <c r="M22" s="52" t="s">
        <v>440</v>
      </c>
      <c r="N22" s="40">
        <f t="shared" si="1"/>
        <v>350</v>
      </c>
      <c r="O22" s="53">
        <f>VLOOKUP(B22,DRAYAGE!$A$1:$C$107,3,FALSE)</f>
        <v>1310</v>
      </c>
      <c r="P22" s="40" t="s">
        <v>347</v>
      </c>
      <c r="Q22" s="40" t="s">
        <v>520</v>
      </c>
      <c r="R22" s="40" t="s">
        <v>451</v>
      </c>
      <c r="S22" s="101">
        <f t="shared" si="0"/>
        <v>1170</v>
      </c>
      <c r="T22" s="54">
        <f>T15</f>
        <v>1300</v>
      </c>
      <c r="U22" s="103">
        <f t="shared" si="2"/>
        <v>1300</v>
      </c>
      <c r="V22" s="104">
        <f t="shared" si="3"/>
        <v>1650</v>
      </c>
      <c r="W22" s="40">
        <v>0</v>
      </c>
      <c r="X22" s="40">
        <v>11</v>
      </c>
      <c r="Y22" s="40">
        <v>27</v>
      </c>
      <c r="Z22" s="40">
        <v>43</v>
      </c>
      <c r="AA22" s="40">
        <v>59</v>
      </c>
      <c r="AB22" s="40">
        <v>75</v>
      </c>
      <c r="AC22" s="40" t="s">
        <v>532</v>
      </c>
    </row>
    <row r="23" spans="1:29" s="40" customFormat="1" ht="18.75" x14ac:dyDescent="0.25">
      <c r="A23" s="133" t="s">
        <v>66</v>
      </c>
      <c r="B23" s="51" t="s">
        <v>338</v>
      </c>
      <c r="C23" s="94" t="s">
        <v>54</v>
      </c>
      <c r="D23" s="95" t="s">
        <v>383</v>
      </c>
      <c r="E23" s="95" t="s">
        <v>127</v>
      </c>
      <c r="F23" s="97" t="s">
        <v>422</v>
      </c>
      <c r="G23" s="98">
        <f t="shared" si="4"/>
        <v>3050</v>
      </c>
      <c r="H23" s="99">
        <f t="shared" si="5"/>
        <v>3220</v>
      </c>
      <c r="I23" s="99">
        <f t="shared" si="6"/>
        <v>3240</v>
      </c>
      <c r="J23" s="99">
        <f t="shared" si="7"/>
        <v>3650</v>
      </c>
      <c r="K23" s="57"/>
      <c r="L23" s="156" t="s">
        <v>384</v>
      </c>
      <c r="M23" s="52" t="s">
        <v>440</v>
      </c>
      <c r="N23" s="40">
        <f t="shared" si="1"/>
        <v>350</v>
      </c>
      <c r="O23" s="53">
        <f>VLOOKUP(B23,DRAYAGE!$A$1:$C$107,3,FALSE)</f>
        <v>1310</v>
      </c>
      <c r="P23" s="40" t="s">
        <v>347</v>
      </c>
      <c r="Q23" s="40" t="s">
        <v>520</v>
      </c>
      <c r="R23" s="40" t="s">
        <v>452</v>
      </c>
      <c r="S23" s="101">
        <f t="shared" si="0"/>
        <v>1350</v>
      </c>
      <c r="T23" s="54">
        <f>1300+200</f>
        <v>1500</v>
      </c>
      <c r="U23" s="103">
        <f t="shared" si="2"/>
        <v>1500</v>
      </c>
      <c r="V23" s="104">
        <f t="shared" si="3"/>
        <v>1900</v>
      </c>
      <c r="W23" s="40">
        <v>0</v>
      </c>
      <c r="X23" s="40">
        <v>12</v>
      </c>
      <c r="Y23" s="40">
        <v>28</v>
      </c>
      <c r="Z23" s="40">
        <v>44</v>
      </c>
      <c r="AA23" s="40">
        <v>60</v>
      </c>
      <c r="AB23" s="40">
        <v>76</v>
      </c>
      <c r="AC23" s="40" t="s">
        <v>533</v>
      </c>
    </row>
    <row r="24" spans="1:29" s="40" customFormat="1" ht="18.75" x14ac:dyDescent="0.25">
      <c r="A24" s="133" t="s">
        <v>65</v>
      </c>
      <c r="B24" s="51" t="s">
        <v>338</v>
      </c>
      <c r="C24" s="94" t="s">
        <v>54</v>
      </c>
      <c r="D24" s="95" t="s">
        <v>383</v>
      </c>
      <c r="E24" s="95" t="s">
        <v>127</v>
      </c>
      <c r="F24" s="97" t="s">
        <v>422</v>
      </c>
      <c r="G24" s="98">
        <f t="shared" si="4"/>
        <v>3100</v>
      </c>
      <c r="H24" s="99">
        <f t="shared" si="5"/>
        <v>3270</v>
      </c>
      <c r="I24" s="99">
        <f t="shared" si="6"/>
        <v>3290</v>
      </c>
      <c r="J24" s="99">
        <f t="shared" si="7"/>
        <v>3720</v>
      </c>
      <c r="K24" s="57"/>
      <c r="L24" s="156" t="s">
        <v>384</v>
      </c>
      <c r="M24" s="52" t="s">
        <v>440</v>
      </c>
      <c r="N24" s="40">
        <f t="shared" si="1"/>
        <v>350</v>
      </c>
      <c r="O24" s="53">
        <f>VLOOKUP(B24,DRAYAGE!$A$1:$C$107,3,FALSE)</f>
        <v>1310</v>
      </c>
      <c r="P24" s="40" t="s">
        <v>347</v>
      </c>
      <c r="Q24" s="40" t="s">
        <v>520</v>
      </c>
      <c r="R24" s="40" t="s">
        <v>453</v>
      </c>
      <c r="S24" s="101">
        <f t="shared" si="0"/>
        <v>1395</v>
      </c>
      <c r="T24" s="54">
        <f>T19+250</f>
        <v>1550</v>
      </c>
      <c r="U24" s="103">
        <f t="shared" si="2"/>
        <v>1550</v>
      </c>
      <c r="V24" s="104">
        <f t="shared" si="3"/>
        <v>1970</v>
      </c>
      <c r="W24" s="40">
        <v>0</v>
      </c>
      <c r="X24" s="40">
        <v>13</v>
      </c>
      <c r="Y24" s="40">
        <v>29</v>
      </c>
      <c r="Z24" s="40">
        <v>45</v>
      </c>
      <c r="AA24" s="40">
        <v>61</v>
      </c>
      <c r="AB24" s="40">
        <v>77</v>
      </c>
      <c r="AC24" s="40" t="s">
        <v>534</v>
      </c>
    </row>
    <row r="25" spans="1:29" s="40" customFormat="1" ht="18.75" x14ac:dyDescent="0.25">
      <c r="A25" s="133" t="s">
        <v>63</v>
      </c>
      <c r="B25" s="51" t="s">
        <v>338</v>
      </c>
      <c r="C25" s="94" t="s">
        <v>54</v>
      </c>
      <c r="D25" s="95" t="s">
        <v>383</v>
      </c>
      <c r="E25" s="95" t="s">
        <v>127</v>
      </c>
      <c r="F25" s="97" t="s">
        <v>422</v>
      </c>
      <c r="G25" s="98">
        <f t="shared" si="4"/>
        <v>2970</v>
      </c>
      <c r="H25" s="99">
        <f t="shared" si="5"/>
        <v>3120</v>
      </c>
      <c r="I25" s="99">
        <f t="shared" si="6"/>
        <v>3140</v>
      </c>
      <c r="J25" s="99">
        <f t="shared" si="7"/>
        <v>3540</v>
      </c>
      <c r="K25" s="57"/>
      <c r="L25" s="156" t="s">
        <v>384</v>
      </c>
      <c r="M25" s="52" t="s">
        <v>440</v>
      </c>
      <c r="N25" s="40">
        <f t="shared" si="1"/>
        <v>350</v>
      </c>
      <c r="O25" s="53">
        <f>VLOOKUP(B25,DRAYAGE!$A$1:$C$107,3,FALSE)</f>
        <v>1310</v>
      </c>
      <c r="P25" s="40" t="s">
        <v>347</v>
      </c>
      <c r="Q25" s="40" t="s">
        <v>520</v>
      </c>
      <c r="R25" s="40" t="s">
        <v>454</v>
      </c>
      <c r="S25" s="101">
        <f t="shared" si="0"/>
        <v>1260</v>
      </c>
      <c r="T25" s="54">
        <f>T19+100</f>
        <v>1400</v>
      </c>
      <c r="U25" s="103">
        <f t="shared" si="2"/>
        <v>1400</v>
      </c>
      <c r="V25" s="104">
        <f t="shared" si="3"/>
        <v>1780</v>
      </c>
      <c r="W25" s="40">
        <v>0</v>
      </c>
      <c r="X25" s="40">
        <v>14</v>
      </c>
      <c r="Y25" s="40">
        <v>30</v>
      </c>
      <c r="Z25" s="40">
        <v>46</v>
      </c>
      <c r="AA25" s="40">
        <v>62</v>
      </c>
      <c r="AB25" s="40">
        <v>78</v>
      </c>
      <c r="AC25" s="40" t="s">
        <v>535</v>
      </c>
    </row>
    <row r="26" spans="1:29" s="45" customFormat="1" ht="18.75" x14ac:dyDescent="0.25">
      <c r="A26" s="133" t="s">
        <v>275</v>
      </c>
      <c r="B26" s="51" t="s">
        <v>338</v>
      </c>
      <c r="C26" s="106" t="s">
        <v>54</v>
      </c>
      <c r="D26" s="95" t="s">
        <v>383</v>
      </c>
      <c r="E26" s="95" t="s">
        <v>127</v>
      </c>
      <c r="F26" s="97" t="s">
        <v>422</v>
      </c>
      <c r="G26" s="98">
        <f t="shared" si="4"/>
        <v>3060</v>
      </c>
      <c r="H26" s="99">
        <f t="shared" si="5"/>
        <v>3230</v>
      </c>
      <c r="I26" s="99">
        <f t="shared" si="6"/>
        <v>3240</v>
      </c>
      <c r="J26" s="99">
        <f t="shared" si="7"/>
        <v>3660</v>
      </c>
      <c r="K26" s="111"/>
      <c r="L26" s="156" t="s">
        <v>384</v>
      </c>
      <c r="M26" s="52" t="s">
        <v>440</v>
      </c>
      <c r="N26" s="40">
        <f t="shared" si="1"/>
        <v>350</v>
      </c>
      <c r="O26" s="53">
        <f>VLOOKUP(B26,DRAYAGE!$A$1:$C$107,3,FALSE)</f>
        <v>1310</v>
      </c>
      <c r="P26" s="40" t="s">
        <v>347</v>
      </c>
      <c r="Q26" s="40" t="s">
        <v>520</v>
      </c>
      <c r="R26" s="40" t="s">
        <v>455</v>
      </c>
      <c r="S26" s="113">
        <f t="shared" si="0"/>
        <v>1350</v>
      </c>
      <c r="T26" s="54">
        <f>T19+200</f>
        <v>1500</v>
      </c>
      <c r="U26" s="103">
        <f t="shared" si="2"/>
        <v>1500</v>
      </c>
      <c r="V26" s="104">
        <f t="shared" si="3"/>
        <v>1900</v>
      </c>
      <c r="W26" s="45">
        <v>0</v>
      </c>
      <c r="X26" s="45">
        <v>15</v>
      </c>
      <c r="Y26" s="40">
        <v>31</v>
      </c>
      <c r="Z26" s="45">
        <v>47</v>
      </c>
      <c r="AA26" s="40">
        <v>63</v>
      </c>
      <c r="AB26" s="40">
        <v>79</v>
      </c>
      <c r="AC26" s="45" t="s">
        <v>537</v>
      </c>
    </row>
    <row r="27" spans="1:29" s="45" customFormat="1" ht="18.75" x14ac:dyDescent="0.25">
      <c r="A27" s="133" t="s">
        <v>437</v>
      </c>
      <c r="B27" s="51" t="s">
        <v>338</v>
      </c>
      <c r="C27" s="106" t="s">
        <v>54</v>
      </c>
      <c r="D27" s="95" t="s">
        <v>383</v>
      </c>
      <c r="E27" s="95" t="s">
        <v>127</v>
      </c>
      <c r="F27" s="97" t="s">
        <v>422</v>
      </c>
      <c r="G27" s="98">
        <f t="shared" si="4"/>
        <v>3060</v>
      </c>
      <c r="H27" s="99">
        <f t="shared" si="5"/>
        <v>3230</v>
      </c>
      <c r="I27" s="99">
        <f t="shared" si="6"/>
        <v>3240</v>
      </c>
      <c r="J27" s="99">
        <f t="shared" si="7"/>
        <v>3660</v>
      </c>
      <c r="K27" s="111"/>
      <c r="L27" s="156" t="s">
        <v>384</v>
      </c>
      <c r="M27" s="52" t="s">
        <v>440</v>
      </c>
      <c r="N27" s="40">
        <v>350</v>
      </c>
      <c r="O27" s="53">
        <v>1310</v>
      </c>
      <c r="P27" s="40" t="s">
        <v>347</v>
      </c>
      <c r="Q27" s="40" t="s">
        <v>520</v>
      </c>
      <c r="R27" s="40" t="s">
        <v>456</v>
      </c>
      <c r="S27" s="113">
        <f t="shared" si="0"/>
        <v>1350</v>
      </c>
      <c r="T27" s="54">
        <f>1300+100+100</f>
        <v>1500</v>
      </c>
      <c r="U27" s="103">
        <f t="shared" si="2"/>
        <v>1500</v>
      </c>
      <c r="V27" s="104">
        <f t="shared" si="3"/>
        <v>1900</v>
      </c>
      <c r="W27" s="45">
        <v>0</v>
      </c>
      <c r="X27" s="40">
        <v>16</v>
      </c>
      <c r="Y27" s="40">
        <v>32</v>
      </c>
      <c r="Z27" s="40">
        <v>48</v>
      </c>
      <c r="AA27" s="40">
        <v>64</v>
      </c>
      <c r="AB27" s="45">
        <v>80</v>
      </c>
      <c r="AC27" s="45" t="s">
        <v>536</v>
      </c>
    </row>
    <row r="28" spans="1:29" s="40" customFormat="1" ht="14.45" customHeight="1" x14ac:dyDescent="0.25">
      <c r="A28" s="134" t="s">
        <v>333</v>
      </c>
      <c r="B28" s="88"/>
      <c r="C28" s="88"/>
      <c r="D28" s="88"/>
      <c r="E28" s="210"/>
      <c r="F28" s="211"/>
      <c r="G28" s="88"/>
      <c r="H28" s="88"/>
      <c r="I28" s="88"/>
      <c r="J28" s="88"/>
      <c r="K28" s="57"/>
      <c r="L28" s="89" t="s">
        <v>48</v>
      </c>
      <c r="M28" s="89" t="s">
        <v>261</v>
      </c>
      <c r="N28" s="90" t="s">
        <v>51</v>
      </c>
      <c r="O28" s="91" t="s">
        <v>50</v>
      </c>
      <c r="P28" s="91" t="s">
        <v>262</v>
      </c>
      <c r="Q28" s="91" t="s">
        <v>263</v>
      </c>
      <c r="R28" s="91" t="s">
        <v>264</v>
      </c>
      <c r="S28" s="92" t="s">
        <v>52</v>
      </c>
      <c r="T28" s="92" t="s">
        <v>53</v>
      </c>
      <c r="U28" s="92" t="s">
        <v>265</v>
      </c>
      <c r="V28" s="92" t="s">
        <v>266</v>
      </c>
      <c r="W28" s="92" t="s">
        <v>267</v>
      </c>
      <c r="X28" s="92" t="s">
        <v>268</v>
      </c>
      <c r="Y28" s="92" t="s">
        <v>52</v>
      </c>
      <c r="Z28" s="92" t="s">
        <v>53</v>
      </c>
      <c r="AA28" s="92" t="s">
        <v>265</v>
      </c>
      <c r="AB28" s="92" t="s">
        <v>266</v>
      </c>
      <c r="AC28" s="93" t="s">
        <v>269</v>
      </c>
    </row>
    <row r="29" spans="1:29" s="40" customFormat="1" ht="14.45" customHeight="1" x14ac:dyDescent="0.25">
      <c r="A29" s="133" t="s">
        <v>58</v>
      </c>
      <c r="B29" s="51" t="s">
        <v>339</v>
      </c>
      <c r="C29" s="94" t="s">
        <v>54</v>
      </c>
      <c r="D29" s="95" t="s">
        <v>383</v>
      </c>
      <c r="E29" s="96" t="s">
        <v>114</v>
      </c>
      <c r="F29" s="97" t="s">
        <v>270</v>
      </c>
      <c r="G29" s="98">
        <f>CEILING(S29+W29+X29+O29+N29+Y29,10)</f>
        <v>5460</v>
      </c>
      <c r="H29" s="99">
        <f>CEILING(T29+W29+X29+O29+N29+Z29,10)</f>
        <v>5770</v>
      </c>
      <c r="I29" s="99">
        <f>CEILING(U29+W29+X29+O29+N29+AA29,10)</f>
        <v>5770</v>
      </c>
      <c r="J29" s="99">
        <f>CEILING(V29+W29+X29+O29+N29+AB29,10)</f>
        <v>6590</v>
      </c>
      <c r="K29" s="57"/>
      <c r="L29" s="156" t="s">
        <v>384</v>
      </c>
      <c r="M29" s="52" t="s">
        <v>293</v>
      </c>
      <c r="N29" s="40">
        <v>0</v>
      </c>
      <c r="O29" s="53">
        <f>VLOOKUP(B29,DRAYAGE!$A$1:$C$107,3,FALSE)</f>
        <v>2665</v>
      </c>
      <c r="P29" s="40" t="s">
        <v>299</v>
      </c>
      <c r="Q29" s="40" t="s">
        <v>442</v>
      </c>
      <c r="S29" s="101">
        <f>0.9*T29</f>
        <v>2790</v>
      </c>
      <c r="T29" s="54">
        <f>2600+300+200</f>
        <v>3100</v>
      </c>
      <c r="U29" s="103">
        <f t="shared" si="2"/>
        <v>3100</v>
      </c>
      <c r="V29" s="104">
        <f>U29*1.266</f>
        <v>3924.6</v>
      </c>
    </row>
    <row r="30" spans="1:29" s="40" customFormat="1" ht="14.45" customHeight="1" x14ac:dyDescent="0.25">
      <c r="A30" s="133" t="s">
        <v>55</v>
      </c>
      <c r="B30" s="51" t="s">
        <v>339</v>
      </c>
      <c r="C30" s="94" t="s">
        <v>54</v>
      </c>
      <c r="D30" s="95" t="s">
        <v>383</v>
      </c>
      <c r="E30" s="96" t="s">
        <v>114</v>
      </c>
      <c r="F30" s="97" t="s">
        <v>270</v>
      </c>
      <c r="G30" s="98">
        <f>CEILING(S30+W30+X30+O30+N30+Y30,10)</f>
        <v>5190</v>
      </c>
      <c r="H30" s="99">
        <f>CEILING(T30+W30+X30+O30+N30+Z30,10)</f>
        <v>5470</v>
      </c>
      <c r="I30" s="99">
        <f>CEILING(U30+W30+X30+O30+N30+AA30,10)</f>
        <v>5470</v>
      </c>
      <c r="J30" s="99">
        <f>CEILING(V30+W30+X30+O30+N30+AB30,10)</f>
        <v>6210</v>
      </c>
      <c r="K30" s="57"/>
      <c r="L30" s="156" t="s">
        <v>384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Q30" s="40" t="s">
        <v>443</v>
      </c>
      <c r="S30" s="101">
        <f>0.9*T30</f>
        <v>2520</v>
      </c>
      <c r="T30" s="54">
        <f>2600+200</f>
        <v>2800</v>
      </c>
      <c r="U30" s="103">
        <f t="shared" si="2"/>
        <v>2800</v>
      </c>
      <c r="V30" s="104">
        <f>U30*1.266</f>
        <v>3544.8</v>
      </c>
    </row>
    <row r="31" spans="1:29" s="40" customFormat="1" ht="14.45" customHeight="1" x14ac:dyDescent="0.25">
      <c r="A31" s="133" t="s">
        <v>61</v>
      </c>
      <c r="B31" s="51" t="s">
        <v>339</v>
      </c>
      <c r="C31" s="94" t="s">
        <v>54</v>
      </c>
      <c r="D31" s="95" t="s">
        <v>383</v>
      </c>
      <c r="E31" s="96" t="s">
        <v>114</v>
      </c>
      <c r="F31" s="97" t="s">
        <v>270</v>
      </c>
      <c r="G31" s="98">
        <f>CEILING(S31+W31+X31+O31+N31+Y31,10)</f>
        <v>5190</v>
      </c>
      <c r="H31" s="99">
        <f>CEILING(T31+W31+X31+O31+N31+Z31,10)</f>
        <v>5470</v>
      </c>
      <c r="I31" s="99">
        <f>CEILING(U31+W31+X31+O31+N31+AA31,10)</f>
        <v>5470</v>
      </c>
      <c r="J31" s="99">
        <f>CEILING(V31+W31+X31+O31+N31+AB31,10)</f>
        <v>6210</v>
      </c>
      <c r="K31" s="57"/>
      <c r="L31" s="156" t="s">
        <v>384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Q31" s="40" t="s">
        <v>444</v>
      </c>
      <c r="S31" s="101">
        <f>0.9*T31</f>
        <v>2520</v>
      </c>
      <c r="T31" s="54">
        <f>T30</f>
        <v>2800</v>
      </c>
      <c r="U31" s="103">
        <f t="shared" si="2"/>
        <v>2800</v>
      </c>
      <c r="V31" s="104">
        <f>U31*1.266</f>
        <v>3544.8</v>
      </c>
    </row>
    <row r="32" spans="1:29" s="40" customFormat="1" ht="14.45" customHeight="1" x14ac:dyDescent="0.25">
      <c r="A32" s="134" t="s">
        <v>334</v>
      </c>
      <c r="B32" s="88"/>
      <c r="C32" s="88"/>
      <c r="D32" s="88"/>
      <c r="E32" s="210"/>
      <c r="F32" s="211"/>
      <c r="G32" s="88"/>
      <c r="H32" s="88"/>
      <c r="I32" s="88"/>
      <c r="J32" s="88"/>
      <c r="K32" s="57"/>
      <c r="L32" s="89" t="s">
        <v>48</v>
      </c>
      <c r="M32" s="89" t="s">
        <v>261</v>
      </c>
      <c r="N32" s="90" t="s">
        <v>51</v>
      </c>
      <c r="O32" s="91" t="s">
        <v>50</v>
      </c>
      <c r="P32" s="91" t="s">
        <v>262</v>
      </c>
      <c r="Q32" s="91" t="s">
        <v>263</v>
      </c>
      <c r="R32" s="91" t="s">
        <v>264</v>
      </c>
      <c r="S32" s="92" t="s">
        <v>52</v>
      </c>
      <c r="T32" s="92" t="s">
        <v>53</v>
      </c>
      <c r="U32" s="92" t="s">
        <v>265</v>
      </c>
      <c r="V32" s="92" t="s">
        <v>266</v>
      </c>
      <c r="W32" s="92" t="s">
        <v>267</v>
      </c>
      <c r="X32" s="92" t="s">
        <v>268</v>
      </c>
      <c r="Y32" s="92" t="s">
        <v>52</v>
      </c>
      <c r="Z32" s="92" t="s">
        <v>53</v>
      </c>
      <c r="AA32" s="92" t="s">
        <v>265</v>
      </c>
      <c r="AB32" s="92" t="s">
        <v>266</v>
      </c>
      <c r="AC32" s="93" t="s">
        <v>269</v>
      </c>
    </row>
    <row r="33" spans="1:29" s="40" customFormat="1" ht="14.45" customHeight="1" x14ac:dyDescent="0.25">
      <c r="A33" s="133" t="s">
        <v>58</v>
      </c>
      <c r="B33" s="51" t="s">
        <v>341</v>
      </c>
      <c r="C33" s="94" t="s">
        <v>54</v>
      </c>
      <c r="D33" s="95" t="s">
        <v>383</v>
      </c>
      <c r="E33" s="96" t="s">
        <v>114</v>
      </c>
      <c r="F33" s="97" t="s">
        <v>270</v>
      </c>
      <c r="G33" s="98">
        <f>CEILING(S33+W33+X33+O33+N33+Y33,10)</f>
        <v>4480</v>
      </c>
      <c r="H33" s="99">
        <f>CEILING(T33+W33+X33+O33+N33+Z33,10)</f>
        <v>4790</v>
      </c>
      <c r="I33" s="99">
        <f>CEILING(U33+W33+X33+O33+N33+AA33,10)</f>
        <v>4790</v>
      </c>
      <c r="J33" s="99">
        <f>CEILING(V33+W33+X33+O33+N33+AB33,10)</f>
        <v>5620</v>
      </c>
      <c r="K33" s="57"/>
      <c r="L33" s="156" t="s">
        <v>384</v>
      </c>
      <c r="M33" s="52" t="s">
        <v>293</v>
      </c>
      <c r="N33" s="40">
        <v>0</v>
      </c>
      <c r="O33" s="53">
        <f>VLOOKUP(B33,DRAYAGE!$A$1:$C$107,3,FALSE)</f>
        <v>1690</v>
      </c>
      <c r="P33" s="40" t="s">
        <v>299</v>
      </c>
      <c r="Q33" s="40" t="s">
        <v>457</v>
      </c>
      <c r="S33" s="101">
        <f>0.9*T33</f>
        <v>2790</v>
      </c>
      <c r="T33" s="54">
        <f>T29</f>
        <v>3100</v>
      </c>
      <c r="U33" s="103">
        <f t="shared" si="2"/>
        <v>3100</v>
      </c>
      <c r="V33" s="104">
        <f>U33*1.266</f>
        <v>3924.6</v>
      </c>
      <c r="X33" s="40">
        <v>0</v>
      </c>
    </row>
    <row r="34" spans="1:29" s="40" customFormat="1" ht="14.45" customHeight="1" x14ac:dyDescent="0.25">
      <c r="A34" s="133" t="s">
        <v>55</v>
      </c>
      <c r="B34" s="51" t="s">
        <v>341</v>
      </c>
      <c r="C34" s="94" t="s">
        <v>54</v>
      </c>
      <c r="D34" s="95" t="s">
        <v>383</v>
      </c>
      <c r="E34" s="96" t="s">
        <v>114</v>
      </c>
      <c r="F34" s="97" t="s">
        <v>270</v>
      </c>
      <c r="G34" s="98">
        <f>CEILING(S34+W34+X34+O34+N34+Y34,10)</f>
        <v>4210</v>
      </c>
      <c r="H34" s="99">
        <f>CEILING(T34+W34+X34+O34+N34+Z34,10)</f>
        <v>4490</v>
      </c>
      <c r="I34" s="99">
        <f>CEILING(U34+W34+X34+O34+N34+AA34,10)</f>
        <v>4490</v>
      </c>
      <c r="J34" s="99">
        <f>CEILING(V34+W34+X34+O34+N34+AB34,10)</f>
        <v>5240</v>
      </c>
      <c r="K34" s="57"/>
      <c r="L34" s="156" t="s">
        <v>384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Q34" s="40" t="s">
        <v>458</v>
      </c>
      <c r="S34" s="101">
        <f>0.9*T34</f>
        <v>2520</v>
      </c>
      <c r="T34" s="54">
        <f>T30</f>
        <v>2800</v>
      </c>
      <c r="U34" s="103">
        <f t="shared" si="2"/>
        <v>2800</v>
      </c>
      <c r="V34" s="104">
        <f>U34*1.266</f>
        <v>3544.8</v>
      </c>
      <c r="X34" s="40">
        <v>0</v>
      </c>
    </row>
    <row r="35" spans="1:29" s="40" customFormat="1" ht="14.45" customHeight="1" x14ac:dyDescent="0.25">
      <c r="A35" s="133" t="s">
        <v>61</v>
      </c>
      <c r="B35" s="51" t="s">
        <v>341</v>
      </c>
      <c r="C35" s="94" t="s">
        <v>54</v>
      </c>
      <c r="D35" s="95" t="s">
        <v>383</v>
      </c>
      <c r="E35" s="96" t="s">
        <v>114</v>
      </c>
      <c r="F35" s="97" t="s">
        <v>270</v>
      </c>
      <c r="G35" s="98">
        <f>CEILING(S35+W35+X35+O35+N35+Y35,10)</f>
        <v>4210</v>
      </c>
      <c r="H35" s="99">
        <f>CEILING(T35+W35+X35+O35+N35+Z35,10)</f>
        <v>4490</v>
      </c>
      <c r="I35" s="99">
        <f>CEILING(U35+W35+X35+O35+N35+AA35,10)</f>
        <v>4490</v>
      </c>
      <c r="J35" s="99">
        <f>CEILING(V35+W35+X35+O35+N35+AB35,10)</f>
        <v>5240</v>
      </c>
      <c r="K35" s="57"/>
      <c r="L35" s="156" t="s">
        <v>384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Q35" s="40" t="s">
        <v>459</v>
      </c>
      <c r="S35" s="101">
        <f>0.9*T35</f>
        <v>2520</v>
      </c>
      <c r="T35" s="54">
        <f>T31</f>
        <v>2800</v>
      </c>
      <c r="U35" s="103">
        <f t="shared" si="2"/>
        <v>2800</v>
      </c>
      <c r="V35" s="104">
        <f>U35*1.266</f>
        <v>3544.8</v>
      </c>
      <c r="X35" s="40">
        <v>0</v>
      </c>
    </row>
    <row r="36" spans="1:29" s="40" customFormat="1" ht="14.45" customHeight="1" x14ac:dyDescent="0.25">
      <c r="A36" s="134" t="s">
        <v>335</v>
      </c>
      <c r="B36" s="179" t="s">
        <v>488</v>
      </c>
      <c r="C36" s="88"/>
      <c r="D36" s="88"/>
      <c r="E36" s="210"/>
      <c r="F36" s="211"/>
      <c r="G36" s="88"/>
      <c r="H36" s="88"/>
      <c r="I36" s="88"/>
      <c r="J36" s="88"/>
      <c r="K36" s="57"/>
      <c r="L36" s="89" t="s">
        <v>48</v>
      </c>
      <c r="M36" s="89" t="s">
        <v>261</v>
      </c>
      <c r="N36" s="90" t="s">
        <v>51</v>
      </c>
      <c r="O36" s="91" t="s">
        <v>50</v>
      </c>
      <c r="P36" s="91" t="s">
        <v>262</v>
      </c>
      <c r="Q36" s="91" t="s">
        <v>263</v>
      </c>
      <c r="R36" s="91" t="s">
        <v>264</v>
      </c>
      <c r="S36" s="92" t="s">
        <v>52</v>
      </c>
      <c r="T36" s="92" t="s">
        <v>53</v>
      </c>
      <c r="U36" s="92" t="s">
        <v>265</v>
      </c>
      <c r="V36" s="92" t="s">
        <v>266</v>
      </c>
      <c r="W36" s="92" t="s">
        <v>267</v>
      </c>
      <c r="X36" s="92" t="s">
        <v>268</v>
      </c>
      <c r="Y36" s="92" t="s">
        <v>52</v>
      </c>
      <c r="Z36" s="92" t="s">
        <v>53</v>
      </c>
      <c r="AA36" s="92" t="s">
        <v>265</v>
      </c>
      <c r="AB36" s="92" t="s">
        <v>266</v>
      </c>
      <c r="AC36" s="93" t="s">
        <v>269</v>
      </c>
    </row>
    <row r="37" spans="1:29" s="40" customFormat="1" ht="18.75" x14ac:dyDescent="0.25">
      <c r="A37" s="133" t="s">
        <v>81</v>
      </c>
      <c r="B37" s="51" t="s">
        <v>340</v>
      </c>
      <c r="C37" s="94" t="s">
        <v>54</v>
      </c>
      <c r="D37" s="95" t="s">
        <v>383</v>
      </c>
      <c r="E37" s="96" t="s">
        <v>114</v>
      </c>
      <c r="F37" s="97" t="s">
        <v>270</v>
      </c>
      <c r="G37" s="98">
        <f t="shared" ref="G37:G43" si="8">CEILING(S37+W37+X37+O37+N37+Y37,10)</f>
        <v>4240</v>
      </c>
      <c r="H37" s="99">
        <f t="shared" ref="H37:H43" si="9">CEILING(T37+W37+X37+O37+N37+Z37,10)</f>
        <v>4510</v>
      </c>
      <c r="I37" s="99">
        <f t="shared" ref="I37:I43" si="10">CEILING(U37+W37+X37+O37+N37+AA37,10)</f>
        <v>4510</v>
      </c>
      <c r="J37" s="99">
        <f t="shared" ref="J37:J43" si="11">CEILING(V37+W37+X37+O37+N37+AB37,10)</f>
        <v>5230</v>
      </c>
      <c r="K37" s="57"/>
      <c r="L37" s="156" t="s">
        <v>384</v>
      </c>
      <c r="M37" s="52" t="s">
        <v>294</v>
      </c>
      <c r="N37" s="40">
        <v>0</v>
      </c>
      <c r="O37" s="53">
        <f>VLOOKUP(B37,DRAYAGE!$A$1:$C$107,3,FALSE)</f>
        <v>1805</v>
      </c>
      <c r="P37" s="40" t="s">
        <v>300</v>
      </c>
      <c r="Q37" s="40" t="s">
        <v>441</v>
      </c>
      <c r="S37" s="101">
        <f t="shared" ref="S37:S43" si="12">0.9*T37</f>
        <v>2430</v>
      </c>
      <c r="T37" s="54">
        <f>2500+200</f>
        <v>2700</v>
      </c>
      <c r="U37" s="103">
        <f t="shared" si="2"/>
        <v>2700</v>
      </c>
      <c r="V37" s="104">
        <f t="shared" ref="V37:V43" si="13">U37*1.266</f>
        <v>3418.2</v>
      </c>
      <c r="X37" s="40">
        <v>0</v>
      </c>
    </row>
    <row r="38" spans="1:29" s="40" customFormat="1" ht="27" customHeight="1" x14ac:dyDescent="0.25">
      <c r="A38" s="133" t="s">
        <v>55</v>
      </c>
      <c r="B38" s="51" t="s">
        <v>340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 t="shared" si="8"/>
        <v>4240</v>
      </c>
      <c r="H38" s="99">
        <f t="shared" si="9"/>
        <v>4510</v>
      </c>
      <c r="I38" s="99">
        <f t="shared" si="10"/>
        <v>4510</v>
      </c>
      <c r="J38" s="99">
        <f t="shared" si="11"/>
        <v>5230</v>
      </c>
      <c r="K38" s="57"/>
      <c r="L38" s="156" t="s">
        <v>384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Q38" s="40" t="s">
        <v>441</v>
      </c>
      <c r="S38" s="101">
        <f t="shared" si="12"/>
        <v>2430</v>
      </c>
      <c r="T38" s="54">
        <f>T37</f>
        <v>2700</v>
      </c>
      <c r="U38" s="103">
        <f t="shared" si="2"/>
        <v>2700</v>
      </c>
      <c r="V38" s="104">
        <f t="shared" si="13"/>
        <v>3418.2</v>
      </c>
      <c r="X38" s="40">
        <v>0</v>
      </c>
    </row>
    <row r="39" spans="1:29" s="40" customFormat="1" ht="14.45" customHeight="1" x14ac:dyDescent="0.25">
      <c r="A39" s="133" t="s">
        <v>59</v>
      </c>
      <c r="B39" s="51" t="s">
        <v>340</v>
      </c>
      <c r="C39" s="94" t="s">
        <v>54</v>
      </c>
      <c r="D39" s="95" t="s">
        <v>383</v>
      </c>
      <c r="E39" s="96" t="s">
        <v>114</v>
      </c>
      <c r="F39" s="97" t="s">
        <v>270</v>
      </c>
      <c r="G39" s="98">
        <f t="shared" si="8"/>
        <v>4240</v>
      </c>
      <c r="H39" s="99">
        <f t="shared" si="9"/>
        <v>4510</v>
      </c>
      <c r="I39" s="99">
        <f t="shared" si="10"/>
        <v>4510</v>
      </c>
      <c r="J39" s="99">
        <f t="shared" si="11"/>
        <v>5230</v>
      </c>
      <c r="K39" s="57"/>
      <c r="L39" s="156" t="s">
        <v>384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Q39" s="40" t="s">
        <v>441</v>
      </c>
      <c r="S39" s="101">
        <f t="shared" si="12"/>
        <v>2430</v>
      </c>
      <c r="T39" s="54">
        <f>T37</f>
        <v>2700</v>
      </c>
      <c r="U39" s="103">
        <f t="shared" si="2"/>
        <v>2700</v>
      </c>
      <c r="V39" s="104">
        <f t="shared" si="13"/>
        <v>3418.2</v>
      </c>
      <c r="X39" s="40">
        <v>0</v>
      </c>
    </row>
    <row r="40" spans="1:29" s="40" customFormat="1" ht="18.75" x14ac:dyDescent="0.25">
      <c r="A40" s="133" t="s">
        <v>60</v>
      </c>
      <c r="B40" s="51" t="s">
        <v>340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 t="shared" si="8"/>
        <v>4240</v>
      </c>
      <c r="H40" s="99">
        <f t="shared" si="9"/>
        <v>4510</v>
      </c>
      <c r="I40" s="99">
        <f t="shared" si="10"/>
        <v>4510</v>
      </c>
      <c r="J40" s="99">
        <f t="shared" si="11"/>
        <v>5230</v>
      </c>
      <c r="K40" s="57"/>
      <c r="L40" s="156" t="s">
        <v>384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Q40" s="40" t="s">
        <v>441</v>
      </c>
      <c r="S40" s="101">
        <f t="shared" si="12"/>
        <v>2430</v>
      </c>
      <c r="T40" s="54">
        <f>T39</f>
        <v>2700</v>
      </c>
      <c r="U40" s="103">
        <f t="shared" si="2"/>
        <v>2700</v>
      </c>
      <c r="V40" s="104">
        <f t="shared" si="13"/>
        <v>3418.2</v>
      </c>
      <c r="X40" s="40">
        <v>0</v>
      </c>
    </row>
    <row r="41" spans="1:29" s="45" customFormat="1" ht="14.45" customHeight="1" x14ac:dyDescent="0.25">
      <c r="A41" s="133" t="s">
        <v>61</v>
      </c>
      <c r="B41" s="51" t="s">
        <v>340</v>
      </c>
      <c r="C41" s="106" t="s">
        <v>54</v>
      </c>
      <c r="D41" s="95" t="s">
        <v>383</v>
      </c>
      <c r="E41" s="107" t="s">
        <v>114</v>
      </c>
      <c r="F41" s="108" t="s">
        <v>270</v>
      </c>
      <c r="G41" s="109">
        <f t="shared" si="8"/>
        <v>4240</v>
      </c>
      <c r="H41" s="110">
        <f t="shared" si="9"/>
        <v>4510</v>
      </c>
      <c r="I41" s="110">
        <f t="shared" si="10"/>
        <v>4510</v>
      </c>
      <c r="J41" s="110">
        <f t="shared" si="11"/>
        <v>5230</v>
      </c>
      <c r="K41" s="111"/>
      <c r="L41" s="156" t="s">
        <v>384</v>
      </c>
      <c r="M41" s="52" t="s">
        <v>294</v>
      </c>
      <c r="N41" s="45">
        <v>0</v>
      </c>
      <c r="O41" s="53">
        <f>VLOOKUP(B41,DRAYAGE!$A$1:$C$107,3,FALSE)</f>
        <v>1805</v>
      </c>
      <c r="P41" s="40" t="s">
        <v>300</v>
      </c>
      <c r="Q41" s="40" t="s">
        <v>441</v>
      </c>
      <c r="R41" s="40"/>
      <c r="S41" s="113">
        <f t="shared" si="12"/>
        <v>2430</v>
      </c>
      <c r="T41" s="54">
        <f>T37</f>
        <v>2700</v>
      </c>
      <c r="U41" s="103">
        <f t="shared" si="2"/>
        <v>2700</v>
      </c>
      <c r="V41" s="114">
        <f t="shared" si="13"/>
        <v>3418.2</v>
      </c>
      <c r="X41" s="45">
        <v>0</v>
      </c>
      <c r="Y41" s="40"/>
      <c r="Z41" s="40"/>
      <c r="AA41" s="40"/>
      <c r="AB41" s="40"/>
    </row>
    <row r="42" spans="1:29" s="40" customFormat="1" ht="18.75" x14ac:dyDescent="0.25">
      <c r="A42" s="133" t="s">
        <v>273</v>
      </c>
      <c r="B42" s="51" t="s">
        <v>340</v>
      </c>
      <c r="C42" s="94" t="s">
        <v>54</v>
      </c>
      <c r="D42" s="95" t="s">
        <v>383</v>
      </c>
      <c r="E42" s="96" t="s">
        <v>114</v>
      </c>
      <c r="F42" s="97" t="s">
        <v>270</v>
      </c>
      <c r="G42" s="98">
        <f t="shared" si="8"/>
        <v>4240</v>
      </c>
      <c r="H42" s="99">
        <f t="shared" si="9"/>
        <v>4510</v>
      </c>
      <c r="I42" s="99">
        <f t="shared" si="10"/>
        <v>4510</v>
      </c>
      <c r="J42" s="99">
        <f t="shared" si="11"/>
        <v>5230</v>
      </c>
      <c r="K42" s="57"/>
      <c r="L42" s="156" t="s">
        <v>384</v>
      </c>
      <c r="M42" s="52" t="s">
        <v>294</v>
      </c>
      <c r="N42" s="40">
        <v>0</v>
      </c>
      <c r="O42" s="53">
        <f>VLOOKUP(B42,DRAYAGE!$A$1:$C$107,3,FALSE)</f>
        <v>1805</v>
      </c>
      <c r="P42" s="40" t="s">
        <v>300</v>
      </c>
      <c r="Q42" s="40" t="s">
        <v>441</v>
      </c>
      <c r="S42" s="101">
        <f t="shared" si="12"/>
        <v>2430</v>
      </c>
      <c r="T42" s="54">
        <f>2500+200</f>
        <v>2700</v>
      </c>
      <c r="U42" s="103">
        <f t="shared" si="2"/>
        <v>2700</v>
      </c>
      <c r="V42" s="104">
        <f t="shared" si="13"/>
        <v>3418.2</v>
      </c>
      <c r="X42" s="40">
        <v>0</v>
      </c>
    </row>
    <row r="43" spans="1:29" s="40" customFormat="1" ht="14.45" customHeight="1" x14ac:dyDescent="0.25">
      <c r="A43" s="133" t="s">
        <v>58</v>
      </c>
      <c r="B43" s="51" t="s">
        <v>340</v>
      </c>
      <c r="C43" s="94" t="s">
        <v>54</v>
      </c>
      <c r="D43" s="95" t="s">
        <v>383</v>
      </c>
      <c r="E43" s="96" t="s">
        <v>114</v>
      </c>
      <c r="F43" s="97" t="s">
        <v>270</v>
      </c>
      <c r="G43" s="98">
        <f t="shared" si="8"/>
        <v>4910</v>
      </c>
      <c r="H43" s="99">
        <f t="shared" si="9"/>
        <v>5260</v>
      </c>
      <c r="I43" s="99">
        <f t="shared" si="10"/>
        <v>5260</v>
      </c>
      <c r="J43" s="99">
        <f t="shared" si="11"/>
        <v>6180</v>
      </c>
      <c r="K43" s="57"/>
      <c r="L43" s="156" t="s">
        <v>384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Q43" s="40" t="s">
        <v>441</v>
      </c>
      <c r="S43" s="101">
        <f t="shared" si="12"/>
        <v>3105</v>
      </c>
      <c r="T43" s="54">
        <f>2400+850+200</f>
        <v>3450</v>
      </c>
      <c r="U43" s="103">
        <f t="shared" si="2"/>
        <v>3450</v>
      </c>
      <c r="V43" s="104">
        <f t="shared" si="13"/>
        <v>4367.7</v>
      </c>
      <c r="X43" s="40">
        <v>0</v>
      </c>
    </row>
    <row r="44" spans="1:29" s="40" customFormat="1" ht="14.45" customHeight="1" x14ac:dyDescent="0.25">
      <c r="A44" s="134" t="s">
        <v>98</v>
      </c>
      <c r="B44" s="88"/>
      <c r="C44" s="88"/>
      <c r="D44" s="88"/>
      <c r="E44" s="210"/>
      <c r="F44" s="211"/>
      <c r="G44" s="88"/>
      <c r="H44" s="88"/>
      <c r="I44" s="88"/>
      <c r="J44" s="88"/>
      <c r="K44" s="57"/>
      <c r="L44" s="89" t="s">
        <v>48</v>
      </c>
      <c r="M44" s="89" t="s">
        <v>261</v>
      </c>
      <c r="N44" s="90" t="s">
        <v>51</v>
      </c>
      <c r="O44" s="91" t="s">
        <v>50</v>
      </c>
      <c r="P44" s="91" t="s">
        <v>262</v>
      </c>
      <c r="Q44" s="91" t="s">
        <v>263</v>
      </c>
      <c r="R44" s="92" t="s">
        <v>52</v>
      </c>
      <c r="S44" s="92" t="s">
        <v>52</v>
      </c>
      <c r="T44" s="92" t="s">
        <v>53</v>
      </c>
      <c r="U44" s="92" t="s">
        <v>265</v>
      </c>
      <c r="V44" s="92" t="s">
        <v>266</v>
      </c>
      <c r="W44" s="92" t="s">
        <v>267</v>
      </c>
      <c r="X44" s="92" t="s">
        <v>268</v>
      </c>
      <c r="Y44" s="92" t="s">
        <v>52</v>
      </c>
      <c r="Z44" s="92" t="s">
        <v>53</v>
      </c>
      <c r="AA44" s="92" t="s">
        <v>265</v>
      </c>
      <c r="AB44" s="92" t="s">
        <v>266</v>
      </c>
      <c r="AC44" s="93" t="s">
        <v>269</v>
      </c>
    </row>
    <row r="45" spans="1:29" s="40" customFormat="1" ht="14.45" customHeight="1" x14ac:dyDescent="0.25">
      <c r="A45" s="133" t="s">
        <v>331</v>
      </c>
      <c r="B45" s="51" t="s">
        <v>342</v>
      </c>
      <c r="C45" s="94" t="s">
        <v>54</v>
      </c>
      <c r="D45" s="95" t="s">
        <v>383</v>
      </c>
      <c r="E45" s="96" t="s">
        <v>114</v>
      </c>
      <c r="F45" s="97" t="s">
        <v>270</v>
      </c>
      <c r="G45" s="98">
        <f>CEILING(S45+W45+X45+O45+N45+Y45,10)</f>
        <v>5430</v>
      </c>
      <c r="H45" s="99">
        <f>CEILING(T45+W45+X45+O45+N45+Z45,10)</f>
        <v>5700</v>
      </c>
      <c r="I45" s="99">
        <f>CEILING(U45+W45+X45+O45+N45+AA45,10)</f>
        <v>5700</v>
      </c>
      <c r="J45" s="99">
        <f>CEILING(V45+W45+X45+O45+N45+AB45,10)</f>
        <v>6420</v>
      </c>
      <c r="K45" s="57"/>
      <c r="L45" s="156" t="s">
        <v>384</v>
      </c>
      <c r="M45" s="52" t="s">
        <v>293</v>
      </c>
      <c r="N45" s="40">
        <v>0</v>
      </c>
      <c r="O45" s="53">
        <f>VLOOKUP(B45,DRAYAGE!$A$1:$C$107,3,FALSE)</f>
        <v>2995</v>
      </c>
      <c r="P45" s="40" t="s">
        <v>302</v>
      </c>
      <c r="Q45" s="40" t="s">
        <v>460</v>
      </c>
      <c r="R45" s="101">
        <v>19800</v>
      </c>
      <c r="S45" s="101">
        <f>0.9*T45</f>
        <v>2430</v>
      </c>
      <c r="T45" s="54">
        <f>2500+200</f>
        <v>2700</v>
      </c>
      <c r="U45" s="103">
        <f>T45</f>
        <v>2700</v>
      </c>
      <c r="V45" s="104">
        <f>U45*1.266</f>
        <v>3418.2</v>
      </c>
      <c r="W45" s="40">
        <v>0</v>
      </c>
    </row>
    <row r="46" spans="1:29" s="40" customFormat="1" ht="14.45" customHeight="1" x14ac:dyDescent="0.25">
      <c r="A46" s="133" t="s">
        <v>328</v>
      </c>
      <c r="B46" s="51" t="s">
        <v>342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>CEILING(S46+W46+X46+O46+N46+Y46,10)</f>
        <v>5520</v>
      </c>
      <c r="H46" s="99">
        <f>CEILING(T46+W46+X46+O46+N46+Z46,10)</f>
        <v>5800</v>
      </c>
      <c r="I46" s="99">
        <f>CEILING(U46+W46+X46+O46+N46+AA46,10)</f>
        <v>5800</v>
      </c>
      <c r="J46" s="99">
        <f>CEILING(V46+W46+X46+O46+N46+AB46,10)</f>
        <v>6540</v>
      </c>
      <c r="K46" s="57"/>
      <c r="L46" s="156" t="s">
        <v>384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Q46" s="40" t="s">
        <v>461</v>
      </c>
      <c r="R46" s="101">
        <v>19800</v>
      </c>
      <c r="S46" s="101">
        <f>0.9*T46</f>
        <v>2520</v>
      </c>
      <c r="T46" s="54">
        <f>2600+200</f>
        <v>2800</v>
      </c>
      <c r="U46" s="103">
        <f>T46</f>
        <v>2800</v>
      </c>
      <c r="V46" s="104">
        <f>U46*1.266</f>
        <v>3544.8</v>
      </c>
      <c r="W46" s="40">
        <v>0</v>
      </c>
    </row>
    <row r="47" spans="1:29" s="40" customFormat="1" ht="14.45" customHeight="1" x14ac:dyDescent="0.25">
      <c r="A47" s="133" t="s">
        <v>58</v>
      </c>
      <c r="B47" s="51" t="s">
        <v>342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>CEILING(S47+W47+X47+O47+N47+Y47,10)</f>
        <v>5790</v>
      </c>
      <c r="H47" s="99">
        <f>CEILING(T47+W47+X47+O47+N47+Z47,10)</f>
        <v>6100</v>
      </c>
      <c r="I47" s="99">
        <f>CEILING(U47+W47+X47+O47+N47+AA47,10)</f>
        <v>6100</v>
      </c>
      <c r="J47" s="99">
        <f>CEILING(V47+W47+X47+O47+N47+AB47,10)</f>
        <v>6920</v>
      </c>
      <c r="K47" s="57"/>
      <c r="L47" s="156" t="s">
        <v>384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Q47" s="40" t="s">
        <v>462</v>
      </c>
      <c r="R47" s="101">
        <v>19800</v>
      </c>
      <c r="S47" s="101">
        <f>0.9*T47</f>
        <v>2790</v>
      </c>
      <c r="T47" s="54">
        <f>2600+300+200</f>
        <v>3100</v>
      </c>
      <c r="U47" s="103">
        <f>T47</f>
        <v>3100</v>
      </c>
      <c r="V47" s="104">
        <f>U47*1.266</f>
        <v>3924.6</v>
      </c>
      <c r="W47" s="40">
        <v>0</v>
      </c>
    </row>
    <row r="48" spans="1:29" s="40" customFormat="1" ht="14.45" customHeight="1" x14ac:dyDescent="0.25">
      <c r="A48" s="133" t="s">
        <v>330</v>
      </c>
      <c r="B48" s="51" t="s">
        <v>342</v>
      </c>
      <c r="C48" s="94" t="s">
        <v>54</v>
      </c>
      <c r="D48" s="95" t="s">
        <v>383</v>
      </c>
      <c r="E48" s="96" t="s">
        <v>114</v>
      </c>
      <c r="F48" s="97" t="s">
        <v>270</v>
      </c>
      <c r="G48" s="98">
        <f>CEILING(S48+W48+X48+O48+N48+Y48,10)</f>
        <v>5430</v>
      </c>
      <c r="H48" s="99">
        <f>CEILING(T48+W48+X48+O48+N48+Z48,10)</f>
        <v>5700</v>
      </c>
      <c r="I48" s="99">
        <f>CEILING(U48+W48+X48+O48+N48+AA48,10)</f>
        <v>5700</v>
      </c>
      <c r="J48" s="99">
        <f>CEILING(V48+W48+X48+O48+N48+AB48,10)</f>
        <v>6420</v>
      </c>
      <c r="K48" s="57"/>
      <c r="L48" s="156" t="s">
        <v>384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Q48" s="40" t="s">
        <v>463</v>
      </c>
      <c r="R48" s="101">
        <v>19800</v>
      </c>
      <c r="S48" s="101">
        <f>0.9*T48</f>
        <v>2430</v>
      </c>
      <c r="T48" s="54">
        <f>T45</f>
        <v>2700</v>
      </c>
      <c r="U48" s="103">
        <f>T48</f>
        <v>2700</v>
      </c>
      <c r="V48" s="104">
        <f>U48*1.266</f>
        <v>3418.2</v>
      </c>
      <c r="W48" s="40">
        <v>0</v>
      </c>
    </row>
    <row r="49" spans="1:29" s="40" customFormat="1" ht="14.45" customHeight="1" x14ac:dyDescent="0.25">
      <c r="A49" s="134" t="s">
        <v>336</v>
      </c>
      <c r="B49" s="88"/>
      <c r="C49" s="88"/>
      <c r="D49" s="88"/>
      <c r="E49" s="210"/>
      <c r="F49" s="211"/>
      <c r="G49" s="88"/>
      <c r="H49" s="88"/>
      <c r="I49" s="88"/>
      <c r="J49" s="88"/>
      <c r="K49" s="57"/>
      <c r="L49" s="89" t="s">
        <v>48</v>
      </c>
      <c r="M49" s="89" t="s">
        <v>261</v>
      </c>
      <c r="N49" s="90" t="s">
        <v>51</v>
      </c>
      <c r="O49" s="91" t="s">
        <v>50</v>
      </c>
      <c r="P49" s="91" t="s">
        <v>262</v>
      </c>
      <c r="Q49" s="91" t="s">
        <v>263</v>
      </c>
      <c r="R49" s="92" t="s">
        <v>52</v>
      </c>
      <c r="S49" s="92" t="s">
        <v>52</v>
      </c>
      <c r="T49" s="92" t="s">
        <v>53</v>
      </c>
      <c r="U49" s="92" t="s">
        <v>265</v>
      </c>
      <c r="V49" s="92" t="s">
        <v>266</v>
      </c>
      <c r="W49" s="92" t="s">
        <v>267</v>
      </c>
      <c r="X49" s="92" t="s">
        <v>268</v>
      </c>
      <c r="Y49" s="92" t="s">
        <v>52</v>
      </c>
      <c r="Z49" s="92" t="s">
        <v>53</v>
      </c>
      <c r="AA49" s="92" t="s">
        <v>265</v>
      </c>
      <c r="AB49" s="92" t="s">
        <v>266</v>
      </c>
      <c r="AC49" s="93" t="s">
        <v>269</v>
      </c>
    </row>
    <row r="50" spans="1:29" s="40" customFormat="1" ht="14.45" customHeight="1" x14ac:dyDescent="0.25">
      <c r="A50" s="133" t="s">
        <v>326</v>
      </c>
      <c r="B50" s="51" t="s">
        <v>343</v>
      </c>
      <c r="C50" s="94" t="s">
        <v>54</v>
      </c>
      <c r="D50" s="95" t="s">
        <v>383</v>
      </c>
      <c r="E50" s="96" t="s">
        <v>114</v>
      </c>
      <c r="F50" s="97" t="s">
        <v>270</v>
      </c>
      <c r="G50" s="98">
        <f>CEILING(S50+W50+X50+O50+N50+Y50,10)</f>
        <v>5100</v>
      </c>
      <c r="H50" s="99">
        <f>CEILING(T50+W50+X50+O50+N50+Z50,10)</f>
        <v>5540</v>
      </c>
      <c r="I50" s="99">
        <f>CEILING(U50+W50+X50+O50+N50+AA50,10)</f>
        <v>5540</v>
      </c>
      <c r="J50" s="99">
        <f>CEILING(V50+W50+X50+O50+N50+AB50,10)</f>
        <v>6700</v>
      </c>
      <c r="K50" s="57"/>
      <c r="L50" s="156" t="s">
        <v>384</v>
      </c>
      <c r="M50" s="52" t="s">
        <v>295</v>
      </c>
      <c r="N50" s="40">
        <v>0</v>
      </c>
      <c r="O50" s="53">
        <f>VLOOKUP(B50,DRAYAGE!$A$1:$C$107,3,FALSE)</f>
        <v>1185</v>
      </c>
      <c r="P50" s="40" t="s">
        <v>361</v>
      </c>
      <c r="Q50" s="40" t="s">
        <v>464</v>
      </c>
      <c r="R50" s="101">
        <v>18000</v>
      </c>
      <c r="S50" s="101">
        <f>0.9*T50</f>
        <v>3915</v>
      </c>
      <c r="T50" s="54">
        <f>4100+250</f>
        <v>4350</v>
      </c>
      <c r="U50" s="103">
        <f>T50</f>
        <v>4350</v>
      </c>
      <c r="V50" s="104">
        <f>U50*1.266</f>
        <v>5507.1</v>
      </c>
      <c r="W50" s="40">
        <v>0</v>
      </c>
    </row>
    <row r="51" spans="1:29" s="40" customFormat="1" ht="14.45" customHeight="1" x14ac:dyDescent="0.25">
      <c r="A51" s="133" t="s">
        <v>327</v>
      </c>
      <c r="B51" s="51" t="s">
        <v>343</v>
      </c>
      <c r="C51" s="94" t="s">
        <v>54</v>
      </c>
      <c r="D51" s="95" t="s">
        <v>383</v>
      </c>
      <c r="E51" s="96" t="s">
        <v>114</v>
      </c>
      <c r="F51" s="97" t="s">
        <v>270</v>
      </c>
      <c r="G51" s="98">
        <f>CEILING(S51+W51+X51+O51+N51+Y51,10)</f>
        <v>5100</v>
      </c>
      <c r="H51" s="99">
        <f>CEILING(T51+W51+X51+O51+N51+Z51,10)</f>
        <v>5540</v>
      </c>
      <c r="I51" s="99">
        <f>CEILING(U51+W51+X51+O51+N51+AA51,10)</f>
        <v>5540</v>
      </c>
      <c r="J51" s="99">
        <f>CEILING(V51+W51+X51+O51+N51+AB51,10)</f>
        <v>6700</v>
      </c>
      <c r="K51" s="57"/>
      <c r="L51" s="156" t="s">
        <v>384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Q51" s="40" t="s">
        <v>465</v>
      </c>
      <c r="R51" s="101">
        <v>18000</v>
      </c>
      <c r="S51" s="101">
        <f>0.9*T51</f>
        <v>3915</v>
      </c>
      <c r="T51" s="54">
        <f>T50</f>
        <v>4350</v>
      </c>
      <c r="U51" s="103">
        <f>T51</f>
        <v>4350</v>
      </c>
      <c r="V51" s="104">
        <f>U51*1.266</f>
        <v>5507.1</v>
      </c>
      <c r="W51" s="40">
        <v>0</v>
      </c>
    </row>
    <row r="52" spans="1:29" s="40" customFormat="1" ht="14.45" customHeight="1" x14ac:dyDescent="0.25">
      <c r="A52" s="133" t="s">
        <v>328</v>
      </c>
      <c r="B52" s="51" t="s">
        <v>343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f>CEILING(S52+W52+X52+O52+N52+Y52,10)</f>
        <v>5100</v>
      </c>
      <c r="H52" s="99">
        <f>CEILING(T52+W52+X52+O52+N52+Z52,10)</f>
        <v>5540</v>
      </c>
      <c r="I52" s="99">
        <f>CEILING(U52+W52+X52+O52+N52+AA52,10)</f>
        <v>5540</v>
      </c>
      <c r="J52" s="99">
        <f>CEILING(V52+W52+X52+O52+N52+AB52,10)</f>
        <v>6700</v>
      </c>
      <c r="K52" s="57"/>
      <c r="L52" s="156" t="s">
        <v>384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Q52" s="40" t="s">
        <v>466</v>
      </c>
      <c r="R52" s="101">
        <v>18000</v>
      </c>
      <c r="S52" s="101">
        <f>0.9*T52</f>
        <v>3915</v>
      </c>
      <c r="T52" s="54">
        <f>T51</f>
        <v>4350</v>
      </c>
      <c r="U52" s="103">
        <f>T52</f>
        <v>4350</v>
      </c>
      <c r="V52" s="104">
        <f>U52*1.266</f>
        <v>5507.1</v>
      </c>
      <c r="W52" s="40">
        <v>0</v>
      </c>
    </row>
    <row r="53" spans="1:29" s="40" customFormat="1" ht="14.45" customHeight="1" x14ac:dyDescent="0.25">
      <c r="A53" s="134" t="s">
        <v>337</v>
      </c>
      <c r="B53" s="88"/>
      <c r="C53" s="88"/>
      <c r="D53" s="88"/>
      <c r="E53" s="210"/>
      <c r="F53" s="211"/>
      <c r="G53" s="88"/>
      <c r="H53" s="88"/>
      <c r="I53" s="88"/>
      <c r="J53" s="88"/>
      <c r="K53" s="57"/>
      <c r="L53" s="89" t="s">
        <v>48</v>
      </c>
      <c r="M53" s="89" t="s">
        <v>261</v>
      </c>
      <c r="N53" s="90" t="s">
        <v>51</v>
      </c>
      <c r="O53" s="91" t="s">
        <v>50</v>
      </c>
      <c r="P53" s="91" t="s">
        <v>262</v>
      </c>
      <c r="Q53" s="91" t="s">
        <v>263</v>
      </c>
      <c r="R53" s="91" t="s">
        <v>264</v>
      </c>
      <c r="S53" s="92" t="s">
        <v>52</v>
      </c>
      <c r="T53" s="92" t="s">
        <v>53</v>
      </c>
      <c r="U53" s="92" t="s">
        <v>265</v>
      </c>
      <c r="V53" s="92" t="s">
        <v>266</v>
      </c>
      <c r="W53" s="92" t="s">
        <v>267</v>
      </c>
      <c r="X53" s="92" t="s">
        <v>268</v>
      </c>
      <c r="Y53" s="92" t="s">
        <v>52</v>
      </c>
      <c r="Z53" s="92" t="s">
        <v>53</v>
      </c>
      <c r="AA53" s="92" t="s">
        <v>265</v>
      </c>
      <c r="AB53" s="92" t="s">
        <v>266</v>
      </c>
      <c r="AC53" s="93" t="s">
        <v>269</v>
      </c>
    </row>
    <row r="54" spans="1:29" s="40" customFormat="1" ht="18.75" x14ac:dyDescent="0.25">
      <c r="A54" s="133" t="s">
        <v>81</v>
      </c>
      <c r="B54" s="51" t="s">
        <v>344</v>
      </c>
      <c r="C54" s="94" t="s">
        <v>54</v>
      </c>
      <c r="D54" s="95" t="s">
        <v>383</v>
      </c>
      <c r="E54" s="96" t="s">
        <v>114</v>
      </c>
      <c r="F54" s="97" t="s">
        <v>270</v>
      </c>
      <c r="G54" s="98">
        <f t="shared" ref="G54:G59" si="14">CEILING(S54+W54+X54+O54+N54+Y54,10)</f>
        <v>3780</v>
      </c>
      <c r="H54" s="99">
        <f t="shared" ref="H54:H59" si="15">CEILING(T54+W54+X54+O54+N54+Z54,10)</f>
        <v>4050</v>
      </c>
      <c r="I54" s="99">
        <f t="shared" ref="I54:I59" si="16">CEILING(U54+W54+X54+O54+N54+AA54,10)</f>
        <v>4050</v>
      </c>
      <c r="J54" s="99">
        <f t="shared" ref="J54:J59" si="17">CEILING(V54+W54+X54+O54+N54+AB54,10)</f>
        <v>4770</v>
      </c>
      <c r="K54" s="57"/>
      <c r="L54" s="156" t="s">
        <v>384</v>
      </c>
      <c r="M54" s="52" t="s">
        <v>294</v>
      </c>
      <c r="N54" s="40">
        <v>0</v>
      </c>
      <c r="O54" s="53">
        <f>VLOOKUP(B54,DRAYAGE!$A$1:$C$107,3,FALSE)</f>
        <v>1345</v>
      </c>
      <c r="P54" s="40" t="s">
        <v>301</v>
      </c>
      <c r="Q54" s="40" t="s">
        <v>467</v>
      </c>
      <c r="S54" s="101">
        <f t="shared" ref="S54:S67" si="18">0.9*T54</f>
        <v>2430</v>
      </c>
      <c r="T54" s="54">
        <f t="shared" ref="T54:T59" si="19">T37</f>
        <v>2700</v>
      </c>
      <c r="U54" s="103">
        <f t="shared" si="2"/>
        <v>2700</v>
      </c>
      <c r="V54" s="104">
        <f t="shared" ref="V54:V59" si="20">U54*1.266</f>
        <v>3418.2</v>
      </c>
      <c r="X54" s="40">
        <v>0</v>
      </c>
    </row>
    <row r="55" spans="1:29" s="40" customFormat="1" ht="14.45" customHeight="1" x14ac:dyDescent="0.25">
      <c r="A55" s="133" t="s">
        <v>55</v>
      </c>
      <c r="B55" s="51" t="s">
        <v>344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 t="shared" si="14"/>
        <v>3780</v>
      </c>
      <c r="H55" s="99">
        <f t="shared" si="15"/>
        <v>4050</v>
      </c>
      <c r="I55" s="99">
        <f t="shared" si="16"/>
        <v>4050</v>
      </c>
      <c r="J55" s="99">
        <f t="shared" si="17"/>
        <v>4770</v>
      </c>
      <c r="K55" s="57"/>
      <c r="L55" s="156" t="s">
        <v>384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Q55" s="40" t="s">
        <v>468</v>
      </c>
      <c r="S55" s="101">
        <f t="shared" si="18"/>
        <v>2430</v>
      </c>
      <c r="T55" s="54">
        <f t="shared" si="19"/>
        <v>2700</v>
      </c>
      <c r="U55" s="103">
        <f t="shared" si="2"/>
        <v>2700</v>
      </c>
      <c r="V55" s="104">
        <f t="shared" si="20"/>
        <v>3418.2</v>
      </c>
      <c r="X55" s="40">
        <v>0</v>
      </c>
    </row>
    <row r="56" spans="1:29" s="40" customFormat="1" ht="14.45" customHeight="1" x14ac:dyDescent="0.25">
      <c r="A56" s="133" t="s">
        <v>59</v>
      </c>
      <c r="B56" s="51" t="s">
        <v>344</v>
      </c>
      <c r="C56" s="94" t="s">
        <v>54</v>
      </c>
      <c r="D56" s="95" t="s">
        <v>383</v>
      </c>
      <c r="E56" s="96" t="s">
        <v>114</v>
      </c>
      <c r="F56" s="97" t="s">
        <v>270</v>
      </c>
      <c r="G56" s="98">
        <f t="shared" si="14"/>
        <v>3780</v>
      </c>
      <c r="H56" s="99">
        <f t="shared" si="15"/>
        <v>4050</v>
      </c>
      <c r="I56" s="99">
        <f t="shared" si="16"/>
        <v>4050</v>
      </c>
      <c r="J56" s="99">
        <f t="shared" si="17"/>
        <v>4770</v>
      </c>
      <c r="K56" s="57"/>
      <c r="L56" s="156" t="s">
        <v>384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Q56" s="40" t="s">
        <v>469</v>
      </c>
      <c r="S56" s="101">
        <f t="shared" si="18"/>
        <v>2430</v>
      </c>
      <c r="T56" s="54">
        <f t="shared" si="19"/>
        <v>2700</v>
      </c>
      <c r="U56" s="103">
        <f t="shared" si="2"/>
        <v>2700</v>
      </c>
      <c r="V56" s="104">
        <f t="shared" si="20"/>
        <v>3418.2</v>
      </c>
      <c r="X56" s="40">
        <v>0</v>
      </c>
    </row>
    <row r="57" spans="1:29" s="40" customFormat="1" ht="18.75" x14ac:dyDescent="0.25">
      <c r="A57" s="133" t="s">
        <v>60</v>
      </c>
      <c r="B57" s="51" t="s">
        <v>344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f t="shared" si="14"/>
        <v>3780</v>
      </c>
      <c r="H57" s="99">
        <f t="shared" si="15"/>
        <v>4050</v>
      </c>
      <c r="I57" s="99">
        <f t="shared" si="16"/>
        <v>4050</v>
      </c>
      <c r="J57" s="99">
        <f t="shared" si="17"/>
        <v>4770</v>
      </c>
      <c r="K57" s="57"/>
      <c r="L57" s="156" t="s">
        <v>384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Q57" s="40" t="s">
        <v>470</v>
      </c>
      <c r="S57" s="101">
        <f t="shared" si="18"/>
        <v>2430</v>
      </c>
      <c r="T57" s="54">
        <f t="shared" si="19"/>
        <v>2700</v>
      </c>
      <c r="U57" s="103">
        <f t="shared" si="2"/>
        <v>2700</v>
      </c>
      <c r="V57" s="104">
        <f t="shared" si="20"/>
        <v>3418.2</v>
      </c>
      <c r="X57" s="40">
        <v>0</v>
      </c>
    </row>
    <row r="58" spans="1:29" s="40" customFormat="1" ht="14.45" customHeight="1" x14ac:dyDescent="0.25">
      <c r="A58" s="133" t="s">
        <v>61</v>
      </c>
      <c r="B58" s="51" t="s">
        <v>344</v>
      </c>
      <c r="C58" s="94" t="s">
        <v>54</v>
      </c>
      <c r="D58" s="95" t="s">
        <v>383</v>
      </c>
      <c r="E58" s="96" t="s">
        <v>114</v>
      </c>
      <c r="F58" s="97" t="s">
        <v>270</v>
      </c>
      <c r="G58" s="98">
        <f t="shared" si="14"/>
        <v>3780</v>
      </c>
      <c r="H58" s="99">
        <f t="shared" si="15"/>
        <v>4050</v>
      </c>
      <c r="I58" s="99">
        <f t="shared" si="16"/>
        <v>4050</v>
      </c>
      <c r="J58" s="99">
        <f t="shared" si="17"/>
        <v>4770</v>
      </c>
      <c r="K58" s="57"/>
      <c r="L58" s="156" t="s">
        <v>384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Q58" s="40" t="s">
        <v>471</v>
      </c>
      <c r="S58" s="101">
        <f t="shared" si="18"/>
        <v>2430</v>
      </c>
      <c r="T58" s="54">
        <f t="shared" si="19"/>
        <v>2700</v>
      </c>
      <c r="U58" s="103">
        <f t="shared" si="2"/>
        <v>2700</v>
      </c>
      <c r="V58" s="104">
        <f t="shared" si="20"/>
        <v>3418.2</v>
      </c>
      <c r="X58" s="40">
        <v>0</v>
      </c>
    </row>
    <row r="59" spans="1:29" s="40" customFormat="1" ht="18.75" x14ac:dyDescent="0.25">
      <c r="A59" s="133" t="s">
        <v>273</v>
      </c>
      <c r="B59" s="51" t="s">
        <v>344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f t="shared" si="14"/>
        <v>3780</v>
      </c>
      <c r="H59" s="99">
        <f t="shared" si="15"/>
        <v>4050</v>
      </c>
      <c r="I59" s="99">
        <f t="shared" si="16"/>
        <v>4050</v>
      </c>
      <c r="J59" s="99">
        <f t="shared" si="17"/>
        <v>4770</v>
      </c>
      <c r="K59" s="57"/>
      <c r="L59" s="156" t="s">
        <v>384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Q59" s="40" t="s">
        <v>472</v>
      </c>
      <c r="S59" s="101">
        <f t="shared" si="18"/>
        <v>2430</v>
      </c>
      <c r="T59" s="54">
        <f t="shared" si="19"/>
        <v>2700</v>
      </c>
      <c r="U59" s="103">
        <f t="shared" si="2"/>
        <v>2700</v>
      </c>
      <c r="V59" s="104">
        <f t="shared" si="20"/>
        <v>3418.2</v>
      </c>
      <c r="X59" s="40">
        <v>0</v>
      </c>
    </row>
    <row r="60" spans="1:29" s="40" customFormat="1" ht="15.75" x14ac:dyDescent="0.25">
      <c r="A60" s="134" t="s">
        <v>504</v>
      </c>
      <c r="B60" s="179" t="s">
        <v>488</v>
      </c>
      <c r="C60" s="88"/>
      <c r="D60" s="88"/>
      <c r="E60" s="210"/>
      <c r="F60" s="211"/>
      <c r="G60" s="88"/>
      <c r="H60" s="88"/>
      <c r="I60" s="88"/>
      <c r="J60" s="88"/>
      <c r="K60" s="57"/>
      <c r="L60" s="89" t="s">
        <v>48</v>
      </c>
      <c r="M60" s="89" t="s">
        <v>261</v>
      </c>
      <c r="N60" s="90" t="s">
        <v>51</v>
      </c>
      <c r="O60" s="91" t="s">
        <v>50</v>
      </c>
      <c r="P60" s="91" t="s">
        <v>262</v>
      </c>
      <c r="Q60" s="91" t="s">
        <v>263</v>
      </c>
      <c r="R60" s="92" t="s">
        <v>52</v>
      </c>
      <c r="S60" s="92" t="s">
        <v>52</v>
      </c>
      <c r="T60" s="92" t="s">
        <v>53</v>
      </c>
      <c r="U60" s="92" t="s">
        <v>265</v>
      </c>
      <c r="V60" s="92" t="s">
        <v>266</v>
      </c>
      <c r="W60" s="92" t="s">
        <v>267</v>
      </c>
      <c r="X60" s="92" t="s">
        <v>268</v>
      </c>
      <c r="Y60" s="92" t="s">
        <v>52</v>
      </c>
      <c r="Z60" s="92" t="s">
        <v>53</v>
      </c>
      <c r="AA60" s="92" t="s">
        <v>265</v>
      </c>
      <c r="AB60" s="92" t="s">
        <v>266</v>
      </c>
      <c r="AC60" s="93" t="s">
        <v>269</v>
      </c>
    </row>
    <row r="61" spans="1:29" s="40" customFormat="1" ht="18.75" x14ac:dyDescent="0.25">
      <c r="A61" s="144" t="s">
        <v>505</v>
      </c>
      <c r="B61" s="51" t="s">
        <v>390</v>
      </c>
      <c r="C61" s="94" t="s">
        <v>54</v>
      </c>
      <c r="D61" s="95" t="s">
        <v>383</v>
      </c>
      <c r="E61" s="96" t="s">
        <v>114</v>
      </c>
      <c r="F61" s="97" t="s">
        <v>270</v>
      </c>
      <c r="G61" s="98">
        <f t="shared" ref="G61:G67" si="21">CEILING(S61+W61+X61+O61+N61+Y61,10)</f>
        <v>5970</v>
      </c>
      <c r="H61" s="99">
        <f t="shared" ref="H61:H67" si="22">CEILING(T61+W61+X61+O61+N61+Z61,10)</f>
        <v>6420</v>
      </c>
      <c r="I61" s="99">
        <f t="shared" ref="I61:I67" si="23">CEILING(U61+W61+X61+O61+N61+AA61,10)</f>
        <v>6420</v>
      </c>
      <c r="J61" s="99">
        <f t="shared" ref="J61:J67" si="24">CEILING(V61+W61+X61+O61+N61+AB61,10)</f>
        <v>7620</v>
      </c>
      <c r="K61" s="57"/>
      <c r="L61" s="156" t="s">
        <v>384</v>
      </c>
      <c r="M61" s="52" t="s">
        <v>397</v>
      </c>
      <c r="N61" s="40">
        <v>0</v>
      </c>
      <c r="O61" s="53">
        <f>VLOOKUP(B61,DRAYAGE!$A$1:$C$107,3,FALSE)</f>
        <v>1915</v>
      </c>
      <c r="P61" s="40" t="str">
        <f>VLOOKUP($B61,DRAYAGE!$A$1:$Q$23,14,FALSE)</f>
        <v>PCF, chassis split, drop fee</v>
      </c>
      <c r="Q61" s="40" t="s">
        <v>473</v>
      </c>
      <c r="R61" s="54">
        <v>11000</v>
      </c>
      <c r="S61" s="101">
        <f t="shared" si="18"/>
        <v>4050</v>
      </c>
      <c r="T61" s="54">
        <f>4200+300</f>
        <v>4500</v>
      </c>
      <c r="U61" s="103">
        <f t="shared" ref="U61:U67" si="25">T61</f>
        <v>4500</v>
      </c>
      <c r="V61" s="104">
        <f t="shared" ref="V61:V67" si="26">U61*1.266</f>
        <v>5697</v>
      </c>
    </row>
    <row r="62" spans="1:29" s="40" customFormat="1" ht="18.75" x14ac:dyDescent="0.25">
      <c r="A62" s="144" t="s">
        <v>505</v>
      </c>
      <c r="B62" s="51" t="s">
        <v>391</v>
      </c>
      <c r="C62" s="94" t="s">
        <v>54</v>
      </c>
      <c r="D62" s="95" t="s">
        <v>383</v>
      </c>
      <c r="E62" s="96" t="s">
        <v>114</v>
      </c>
      <c r="F62" s="97" t="s">
        <v>270</v>
      </c>
      <c r="G62" s="98">
        <f t="shared" si="21"/>
        <v>10580</v>
      </c>
      <c r="H62" s="99">
        <f t="shared" si="22"/>
        <v>11020</v>
      </c>
      <c r="I62" s="99">
        <f t="shared" si="23"/>
        <v>11020</v>
      </c>
      <c r="J62" s="99">
        <f t="shared" si="24"/>
        <v>12200</v>
      </c>
      <c r="K62" s="57"/>
      <c r="L62" s="156" t="s">
        <v>384</v>
      </c>
      <c r="M62" s="52" t="s">
        <v>398</v>
      </c>
      <c r="N62" s="40">
        <v>0</v>
      </c>
      <c r="O62" s="53">
        <f>VLOOKUP(B62,DRAYAGE!$A$1:$C$107,3,FALSE)</f>
        <v>6620</v>
      </c>
      <c r="P62" s="40" t="str">
        <f>VLOOKUP($B62,DRAYAGE!$A$1:$Q$23,14,FALSE)</f>
        <v>Rail fee, toll, drop</v>
      </c>
      <c r="Q62" s="40" t="s">
        <v>474</v>
      </c>
      <c r="R62" s="54">
        <v>11000</v>
      </c>
      <c r="S62" s="101">
        <f t="shared" si="18"/>
        <v>3960</v>
      </c>
      <c r="T62" s="54">
        <f>4100+300</f>
        <v>4400</v>
      </c>
      <c r="U62" s="103">
        <f t="shared" si="25"/>
        <v>4400</v>
      </c>
      <c r="V62" s="104">
        <f t="shared" si="26"/>
        <v>5570.4</v>
      </c>
    </row>
    <row r="63" spans="1:29" s="40" customFormat="1" ht="18.75" x14ac:dyDescent="0.25">
      <c r="A63" s="144" t="s">
        <v>505</v>
      </c>
      <c r="B63" s="51" t="s">
        <v>396</v>
      </c>
      <c r="C63" s="94" t="s">
        <v>54</v>
      </c>
      <c r="D63" s="95" t="s">
        <v>383</v>
      </c>
      <c r="E63" s="96" t="s">
        <v>114</v>
      </c>
      <c r="F63" s="97" t="s">
        <v>270</v>
      </c>
      <c r="G63" s="98">
        <f t="shared" si="21"/>
        <v>7370</v>
      </c>
      <c r="H63" s="99">
        <f t="shared" si="22"/>
        <v>7820</v>
      </c>
      <c r="I63" s="99">
        <f t="shared" si="23"/>
        <v>7820</v>
      </c>
      <c r="J63" s="99">
        <f t="shared" si="24"/>
        <v>9020</v>
      </c>
      <c r="K63" s="57"/>
      <c r="L63" s="156" t="s">
        <v>384</v>
      </c>
      <c r="M63" s="52" t="s">
        <v>399</v>
      </c>
      <c r="N63" s="40">
        <v>0</v>
      </c>
      <c r="O63" s="53">
        <f>VLOOKUP(B63,DRAYAGE!$A$1:$C$107,3,FALSE)</f>
        <v>3320</v>
      </c>
      <c r="P63" s="40" t="str">
        <f>VLOOKUP($B63,DRAYAGE!$A$1:$Q$23,14,FALSE)</f>
        <v>Rail fee, drop fee, toll fee</v>
      </c>
      <c r="Q63" s="40" t="s">
        <v>475</v>
      </c>
      <c r="R63" s="103">
        <v>11000</v>
      </c>
      <c r="S63" s="101">
        <f t="shared" si="18"/>
        <v>4050</v>
      </c>
      <c r="T63" s="54">
        <f>4200+300</f>
        <v>4500</v>
      </c>
      <c r="U63" s="103">
        <f t="shared" si="25"/>
        <v>4500</v>
      </c>
      <c r="V63" s="104">
        <f t="shared" si="26"/>
        <v>5697</v>
      </c>
    </row>
    <row r="64" spans="1:29" s="40" customFormat="1" ht="18.75" x14ac:dyDescent="0.25">
      <c r="A64" s="144" t="s">
        <v>505</v>
      </c>
      <c r="B64" s="51" t="s">
        <v>392</v>
      </c>
      <c r="C64" s="94" t="s">
        <v>54</v>
      </c>
      <c r="D64" s="95" t="s">
        <v>383</v>
      </c>
      <c r="E64" s="96" t="s">
        <v>114</v>
      </c>
      <c r="F64" s="97" t="s">
        <v>270</v>
      </c>
      <c r="G64" s="98">
        <f t="shared" si="21"/>
        <v>8120</v>
      </c>
      <c r="H64" s="99">
        <f t="shared" si="22"/>
        <v>8560</v>
      </c>
      <c r="I64" s="99">
        <f t="shared" si="23"/>
        <v>8560</v>
      </c>
      <c r="J64" s="99">
        <f t="shared" si="24"/>
        <v>9730</v>
      </c>
      <c r="K64" s="57"/>
      <c r="L64" s="156" t="s">
        <v>384</v>
      </c>
      <c r="M64" s="52" t="s">
        <v>398</v>
      </c>
      <c r="N64" s="40">
        <v>0</v>
      </c>
      <c r="O64" s="53">
        <f>VLOOKUP(B64,DRAYAGE!$A$1:$C$107,3,FALSE)</f>
        <v>4155</v>
      </c>
      <c r="P64" s="40" t="str">
        <f>VLOOKUP($B64,DRAYAGE!$A$1:$Q$23,14,FALSE)</f>
        <v>Rail fee, chassis split, drop, toll</v>
      </c>
      <c r="Q64" s="40" t="s">
        <v>476</v>
      </c>
      <c r="R64" s="103">
        <v>11000</v>
      </c>
      <c r="S64" s="101">
        <f t="shared" si="18"/>
        <v>3960</v>
      </c>
      <c r="T64" s="54">
        <f>T62</f>
        <v>4400</v>
      </c>
      <c r="U64" s="103">
        <f t="shared" si="25"/>
        <v>4400</v>
      </c>
      <c r="V64" s="104">
        <f t="shared" si="26"/>
        <v>5570.4</v>
      </c>
    </row>
    <row r="65" spans="1:29" s="40" customFormat="1" ht="18.75" x14ac:dyDescent="0.25">
      <c r="A65" s="144" t="s">
        <v>505</v>
      </c>
      <c r="B65" s="51" t="s">
        <v>395</v>
      </c>
      <c r="C65" s="94" t="s">
        <v>54</v>
      </c>
      <c r="D65" s="95" t="s">
        <v>383</v>
      </c>
      <c r="E65" s="96" t="s">
        <v>114</v>
      </c>
      <c r="F65" s="97" t="s">
        <v>270</v>
      </c>
      <c r="G65" s="98">
        <f t="shared" si="21"/>
        <v>6240</v>
      </c>
      <c r="H65" s="99">
        <f t="shared" si="22"/>
        <v>6680</v>
      </c>
      <c r="I65" s="99">
        <f t="shared" si="23"/>
        <v>6680</v>
      </c>
      <c r="J65" s="99">
        <f t="shared" si="24"/>
        <v>7860</v>
      </c>
      <c r="K65" s="57"/>
      <c r="L65" s="156" t="s">
        <v>384</v>
      </c>
      <c r="M65" s="52" t="s">
        <v>400</v>
      </c>
      <c r="N65" s="40">
        <v>0</v>
      </c>
      <c r="O65" s="53">
        <f>VLOOKUP(B65,DRAYAGE!$A$1:$C$107,3,FALSE)</f>
        <v>2280</v>
      </c>
      <c r="P65" s="40" t="str">
        <f>VLOOKUP($B65,DRAYAGE!$A$1:$Q$23,14,FALSE)</f>
        <v>Rail fee, chassis split, drop</v>
      </c>
      <c r="Q65" s="40" t="s">
        <v>477</v>
      </c>
      <c r="R65" s="54">
        <v>11000</v>
      </c>
      <c r="S65" s="101">
        <f t="shared" si="18"/>
        <v>3960</v>
      </c>
      <c r="T65" s="54">
        <f>4100+300</f>
        <v>4400</v>
      </c>
      <c r="U65" s="103">
        <f t="shared" si="25"/>
        <v>4400</v>
      </c>
      <c r="V65" s="104">
        <f t="shared" si="26"/>
        <v>5570.4</v>
      </c>
    </row>
    <row r="66" spans="1:29" s="40" customFormat="1" ht="18.75" x14ac:dyDescent="0.25">
      <c r="A66" s="144" t="s">
        <v>505</v>
      </c>
      <c r="B66" s="51" t="s">
        <v>393</v>
      </c>
      <c r="C66" s="94" t="s">
        <v>54</v>
      </c>
      <c r="D66" s="95" t="s">
        <v>383</v>
      </c>
      <c r="E66" s="96" t="s">
        <v>114</v>
      </c>
      <c r="F66" s="97" t="s">
        <v>270</v>
      </c>
      <c r="G66" s="98">
        <f t="shared" si="21"/>
        <v>6770</v>
      </c>
      <c r="H66" s="99">
        <f t="shared" si="22"/>
        <v>7210</v>
      </c>
      <c r="I66" s="99">
        <f t="shared" si="23"/>
        <v>7210</v>
      </c>
      <c r="J66" s="99">
        <f t="shared" si="24"/>
        <v>8380</v>
      </c>
      <c r="K66" s="57"/>
      <c r="L66" s="156" t="s">
        <v>384</v>
      </c>
      <c r="M66" s="52" t="s">
        <v>398</v>
      </c>
      <c r="N66" s="40">
        <v>0</v>
      </c>
      <c r="O66" s="53">
        <f>VLOOKUP(B66,DRAYAGE!$A$1:$C$107,3,FALSE)</f>
        <v>2805</v>
      </c>
      <c r="P66" s="40" t="str">
        <f>VLOOKUP($B66,DRAYAGE!$A$1:$Q$23,14,FALSE)</f>
        <v>Rail fee, chassis split, drop, toll</v>
      </c>
      <c r="Q66" s="40" t="s">
        <v>478</v>
      </c>
      <c r="R66" s="54">
        <v>11000</v>
      </c>
      <c r="S66" s="101">
        <f t="shared" si="18"/>
        <v>3960</v>
      </c>
      <c r="T66" s="54">
        <f>T62</f>
        <v>4400</v>
      </c>
      <c r="U66" s="103">
        <f t="shared" si="25"/>
        <v>4400</v>
      </c>
      <c r="V66" s="104">
        <f t="shared" si="26"/>
        <v>5570.4</v>
      </c>
    </row>
    <row r="67" spans="1:29" s="40" customFormat="1" ht="18.75" x14ac:dyDescent="0.25">
      <c r="A67" s="144" t="s">
        <v>505</v>
      </c>
      <c r="B67" s="51" t="s">
        <v>394</v>
      </c>
      <c r="C67" s="94" t="s">
        <v>54</v>
      </c>
      <c r="D67" s="95" t="s">
        <v>383</v>
      </c>
      <c r="E67" s="96" t="s">
        <v>114</v>
      </c>
      <c r="F67" s="97" t="s">
        <v>270</v>
      </c>
      <c r="G67" s="98">
        <f t="shared" si="21"/>
        <v>5840</v>
      </c>
      <c r="H67" s="99">
        <f t="shared" si="22"/>
        <v>6290</v>
      </c>
      <c r="I67" s="99">
        <f t="shared" si="23"/>
        <v>6290</v>
      </c>
      <c r="J67" s="99">
        <f t="shared" si="24"/>
        <v>7490</v>
      </c>
      <c r="K67" s="57"/>
      <c r="L67" s="156" t="s">
        <v>384</v>
      </c>
      <c r="M67" s="52" t="s">
        <v>401</v>
      </c>
      <c r="N67" s="40">
        <v>0</v>
      </c>
      <c r="O67" s="53">
        <f>VLOOKUP(B67,DRAYAGE!$A$1:$C$107,3,FALSE)</f>
        <v>1785</v>
      </c>
      <c r="P67" s="40" t="str">
        <f>VLOOKUP($B67,DRAYAGE!$A$1:$Q$23,14,FALSE)</f>
        <v>chassis split, drop</v>
      </c>
      <c r="Q67" s="40" t="s">
        <v>479</v>
      </c>
      <c r="R67" s="101">
        <v>9900</v>
      </c>
      <c r="S67" s="101">
        <f t="shared" si="18"/>
        <v>4050</v>
      </c>
      <c r="T67" s="54">
        <f>4200+300</f>
        <v>4500</v>
      </c>
      <c r="U67" s="103">
        <f t="shared" si="25"/>
        <v>4500</v>
      </c>
      <c r="V67" s="104">
        <f t="shared" si="26"/>
        <v>5697</v>
      </c>
    </row>
    <row r="68" spans="1:29" s="40" customFormat="1" ht="15.75" x14ac:dyDescent="0.25">
      <c r="A68" s="134" t="s">
        <v>436</v>
      </c>
      <c r="B68" s="179" t="s">
        <v>488</v>
      </c>
      <c r="C68" s="88"/>
      <c r="D68" s="88"/>
      <c r="E68" s="210"/>
      <c r="F68" s="211"/>
      <c r="G68" s="88"/>
      <c r="H68" s="88"/>
      <c r="I68" s="88"/>
      <c r="J68" s="88"/>
      <c r="K68" s="57"/>
      <c r="L68" s="89" t="s">
        <v>48</v>
      </c>
      <c r="M68" s="89" t="s">
        <v>261</v>
      </c>
      <c r="N68" s="90" t="s">
        <v>51</v>
      </c>
      <c r="O68" s="91" t="s">
        <v>50</v>
      </c>
      <c r="P68" s="91" t="s">
        <v>262</v>
      </c>
      <c r="Q68" s="91" t="s">
        <v>263</v>
      </c>
      <c r="R68" s="92" t="s">
        <v>52</v>
      </c>
      <c r="S68" s="92" t="s">
        <v>52</v>
      </c>
      <c r="T68" s="92" t="s">
        <v>53</v>
      </c>
      <c r="U68" s="92" t="s">
        <v>265</v>
      </c>
      <c r="V68" s="92" t="s">
        <v>266</v>
      </c>
      <c r="W68" s="92" t="s">
        <v>267</v>
      </c>
      <c r="X68" s="92" t="s">
        <v>268</v>
      </c>
      <c r="Y68" s="92" t="s">
        <v>52</v>
      </c>
      <c r="Z68" s="92" t="s">
        <v>53</v>
      </c>
      <c r="AA68" s="92" t="s">
        <v>265</v>
      </c>
      <c r="AB68" s="92" t="s">
        <v>266</v>
      </c>
      <c r="AC68" s="93" t="s">
        <v>269</v>
      </c>
    </row>
    <row r="69" spans="1:29" s="40" customFormat="1" ht="18.75" x14ac:dyDescent="0.25">
      <c r="A69" s="133" t="s">
        <v>437</v>
      </c>
      <c r="B69" s="51" t="s">
        <v>390</v>
      </c>
      <c r="C69" s="94" t="s">
        <v>54</v>
      </c>
      <c r="D69" s="95" t="s">
        <v>383</v>
      </c>
      <c r="E69" s="96" t="s">
        <v>114</v>
      </c>
      <c r="F69" s="97" t="s">
        <v>270</v>
      </c>
      <c r="G69" s="98">
        <f t="shared" ref="G69:G75" si="27">CEILING(S69+W69+X69+O69+N69+Y69,10)</f>
        <v>6130</v>
      </c>
      <c r="H69" s="99">
        <f t="shared" ref="H69:H75" si="28">CEILING(T69+W69+X69+O69+N69+Z69,10)</f>
        <v>6590</v>
      </c>
      <c r="I69" s="99">
        <f t="shared" ref="I69:I75" si="29">CEILING(U69+W69+X69+O69+N69+AA69,10)</f>
        <v>6590</v>
      </c>
      <c r="J69" s="99">
        <f t="shared" ref="J69:J75" si="30">CEILING(V69+W69+X69+O69+N69+AB69,10)</f>
        <v>7840</v>
      </c>
      <c r="K69" s="57"/>
      <c r="L69" s="156" t="s">
        <v>384</v>
      </c>
      <c r="M69" s="52" t="s">
        <v>397</v>
      </c>
      <c r="N69" s="40">
        <v>0</v>
      </c>
      <c r="O69" s="53">
        <f>VLOOKUP(B69,DRAYAGE!$A$1:$C$107,3,FALSE)</f>
        <v>1915</v>
      </c>
      <c r="P69" s="40" t="s">
        <v>411</v>
      </c>
      <c r="Q69" s="40" t="str">
        <f t="shared" ref="Q69:Q75" si="31">Q61</f>
        <v>LAX-144741/10-30-2022</v>
      </c>
      <c r="R69" s="101">
        <v>8865</v>
      </c>
      <c r="S69" s="101">
        <f t="shared" ref="S69:S75" si="32">0.9*T69</f>
        <v>4207.5</v>
      </c>
      <c r="T69" s="54">
        <f>T61+175</f>
        <v>4675</v>
      </c>
      <c r="U69" s="103">
        <f t="shared" ref="U69:U75" si="33">T69</f>
        <v>4675</v>
      </c>
      <c r="V69" s="104">
        <f t="shared" ref="V69:V75" si="34">U69*1.266</f>
        <v>5918.55</v>
      </c>
    </row>
    <row r="70" spans="1:29" s="40" customFormat="1" ht="18.75" x14ac:dyDescent="0.25">
      <c r="A70" s="133" t="s">
        <v>437</v>
      </c>
      <c r="B70" s="51" t="s">
        <v>391</v>
      </c>
      <c r="C70" s="94" t="s">
        <v>54</v>
      </c>
      <c r="D70" s="95" t="s">
        <v>383</v>
      </c>
      <c r="E70" s="96" t="s">
        <v>114</v>
      </c>
      <c r="F70" s="97" t="s">
        <v>270</v>
      </c>
      <c r="G70" s="98">
        <f t="shared" si="27"/>
        <v>10740</v>
      </c>
      <c r="H70" s="99">
        <f t="shared" si="28"/>
        <v>11200</v>
      </c>
      <c r="I70" s="99">
        <f t="shared" si="29"/>
        <v>11200</v>
      </c>
      <c r="J70" s="99">
        <f t="shared" si="30"/>
        <v>12420</v>
      </c>
      <c r="K70" s="57"/>
      <c r="L70" s="156" t="s">
        <v>384</v>
      </c>
      <c r="M70" s="52" t="s">
        <v>398</v>
      </c>
      <c r="N70" s="40">
        <v>0</v>
      </c>
      <c r="O70" s="53">
        <f>VLOOKUP(B70,DRAYAGE!$A$1:$C$107,3,FALSE)</f>
        <v>6620</v>
      </c>
      <c r="P70" s="40" t="s">
        <v>413</v>
      </c>
      <c r="Q70" s="40" t="str">
        <f t="shared" si="31"/>
        <v>LAX-144760/10-30-2022</v>
      </c>
      <c r="R70" s="101">
        <v>8820</v>
      </c>
      <c r="S70" s="101">
        <f t="shared" si="32"/>
        <v>4117.5</v>
      </c>
      <c r="T70" s="54">
        <f>T62+175</f>
        <v>4575</v>
      </c>
      <c r="U70" s="103">
        <f t="shared" si="33"/>
        <v>4575</v>
      </c>
      <c r="V70" s="104">
        <f t="shared" si="34"/>
        <v>5791.95</v>
      </c>
    </row>
    <row r="71" spans="1:29" s="40" customFormat="1" ht="18.75" x14ac:dyDescent="0.25">
      <c r="A71" s="133" t="s">
        <v>437</v>
      </c>
      <c r="B71" s="51" t="s">
        <v>396</v>
      </c>
      <c r="C71" s="94" t="s">
        <v>54</v>
      </c>
      <c r="D71" s="95" t="s">
        <v>383</v>
      </c>
      <c r="E71" s="96" t="s">
        <v>114</v>
      </c>
      <c r="F71" s="97" t="s">
        <v>270</v>
      </c>
      <c r="G71" s="98">
        <f t="shared" si="27"/>
        <v>7530</v>
      </c>
      <c r="H71" s="99">
        <f t="shared" si="28"/>
        <v>8000</v>
      </c>
      <c r="I71" s="99">
        <f t="shared" si="29"/>
        <v>8000</v>
      </c>
      <c r="J71" s="99">
        <f t="shared" si="30"/>
        <v>9240</v>
      </c>
      <c r="K71" s="57"/>
      <c r="L71" s="156" t="s">
        <v>384</v>
      </c>
      <c r="M71" s="52" t="s">
        <v>399</v>
      </c>
      <c r="N71" s="40">
        <v>0</v>
      </c>
      <c r="O71" s="53">
        <f>VLOOKUP(B71,DRAYAGE!$A$1:$C$107,3,FALSE)</f>
        <v>3320</v>
      </c>
      <c r="P71" s="40" t="s">
        <v>428</v>
      </c>
      <c r="Q71" s="40" t="str">
        <f t="shared" si="31"/>
        <v>LAX-144770/10-30-2022</v>
      </c>
      <c r="R71" s="101">
        <v>9225</v>
      </c>
      <c r="S71" s="101">
        <f t="shared" si="32"/>
        <v>4207.5</v>
      </c>
      <c r="T71" s="54">
        <f>T63+175</f>
        <v>4675</v>
      </c>
      <c r="U71" s="103">
        <f t="shared" si="33"/>
        <v>4675</v>
      </c>
      <c r="V71" s="104">
        <f t="shared" si="34"/>
        <v>5918.55</v>
      </c>
    </row>
    <row r="72" spans="1:29" s="40" customFormat="1" ht="18.75" x14ac:dyDescent="0.25">
      <c r="A72" s="133" t="s">
        <v>437</v>
      </c>
      <c r="B72" s="51" t="s">
        <v>392</v>
      </c>
      <c r="C72" s="94" t="s">
        <v>54</v>
      </c>
      <c r="D72" s="95" t="s">
        <v>383</v>
      </c>
      <c r="E72" s="96" t="s">
        <v>114</v>
      </c>
      <c r="F72" s="97" t="s">
        <v>270</v>
      </c>
      <c r="G72" s="98">
        <f t="shared" si="27"/>
        <v>8280</v>
      </c>
      <c r="H72" s="99">
        <f t="shared" si="28"/>
        <v>8730</v>
      </c>
      <c r="I72" s="99">
        <f t="shared" si="29"/>
        <v>8730</v>
      </c>
      <c r="J72" s="99">
        <f t="shared" si="30"/>
        <v>9950</v>
      </c>
      <c r="K72" s="57"/>
      <c r="L72" s="156" t="s">
        <v>384</v>
      </c>
      <c r="M72" s="52" t="s">
        <v>398</v>
      </c>
      <c r="N72" s="40">
        <v>0</v>
      </c>
      <c r="O72" s="53">
        <f>VLOOKUP(B72,DRAYAGE!$A$1:$C$107,3,FALSE)</f>
        <v>4155</v>
      </c>
      <c r="P72" s="40" t="s">
        <v>415</v>
      </c>
      <c r="Q72" s="40" t="str">
        <f t="shared" si="31"/>
        <v>LAX-144767/10-30-2022</v>
      </c>
      <c r="R72" s="101">
        <v>8820</v>
      </c>
      <c r="S72" s="101">
        <f t="shared" si="32"/>
        <v>4117.5</v>
      </c>
      <c r="T72" s="54">
        <f>T70</f>
        <v>4575</v>
      </c>
      <c r="U72" s="103">
        <f t="shared" si="33"/>
        <v>4575</v>
      </c>
      <c r="V72" s="104">
        <f t="shared" si="34"/>
        <v>5791.95</v>
      </c>
    </row>
    <row r="73" spans="1:29" s="40" customFormat="1" ht="18.75" x14ac:dyDescent="0.25">
      <c r="A73" s="133" t="s">
        <v>437</v>
      </c>
      <c r="B73" s="51" t="s">
        <v>395</v>
      </c>
      <c r="C73" s="94" t="s">
        <v>54</v>
      </c>
      <c r="D73" s="95" t="s">
        <v>383</v>
      </c>
      <c r="E73" s="96" t="s">
        <v>114</v>
      </c>
      <c r="F73" s="97" t="s">
        <v>270</v>
      </c>
      <c r="G73" s="98">
        <f t="shared" si="27"/>
        <v>6400</v>
      </c>
      <c r="H73" s="99">
        <f t="shared" si="28"/>
        <v>6860</v>
      </c>
      <c r="I73" s="99">
        <f t="shared" si="29"/>
        <v>6860</v>
      </c>
      <c r="J73" s="99">
        <f t="shared" si="30"/>
        <v>8080</v>
      </c>
      <c r="K73" s="57"/>
      <c r="L73" s="156" t="s">
        <v>384</v>
      </c>
      <c r="M73" s="52" t="s">
        <v>400</v>
      </c>
      <c r="N73" s="40">
        <v>0</v>
      </c>
      <c r="O73" s="53">
        <f>VLOOKUP(B73,DRAYAGE!$A$1:$C$107,3,FALSE)</f>
        <v>2280</v>
      </c>
      <c r="P73" s="40" t="s">
        <v>414</v>
      </c>
      <c r="Q73" s="40" t="str">
        <f t="shared" si="31"/>
        <v>LAX-144768/10-30-2022</v>
      </c>
      <c r="R73" s="101">
        <v>9225</v>
      </c>
      <c r="S73" s="101">
        <f t="shared" si="32"/>
        <v>4117.5</v>
      </c>
      <c r="T73" s="54">
        <f>T65+175</f>
        <v>4575</v>
      </c>
      <c r="U73" s="103">
        <f t="shared" si="33"/>
        <v>4575</v>
      </c>
      <c r="V73" s="104">
        <f t="shared" si="34"/>
        <v>5791.95</v>
      </c>
    </row>
    <row r="74" spans="1:29" s="40" customFormat="1" ht="18.75" x14ac:dyDescent="0.25">
      <c r="A74" s="133" t="s">
        <v>437</v>
      </c>
      <c r="B74" s="51" t="s">
        <v>393</v>
      </c>
      <c r="C74" s="94" t="s">
        <v>54</v>
      </c>
      <c r="D74" s="95" t="s">
        <v>383</v>
      </c>
      <c r="E74" s="96" t="s">
        <v>114</v>
      </c>
      <c r="F74" s="97" t="s">
        <v>270</v>
      </c>
      <c r="G74" s="98">
        <f t="shared" si="27"/>
        <v>6930</v>
      </c>
      <c r="H74" s="99">
        <f t="shared" si="28"/>
        <v>7380</v>
      </c>
      <c r="I74" s="99">
        <f t="shared" si="29"/>
        <v>7380</v>
      </c>
      <c r="J74" s="99">
        <f t="shared" si="30"/>
        <v>8600</v>
      </c>
      <c r="K74" s="57"/>
      <c r="L74" s="156" t="s">
        <v>384</v>
      </c>
      <c r="M74" s="52" t="s">
        <v>398</v>
      </c>
      <c r="N74" s="40">
        <v>0</v>
      </c>
      <c r="O74" s="53">
        <f>VLOOKUP(B74,DRAYAGE!$A$1:$C$107,3,FALSE)</f>
        <v>2805</v>
      </c>
      <c r="P74" s="40" t="s">
        <v>415</v>
      </c>
      <c r="Q74" s="40" t="str">
        <f t="shared" si="31"/>
        <v>LAX-144766/10-30-2022</v>
      </c>
      <c r="R74" s="101">
        <v>8820</v>
      </c>
      <c r="S74" s="101">
        <f t="shared" si="32"/>
        <v>4117.5</v>
      </c>
      <c r="T74" s="54">
        <f>T70</f>
        <v>4575</v>
      </c>
      <c r="U74" s="103">
        <f t="shared" si="33"/>
        <v>4575</v>
      </c>
      <c r="V74" s="104">
        <f t="shared" si="34"/>
        <v>5791.95</v>
      </c>
    </row>
    <row r="75" spans="1:29" s="40" customFormat="1" ht="14.45" customHeight="1" x14ac:dyDescent="0.25">
      <c r="A75" s="133" t="s">
        <v>437</v>
      </c>
      <c r="B75" s="51" t="s">
        <v>394</v>
      </c>
      <c r="C75" s="94" t="s">
        <v>54</v>
      </c>
      <c r="D75" s="95" t="s">
        <v>383</v>
      </c>
      <c r="E75" s="96" t="s">
        <v>114</v>
      </c>
      <c r="F75" s="97" t="s">
        <v>270</v>
      </c>
      <c r="G75" s="98">
        <f t="shared" si="27"/>
        <v>6000</v>
      </c>
      <c r="H75" s="99">
        <f t="shared" si="28"/>
        <v>6460</v>
      </c>
      <c r="I75" s="99">
        <f t="shared" si="29"/>
        <v>6460</v>
      </c>
      <c r="J75" s="99">
        <f t="shared" si="30"/>
        <v>7710</v>
      </c>
      <c r="K75" s="57"/>
      <c r="L75" s="156" t="s">
        <v>384</v>
      </c>
      <c r="M75" s="52" t="s">
        <v>401</v>
      </c>
      <c r="N75" s="40">
        <v>0</v>
      </c>
      <c r="O75" s="53">
        <f>VLOOKUP(B75,DRAYAGE!$A$1:$C$107,3,FALSE)</f>
        <v>1785</v>
      </c>
      <c r="P75" s="40" t="s">
        <v>416</v>
      </c>
      <c r="Q75" s="40" t="str">
        <f t="shared" si="31"/>
        <v>LAX-144761/10-30-2022</v>
      </c>
      <c r="R75" s="101">
        <v>8640</v>
      </c>
      <c r="S75" s="101">
        <f t="shared" si="32"/>
        <v>4207.5</v>
      </c>
      <c r="T75" s="54">
        <f>T67+175</f>
        <v>4675</v>
      </c>
      <c r="U75" s="103">
        <f t="shared" si="33"/>
        <v>4675</v>
      </c>
      <c r="V75" s="104">
        <f t="shared" si="34"/>
        <v>5918.55</v>
      </c>
    </row>
    <row r="76" spans="1:29" s="40" customFormat="1" ht="14.45" customHeight="1" x14ac:dyDescent="0.25">
      <c r="A76" s="212" t="s">
        <v>271</v>
      </c>
      <c r="B76" s="212"/>
      <c r="C76" s="212"/>
      <c r="D76" s="212"/>
      <c r="E76" s="212"/>
      <c r="F76" s="212"/>
      <c r="G76" s="212"/>
      <c r="H76" s="212"/>
      <c r="I76" s="212"/>
      <c r="J76" s="212"/>
      <c r="K76" s="57"/>
      <c r="L76" s="100"/>
      <c r="M76" s="100"/>
      <c r="R76" s="37"/>
      <c r="S76" s="37"/>
      <c r="T76" s="37"/>
      <c r="U76" s="37"/>
      <c r="V76" s="37"/>
    </row>
    <row r="77" spans="1:29" s="40" customFormat="1" ht="21.4" customHeight="1" x14ac:dyDescent="0.25">
      <c r="A77" s="167"/>
      <c r="B77" s="168"/>
      <c r="C77" s="168"/>
      <c r="D77" s="168"/>
      <c r="E77" s="168"/>
      <c r="F77" s="168"/>
      <c r="G77" s="168"/>
      <c r="H77" s="168"/>
      <c r="I77" s="168"/>
      <c r="J77" s="168"/>
      <c r="K77" s="57"/>
      <c r="L77" s="100"/>
      <c r="M77" s="100"/>
      <c r="S77" s="37"/>
      <c r="T77" s="37"/>
      <c r="U77" s="37"/>
      <c r="V77" s="37"/>
      <c r="W77" s="37"/>
    </row>
    <row r="78" spans="1:29" s="37" customFormat="1" ht="14.45" customHeight="1" x14ac:dyDescent="0.25">
      <c r="A78" s="180" t="s">
        <v>111</v>
      </c>
      <c r="B78" s="180"/>
      <c r="C78" s="180"/>
      <c r="D78" s="180"/>
      <c r="E78" s="180"/>
      <c r="F78" s="180"/>
      <c r="G78" s="180"/>
      <c r="H78" s="180"/>
      <c r="I78" s="180"/>
      <c r="J78" s="180"/>
      <c r="K78" s="57"/>
    </row>
    <row r="79" spans="1:29" s="37" customFormat="1" ht="14.45" customHeight="1" x14ac:dyDescent="0.25">
      <c r="A79" s="208" t="s">
        <v>112</v>
      </c>
      <c r="B79" s="208"/>
      <c r="C79" s="208"/>
      <c r="D79" s="208"/>
      <c r="E79" s="208"/>
      <c r="F79" s="208"/>
      <c r="G79" s="208"/>
      <c r="H79" s="208"/>
      <c r="I79" s="208"/>
      <c r="J79" s="208"/>
      <c r="K79" s="57"/>
    </row>
    <row r="80" spans="1:29" s="37" customFormat="1" ht="14.45" customHeight="1" x14ac:dyDescent="0.25">
      <c r="A80" s="186" t="s">
        <v>67</v>
      </c>
      <c r="B80" s="186"/>
      <c r="C80" s="186"/>
      <c r="D80" s="186"/>
      <c r="E80" s="186" t="s">
        <v>68</v>
      </c>
      <c r="F80" s="186"/>
      <c r="G80" s="186"/>
      <c r="H80" s="186"/>
      <c r="I80" s="186"/>
      <c r="J80" s="186"/>
      <c r="K80" s="57"/>
      <c r="L80" s="209" t="s">
        <v>113</v>
      </c>
      <c r="M80" s="209"/>
      <c r="N80" s="209"/>
      <c r="O80" s="209"/>
      <c r="P80" s="209"/>
      <c r="Q80" s="209"/>
    </row>
    <row r="81" spans="1:17" s="37" customFormat="1" ht="14.45" customHeight="1" x14ac:dyDescent="0.25">
      <c r="A81" s="196" t="s">
        <v>69</v>
      </c>
      <c r="B81" s="196"/>
      <c r="C81" s="196"/>
      <c r="D81" s="196"/>
      <c r="E81" s="58" t="s">
        <v>114</v>
      </c>
      <c r="F81" s="196" t="s">
        <v>70</v>
      </c>
      <c r="G81" s="196"/>
      <c r="H81" s="196"/>
      <c r="I81" s="196"/>
      <c r="J81" s="196"/>
      <c r="K81" s="57"/>
      <c r="L81" s="197" t="s">
        <v>115</v>
      </c>
      <c r="M81" s="197"/>
      <c r="N81" s="197"/>
      <c r="O81" s="197"/>
      <c r="P81" s="197"/>
      <c r="Q81" s="197"/>
    </row>
    <row r="82" spans="1:17" s="37" customFormat="1" ht="14.45" customHeight="1" x14ac:dyDescent="0.25">
      <c r="A82" s="196" t="s">
        <v>71</v>
      </c>
      <c r="B82" s="196"/>
      <c r="C82" s="196"/>
      <c r="D82" s="201"/>
      <c r="E82" s="58" t="s">
        <v>114</v>
      </c>
      <c r="F82" s="196" t="s">
        <v>116</v>
      </c>
      <c r="G82" s="196"/>
      <c r="H82" s="196"/>
      <c r="I82" s="196"/>
      <c r="J82" s="196"/>
      <c r="K82" s="57"/>
      <c r="L82" s="197"/>
      <c r="M82" s="197"/>
      <c r="N82" s="197"/>
      <c r="O82" s="197"/>
      <c r="P82" s="197"/>
      <c r="Q82" s="197"/>
    </row>
    <row r="83" spans="1:17" s="37" customFormat="1" ht="18" customHeight="1" x14ac:dyDescent="0.25">
      <c r="A83" s="196" t="s">
        <v>117</v>
      </c>
      <c r="B83" s="196"/>
      <c r="C83" s="196"/>
      <c r="D83" s="201"/>
      <c r="E83" s="58" t="s">
        <v>114</v>
      </c>
      <c r="F83" s="196" t="s">
        <v>306</v>
      </c>
      <c r="G83" s="196"/>
      <c r="H83" s="196"/>
      <c r="I83" s="196"/>
      <c r="J83" s="196"/>
      <c r="K83" s="57"/>
      <c r="L83" s="59" t="s">
        <v>118</v>
      </c>
      <c r="M83" s="129"/>
      <c r="N83" s="129"/>
      <c r="O83" s="129"/>
      <c r="P83" s="129"/>
      <c r="Q83" s="129"/>
    </row>
    <row r="84" spans="1:17" s="177" customFormat="1" ht="18" customHeight="1" x14ac:dyDescent="0.25">
      <c r="A84" s="203" t="s">
        <v>502</v>
      </c>
      <c r="B84" s="206"/>
      <c r="C84" s="206"/>
      <c r="D84" s="207"/>
      <c r="E84" s="115" t="s">
        <v>127</v>
      </c>
      <c r="F84" s="203" t="s">
        <v>503</v>
      </c>
      <c r="G84" s="206"/>
      <c r="H84" s="206"/>
      <c r="I84" s="206"/>
      <c r="J84" s="207"/>
      <c r="K84" s="174"/>
      <c r="L84" s="175"/>
      <c r="M84" s="176"/>
      <c r="N84" s="176"/>
      <c r="O84" s="176"/>
      <c r="P84" s="176"/>
      <c r="Q84" s="176"/>
    </row>
    <row r="85" spans="1:17" s="37" customFormat="1" ht="32.65" customHeight="1" x14ac:dyDescent="0.25">
      <c r="A85" s="202" t="s">
        <v>388</v>
      </c>
      <c r="B85" s="202"/>
      <c r="C85" s="202"/>
      <c r="D85" s="203"/>
      <c r="E85" s="58" t="s">
        <v>127</v>
      </c>
      <c r="F85" s="185" t="s">
        <v>423</v>
      </c>
      <c r="G85" s="185"/>
      <c r="H85" s="185"/>
      <c r="I85" s="185"/>
      <c r="J85" s="185"/>
      <c r="K85" s="57"/>
      <c r="L85" s="59" t="s">
        <v>118</v>
      </c>
      <c r="M85" s="129"/>
      <c r="N85" s="129"/>
      <c r="O85" s="129"/>
      <c r="P85" s="129"/>
      <c r="Q85" s="129"/>
    </row>
    <row r="86" spans="1:17" s="37" customFormat="1" ht="36.950000000000003" customHeight="1" x14ac:dyDescent="0.25">
      <c r="A86" s="196" t="s">
        <v>367</v>
      </c>
      <c r="B86" s="196"/>
      <c r="C86" s="196"/>
      <c r="D86" s="201"/>
      <c r="E86" s="58" t="s">
        <v>114</v>
      </c>
      <c r="F86" s="185" t="s">
        <v>368</v>
      </c>
      <c r="G86" s="185"/>
      <c r="H86" s="185"/>
      <c r="I86" s="185"/>
      <c r="J86" s="185"/>
      <c r="K86" s="57"/>
      <c r="L86" s="59" t="s">
        <v>118</v>
      </c>
      <c r="M86" s="129"/>
      <c r="N86" s="129"/>
      <c r="O86" s="129"/>
      <c r="P86" s="129"/>
      <c r="Q86" s="129"/>
    </row>
    <row r="87" spans="1:17" s="37" customFormat="1" ht="70.349999999999994" customHeight="1" x14ac:dyDescent="0.25">
      <c r="A87" s="204" t="s">
        <v>438</v>
      </c>
      <c r="B87" s="204"/>
      <c r="C87" s="204"/>
      <c r="D87" s="205"/>
      <c r="E87" s="58" t="s">
        <v>114</v>
      </c>
      <c r="F87" s="204" t="s">
        <v>439</v>
      </c>
      <c r="G87" s="204"/>
      <c r="H87" s="204"/>
      <c r="I87" s="204"/>
      <c r="J87" s="204"/>
      <c r="K87" s="132"/>
      <c r="L87" s="59" t="s">
        <v>118</v>
      </c>
      <c r="M87" s="129"/>
      <c r="N87" s="129"/>
      <c r="O87" s="129"/>
      <c r="P87" s="129"/>
      <c r="Q87" s="129"/>
    </row>
    <row r="88" spans="1:17" s="37" customFormat="1" ht="14.45" customHeight="1" x14ac:dyDescent="0.25">
      <c r="A88" s="196" t="s">
        <v>119</v>
      </c>
      <c r="B88" s="196"/>
      <c r="C88" s="196"/>
      <c r="D88" s="196"/>
      <c r="E88" s="58" t="s">
        <v>114</v>
      </c>
      <c r="F88" s="196" t="s">
        <v>120</v>
      </c>
      <c r="G88" s="196"/>
      <c r="H88" s="196"/>
      <c r="I88" s="196"/>
      <c r="J88" s="196"/>
      <c r="K88" s="132"/>
      <c r="L88" s="197" t="s">
        <v>121</v>
      </c>
      <c r="M88" s="197"/>
      <c r="N88" s="197"/>
      <c r="O88" s="197"/>
      <c r="P88" s="197"/>
      <c r="Q88" s="197"/>
    </row>
    <row r="89" spans="1:17" s="37" customFormat="1" ht="14.45" customHeight="1" x14ac:dyDescent="0.25">
      <c r="A89" s="196" t="s">
        <v>122</v>
      </c>
      <c r="B89" s="196"/>
      <c r="C89" s="196"/>
      <c r="D89" s="196"/>
      <c r="E89" s="58" t="s">
        <v>114</v>
      </c>
      <c r="F89" s="196" t="s">
        <v>123</v>
      </c>
      <c r="G89" s="196"/>
      <c r="H89" s="196"/>
      <c r="I89" s="196"/>
      <c r="J89" s="196"/>
      <c r="K89" s="132"/>
      <c r="L89" s="197"/>
      <c r="M89" s="197"/>
      <c r="N89" s="197"/>
      <c r="O89" s="197"/>
      <c r="P89" s="197"/>
      <c r="Q89" s="197"/>
    </row>
    <row r="90" spans="1:17" s="37" customFormat="1" ht="14.45" customHeight="1" x14ac:dyDescent="0.25">
      <c r="A90" s="196" t="s">
        <v>277</v>
      </c>
      <c r="B90" s="196"/>
      <c r="C90" s="196"/>
      <c r="D90" s="196"/>
      <c r="E90" s="58" t="s">
        <v>114</v>
      </c>
      <c r="F90" s="196" t="s">
        <v>278</v>
      </c>
      <c r="G90" s="196"/>
      <c r="H90" s="196"/>
      <c r="I90" s="196"/>
      <c r="J90" s="196"/>
      <c r="K90" s="132"/>
      <c r="L90" s="197"/>
      <c r="M90" s="197"/>
      <c r="N90" s="197"/>
      <c r="O90" s="197"/>
      <c r="P90" s="197"/>
      <c r="Q90" s="197"/>
    </row>
    <row r="91" spans="1:17" s="37" customFormat="1" ht="14.45" customHeight="1" x14ac:dyDescent="0.25">
      <c r="A91" s="196" t="s">
        <v>124</v>
      </c>
      <c r="B91" s="196"/>
      <c r="C91" s="196"/>
      <c r="D91" s="196"/>
      <c r="E91" s="58" t="s">
        <v>114</v>
      </c>
      <c r="F91" s="196" t="s">
        <v>125</v>
      </c>
      <c r="G91" s="196"/>
      <c r="H91" s="196"/>
      <c r="I91" s="196"/>
      <c r="J91" s="196"/>
      <c r="K91" s="132"/>
      <c r="L91" s="197"/>
      <c r="M91" s="197"/>
      <c r="N91" s="197"/>
      <c r="O91" s="197"/>
      <c r="P91" s="197"/>
      <c r="Q91" s="197"/>
    </row>
    <row r="92" spans="1:17" s="37" customFormat="1" ht="18.95" customHeight="1" x14ac:dyDescent="0.25">
      <c r="A92" s="196" t="s">
        <v>126</v>
      </c>
      <c r="B92" s="196"/>
      <c r="C92" s="196"/>
      <c r="D92" s="201"/>
      <c r="E92" s="58" t="s">
        <v>127</v>
      </c>
      <c r="F92" s="128" t="s">
        <v>409</v>
      </c>
      <c r="G92" s="185" t="s">
        <v>410</v>
      </c>
      <c r="H92" s="185"/>
      <c r="I92" s="185"/>
      <c r="J92" s="185"/>
      <c r="K92" s="132"/>
      <c r="L92" s="197" t="s">
        <v>130</v>
      </c>
      <c r="M92" s="197"/>
      <c r="N92" s="197"/>
      <c r="O92" s="197"/>
      <c r="P92" s="197"/>
      <c r="Q92" s="197"/>
    </row>
    <row r="93" spans="1:17" s="37" customFormat="1" ht="24.95" customHeight="1" x14ac:dyDescent="0.25">
      <c r="A93" s="196" t="s">
        <v>126</v>
      </c>
      <c r="B93" s="196"/>
      <c r="C93" s="196"/>
      <c r="D93" s="196"/>
      <c r="E93" s="58" t="s">
        <v>127</v>
      </c>
      <c r="F93" s="128" t="s">
        <v>131</v>
      </c>
      <c r="G93" s="185" t="s">
        <v>374</v>
      </c>
      <c r="H93" s="185"/>
      <c r="I93" s="185"/>
      <c r="J93" s="185"/>
      <c r="K93" s="132"/>
      <c r="L93" s="197" t="s">
        <v>130</v>
      </c>
      <c r="M93" s="197"/>
      <c r="N93" s="197"/>
      <c r="O93" s="197"/>
      <c r="P93" s="197"/>
      <c r="Q93" s="197"/>
    </row>
    <row r="94" spans="1:17" s="37" customFormat="1" ht="24.95" customHeight="1" x14ac:dyDescent="0.25">
      <c r="A94" s="196" t="s">
        <v>372</v>
      </c>
      <c r="B94" s="196"/>
      <c r="C94" s="196"/>
      <c r="D94" s="196"/>
      <c r="E94" s="58" t="s">
        <v>127</v>
      </c>
      <c r="F94" s="128" t="s">
        <v>131</v>
      </c>
      <c r="G94" s="185" t="s">
        <v>385</v>
      </c>
      <c r="H94" s="185"/>
      <c r="I94" s="185"/>
      <c r="J94" s="185"/>
      <c r="K94" s="132"/>
      <c r="L94" s="197" t="s">
        <v>130</v>
      </c>
      <c r="M94" s="197"/>
      <c r="N94" s="197"/>
      <c r="O94" s="197"/>
      <c r="P94" s="197"/>
      <c r="Q94" s="197"/>
    </row>
    <row r="95" spans="1:17" s="37" customFormat="1" ht="37.5" customHeight="1" x14ac:dyDescent="0.25">
      <c r="A95" s="198" t="s">
        <v>311</v>
      </c>
      <c r="B95" s="199"/>
      <c r="C95" s="199"/>
      <c r="D95" s="200"/>
      <c r="E95" s="198" t="s">
        <v>312</v>
      </c>
      <c r="F95" s="199"/>
      <c r="G95" s="199"/>
      <c r="H95" s="199"/>
      <c r="I95" s="199"/>
      <c r="J95" s="200"/>
      <c r="K95" s="132"/>
      <c r="L95" s="197"/>
      <c r="M95" s="197"/>
      <c r="N95" s="197"/>
      <c r="O95" s="197"/>
      <c r="P95" s="197"/>
      <c r="Q95" s="197"/>
    </row>
    <row r="96" spans="1:17" s="37" customFormat="1" ht="14.45" customHeight="1" x14ac:dyDescent="0.25">
      <c r="A96" s="180" t="s">
        <v>133</v>
      </c>
      <c r="B96" s="180"/>
      <c r="C96" s="180"/>
      <c r="D96" s="180"/>
      <c r="E96" s="180"/>
      <c r="F96" s="180"/>
      <c r="G96" s="180"/>
      <c r="H96" s="180"/>
      <c r="I96" s="180"/>
      <c r="J96" s="180"/>
      <c r="K96" s="57"/>
      <c r="L96" s="129"/>
      <c r="M96" s="129"/>
    </row>
    <row r="97" spans="1:13" s="37" customFormat="1" ht="14.45" customHeight="1" x14ac:dyDescent="0.2">
      <c r="A97" s="60" t="s">
        <v>134</v>
      </c>
      <c r="B97" s="60" t="s">
        <v>135</v>
      </c>
      <c r="C97" s="60" t="s">
        <v>136</v>
      </c>
      <c r="D97" s="193" t="s">
        <v>137</v>
      </c>
      <c r="E97" s="194"/>
      <c r="F97" s="195"/>
      <c r="G97" s="61" t="s">
        <v>138</v>
      </c>
      <c r="H97" s="60" t="s">
        <v>139</v>
      </c>
      <c r="I97" s="61" t="s">
        <v>140</v>
      </c>
      <c r="J97" s="61" t="s">
        <v>141</v>
      </c>
      <c r="K97" s="57"/>
      <c r="L97" s="129"/>
      <c r="M97" s="129"/>
    </row>
    <row r="98" spans="1:13" s="37" customFormat="1" ht="14.45" customHeight="1" x14ac:dyDescent="0.2">
      <c r="A98" s="62" t="s">
        <v>142</v>
      </c>
      <c r="B98" s="62" t="s">
        <v>49</v>
      </c>
      <c r="C98" s="62" t="s">
        <v>143</v>
      </c>
      <c r="D98" s="187" t="s">
        <v>144</v>
      </c>
      <c r="E98" s="188"/>
      <c r="F98" s="189"/>
      <c r="G98" s="63">
        <v>50</v>
      </c>
      <c r="H98" s="62" t="s">
        <v>145</v>
      </c>
      <c r="I98" s="63">
        <v>150</v>
      </c>
      <c r="J98" s="63" t="s">
        <v>110</v>
      </c>
      <c r="K98" s="57"/>
      <c r="L98" s="129"/>
      <c r="M98" s="129"/>
    </row>
    <row r="99" spans="1:13" s="37" customFormat="1" ht="14.45" customHeight="1" x14ac:dyDescent="0.2">
      <c r="A99" s="62" t="s">
        <v>142</v>
      </c>
      <c r="B99" s="62" t="s">
        <v>146</v>
      </c>
      <c r="C99" s="62" t="s">
        <v>147</v>
      </c>
      <c r="D99" s="187" t="s">
        <v>148</v>
      </c>
      <c r="E99" s="188"/>
      <c r="F99" s="189"/>
      <c r="G99" s="63">
        <v>3</v>
      </c>
      <c r="H99" s="62" t="s">
        <v>149</v>
      </c>
      <c r="I99" s="63">
        <v>3</v>
      </c>
      <c r="J99" s="63" t="s">
        <v>110</v>
      </c>
      <c r="K99" s="57"/>
      <c r="L99" s="129"/>
      <c r="M99" s="129"/>
    </row>
    <row r="100" spans="1:13" s="37" customFormat="1" ht="14.45" customHeight="1" x14ac:dyDescent="0.2">
      <c r="A100" s="62" t="s">
        <v>150</v>
      </c>
      <c r="B100" s="62" t="s">
        <v>146</v>
      </c>
      <c r="C100" s="62" t="s">
        <v>147</v>
      </c>
      <c r="D100" s="187" t="s">
        <v>151</v>
      </c>
      <c r="E100" s="188"/>
      <c r="F100" s="189"/>
      <c r="G100" s="63">
        <v>3</v>
      </c>
      <c r="H100" s="62" t="s">
        <v>152</v>
      </c>
      <c r="I100" s="63">
        <v>3</v>
      </c>
      <c r="J100" s="63" t="s">
        <v>110</v>
      </c>
      <c r="K100" s="57"/>
      <c r="L100" s="129"/>
      <c r="M100" s="129"/>
    </row>
    <row r="101" spans="1:13" s="37" customFormat="1" ht="14.45" customHeight="1" x14ac:dyDescent="0.2">
      <c r="A101" s="62" t="s">
        <v>173</v>
      </c>
      <c r="B101" s="62" t="s">
        <v>49</v>
      </c>
      <c r="C101" s="62" t="s">
        <v>143</v>
      </c>
      <c r="D101" s="187" t="s">
        <v>313</v>
      </c>
      <c r="E101" s="188"/>
      <c r="F101" s="189"/>
      <c r="G101" s="66">
        <v>75</v>
      </c>
      <c r="H101" s="62" t="s">
        <v>145</v>
      </c>
      <c r="I101" s="66">
        <f>75*3</f>
        <v>225</v>
      </c>
      <c r="J101" s="66" t="s">
        <v>314</v>
      </c>
      <c r="K101" s="132"/>
      <c r="L101" s="129"/>
      <c r="M101" s="129"/>
    </row>
    <row r="102" spans="1:13" s="37" customFormat="1" ht="14.45" customHeight="1" x14ac:dyDescent="0.2">
      <c r="A102" s="62" t="s">
        <v>142</v>
      </c>
      <c r="B102" s="62" t="s">
        <v>49</v>
      </c>
      <c r="C102" s="62" t="s">
        <v>143</v>
      </c>
      <c r="D102" s="187" t="s">
        <v>279</v>
      </c>
      <c r="E102" s="188"/>
      <c r="F102" s="189"/>
      <c r="G102" s="63">
        <v>150</v>
      </c>
      <c r="H102" s="62" t="s">
        <v>280</v>
      </c>
      <c r="I102" s="63" t="s">
        <v>153</v>
      </c>
      <c r="J102" s="63" t="s">
        <v>110</v>
      </c>
      <c r="K102" s="57"/>
      <c r="L102" s="129"/>
      <c r="M102" s="129"/>
    </row>
    <row r="103" spans="1:13" s="37" customFormat="1" ht="14.45" customHeight="1" x14ac:dyDescent="0.2">
      <c r="A103" s="62" t="s">
        <v>154</v>
      </c>
      <c r="B103" s="62" t="s">
        <v>49</v>
      </c>
      <c r="C103" s="62" t="s">
        <v>143</v>
      </c>
      <c r="D103" s="187" t="s">
        <v>155</v>
      </c>
      <c r="E103" s="188"/>
      <c r="F103" s="189"/>
      <c r="G103" s="63">
        <v>250</v>
      </c>
      <c r="H103" s="62" t="s">
        <v>49</v>
      </c>
      <c r="I103" s="63" t="s">
        <v>153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5" t="s">
        <v>156</v>
      </c>
      <c r="B104" s="65" t="s">
        <v>49</v>
      </c>
      <c r="C104" s="65" t="s">
        <v>143</v>
      </c>
      <c r="D104" s="187" t="s">
        <v>157</v>
      </c>
      <c r="E104" s="188"/>
      <c r="F104" s="189"/>
      <c r="G104" s="63">
        <v>250</v>
      </c>
      <c r="H104" s="62" t="s">
        <v>49</v>
      </c>
      <c r="I104" s="63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142</v>
      </c>
      <c r="B105" s="62" t="s">
        <v>49</v>
      </c>
      <c r="C105" s="62" t="s">
        <v>143</v>
      </c>
      <c r="D105" s="187" t="s">
        <v>281</v>
      </c>
      <c r="E105" s="188"/>
      <c r="F105" s="189"/>
      <c r="G105" s="63">
        <v>200</v>
      </c>
      <c r="H105" s="62" t="s">
        <v>280</v>
      </c>
      <c r="I105" s="63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142</v>
      </c>
      <c r="B106" s="62" t="s">
        <v>49</v>
      </c>
      <c r="C106" s="62" t="s">
        <v>143</v>
      </c>
      <c r="D106" s="187" t="s">
        <v>158</v>
      </c>
      <c r="E106" s="188"/>
      <c r="F106" s="189"/>
      <c r="G106" s="66">
        <v>150</v>
      </c>
      <c r="H106" s="62" t="s">
        <v>49</v>
      </c>
      <c r="I106" s="66" t="s">
        <v>153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150</v>
      </c>
      <c r="B107" s="67" t="s">
        <v>49</v>
      </c>
      <c r="C107" s="62" t="s">
        <v>143</v>
      </c>
      <c r="D107" s="187" t="s">
        <v>159</v>
      </c>
      <c r="E107" s="188"/>
      <c r="F107" s="189"/>
      <c r="G107" s="68">
        <v>180</v>
      </c>
      <c r="H107" s="67" t="s">
        <v>49</v>
      </c>
      <c r="I107" s="68" t="s">
        <v>153</v>
      </c>
      <c r="J107" s="63" t="s">
        <v>110</v>
      </c>
      <c r="K107" s="57"/>
      <c r="L107" s="129"/>
      <c r="M107" s="129"/>
    </row>
    <row r="108" spans="1:13" s="37" customFormat="1" ht="14.45" customHeight="1" x14ac:dyDescent="0.2">
      <c r="A108" s="62" t="s">
        <v>160</v>
      </c>
      <c r="B108" s="67" t="s">
        <v>49</v>
      </c>
      <c r="C108" s="62" t="s">
        <v>143</v>
      </c>
      <c r="D108" s="187" t="s">
        <v>161</v>
      </c>
      <c r="E108" s="188"/>
      <c r="F108" s="189"/>
      <c r="G108" s="69">
        <v>47.9</v>
      </c>
      <c r="H108" s="67" t="s">
        <v>24</v>
      </c>
      <c r="I108" s="69">
        <v>47.9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160</v>
      </c>
      <c r="B109" s="67" t="s">
        <v>49</v>
      </c>
      <c r="C109" s="62" t="s">
        <v>143</v>
      </c>
      <c r="D109" s="187" t="s">
        <v>161</v>
      </c>
      <c r="E109" s="188"/>
      <c r="F109" s="189"/>
      <c r="G109" s="69">
        <v>65.400000000000006</v>
      </c>
      <c r="H109" s="67" t="s">
        <v>162</v>
      </c>
      <c r="I109" s="69">
        <v>65.400000000000006</v>
      </c>
      <c r="J109" s="63" t="s">
        <v>110</v>
      </c>
      <c r="K109" s="57"/>
      <c r="L109" s="129"/>
      <c r="M109" s="129"/>
    </row>
    <row r="110" spans="1:13" s="37" customFormat="1" ht="14.1" customHeight="1" x14ac:dyDescent="0.2">
      <c r="A110" s="62" t="s">
        <v>163</v>
      </c>
      <c r="B110" s="67" t="s">
        <v>49</v>
      </c>
      <c r="C110" s="62" t="s">
        <v>143</v>
      </c>
      <c r="D110" s="187" t="s">
        <v>164</v>
      </c>
      <c r="E110" s="188"/>
      <c r="F110" s="189"/>
      <c r="G110" s="69">
        <v>48</v>
      </c>
      <c r="H110" s="67" t="s">
        <v>49</v>
      </c>
      <c r="I110" s="69">
        <v>48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163</v>
      </c>
      <c r="B111" s="67" t="s">
        <v>49</v>
      </c>
      <c r="C111" s="62" t="s">
        <v>143</v>
      </c>
      <c r="D111" s="187" t="s">
        <v>165</v>
      </c>
      <c r="E111" s="188"/>
      <c r="F111" s="189"/>
      <c r="G111" s="69">
        <v>18</v>
      </c>
      <c r="H111" s="67" t="s">
        <v>49</v>
      </c>
      <c r="I111" s="69">
        <v>18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163</v>
      </c>
      <c r="B112" s="67" t="s">
        <v>49</v>
      </c>
      <c r="C112" s="62" t="s">
        <v>143</v>
      </c>
      <c r="D112" s="187" t="s">
        <v>166</v>
      </c>
      <c r="E112" s="188"/>
      <c r="F112" s="189"/>
      <c r="G112" s="69">
        <v>42</v>
      </c>
      <c r="H112" s="67" t="s">
        <v>49</v>
      </c>
      <c r="I112" s="69">
        <v>42</v>
      </c>
      <c r="J112" s="63" t="s">
        <v>110</v>
      </c>
      <c r="K112" s="57"/>
      <c r="L112" s="129"/>
      <c r="M112" s="129"/>
    </row>
    <row r="113" spans="1:13" s="37" customFormat="1" ht="14.45" customHeight="1" x14ac:dyDescent="0.2">
      <c r="A113" s="62" t="s">
        <v>167</v>
      </c>
      <c r="B113" s="62" t="s">
        <v>49</v>
      </c>
      <c r="C113" s="62" t="s">
        <v>143</v>
      </c>
      <c r="D113" s="187" t="s">
        <v>168</v>
      </c>
      <c r="E113" s="188"/>
      <c r="F113" s="189"/>
      <c r="G113" s="66">
        <v>54</v>
      </c>
      <c r="H113" s="62" t="s">
        <v>49</v>
      </c>
      <c r="I113" s="66">
        <v>54</v>
      </c>
      <c r="J113" s="63" t="s">
        <v>110</v>
      </c>
      <c r="K113" s="57"/>
      <c r="L113" s="129"/>
      <c r="M113" s="129"/>
    </row>
    <row r="114" spans="1:13" s="37" customFormat="1" ht="14.45" customHeight="1" x14ac:dyDescent="0.2">
      <c r="A114" s="67" t="s">
        <v>169</v>
      </c>
      <c r="B114" s="67" t="s">
        <v>49</v>
      </c>
      <c r="C114" s="67" t="s">
        <v>147</v>
      </c>
      <c r="D114" s="187" t="s">
        <v>170</v>
      </c>
      <c r="E114" s="188"/>
      <c r="F114" s="189"/>
      <c r="G114" s="70">
        <v>35</v>
      </c>
      <c r="H114" s="70" t="s">
        <v>280</v>
      </c>
      <c r="I114" s="70">
        <v>35</v>
      </c>
      <c r="J114" s="63" t="s">
        <v>110</v>
      </c>
      <c r="K114" s="57"/>
      <c r="L114" s="129"/>
      <c r="M114" s="129"/>
    </row>
    <row r="115" spans="1:13" s="37" customFormat="1" ht="14.45" customHeight="1" x14ac:dyDescent="0.2">
      <c r="A115" s="62" t="s">
        <v>142</v>
      </c>
      <c r="B115" s="62" t="s">
        <v>49</v>
      </c>
      <c r="C115" s="62" t="s">
        <v>143</v>
      </c>
      <c r="D115" s="187" t="s">
        <v>171</v>
      </c>
      <c r="E115" s="188"/>
      <c r="F115" s="189"/>
      <c r="G115" s="63">
        <v>85</v>
      </c>
      <c r="H115" s="62" t="s">
        <v>172</v>
      </c>
      <c r="I115" s="63" t="s">
        <v>153</v>
      </c>
      <c r="J115" s="63" t="s">
        <v>110</v>
      </c>
      <c r="K115" s="57"/>
      <c r="L115" s="129"/>
      <c r="M115" s="129"/>
    </row>
    <row r="116" spans="1:13" s="37" customFormat="1" ht="14.45" customHeight="1" x14ac:dyDescent="0.2">
      <c r="A116" s="62" t="s">
        <v>173</v>
      </c>
      <c r="B116" s="62" t="s">
        <v>146</v>
      </c>
      <c r="C116" s="62" t="s">
        <v>147</v>
      </c>
      <c r="D116" s="187" t="s">
        <v>174</v>
      </c>
      <c r="E116" s="188"/>
      <c r="F116" s="189"/>
      <c r="G116" s="63">
        <v>4</v>
      </c>
      <c r="H116" s="62" t="s">
        <v>149</v>
      </c>
      <c r="I116" s="63">
        <v>4</v>
      </c>
      <c r="J116" s="63" t="s">
        <v>110</v>
      </c>
      <c r="K116" s="57"/>
      <c r="L116" s="129"/>
      <c r="M116" s="129"/>
    </row>
    <row r="117" spans="1:13" s="37" customFormat="1" ht="24" customHeight="1" x14ac:dyDescent="0.2">
      <c r="A117" s="62" t="s">
        <v>173</v>
      </c>
      <c r="B117" s="62" t="s">
        <v>49</v>
      </c>
      <c r="C117" s="62" t="s">
        <v>143</v>
      </c>
      <c r="D117" s="187" t="s">
        <v>175</v>
      </c>
      <c r="E117" s="188"/>
      <c r="F117" s="189"/>
      <c r="G117" s="137" t="s">
        <v>348</v>
      </c>
      <c r="H117" s="62" t="s">
        <v>24</v>
      </c>
      <c r="I117" s="66" t="s">
        <v>153</v>
      </c>
      <c r="J117" s="63" t="s">
        <v>282</v>
      </c>
      <c r="K117" s="57"/>
      <c r="L117" s="129"/>
      <c r="M117" s="129"/>
    </row>
    <row r="118" spans="1:13" s="37" customFormat="1" ht="27" customHeight="1" x14ac:dyDescent="0.2">
      <c r="A118" s="62" t="s">
        <v>173</v>
      </c>
      <c r="B118" s="62" t="s">
        <v>49</v>
      </c>
      <c r="C118" s="62" t="s">
        <v>143</v>
      </c>
      <c r="D118" s="187" t="s">
        <v>176</v>
      </c>
      <c r="E118" s="188"/>
      <c r="F118" s="189"/>
      <c r="G118" s="137" t="s">
        <v>348</v>
      </c>
      <c r="H118" s="62" t="s">
        <v>162</v>
      </c>
      <c r="I118" s="66" t="s">
        <v>153</v>
      </c>
      <c r="J118" s="63" t="s">
        <v>282</v>
      </c>
      <c r="K118" s="57"/>
      <c r="L118" s="129"/>
      <c r="M118" s="129"/>
    </row>
    <row r="119" spans="1:13" s="152" customFormat="1" ht="52.35" customHeight="1" x14ac:dyDescent="0.2">
      <c r="A119" s="67" t="s">
        <v>142</v>
      </c>
      <c r="B119" s="67" t="s">
        <v>49</v>
      </c>
      <c r="C119" s="147" t="s">
        <v>362</v>
      </c>
      <c r="D119" s="190" t="s">
        <v>363</v>
      </c>
      <c r="E119" s="191"/>
      <c r="F119" s="192"/>
      <c r="G119" s="146" t="s">
        <v>371</v>
      </c>
      <c r="H119" s="148" t="s">
        <v>280</v>
      </c>
      <c r="I119" s="69" t="s">
        <v>153</v>
      </c>
      <c r="J119" s="149" t="s">
        <v>365</v>
      </c>
      <c r="K119" s="111"/>
      <c r="L119" s="151"/>
      <c r="M119" s="151"/>
    </row>
    <row r="120" spans="1:13" s="37" customFormat="1" ht="14.45" customHeight="1" x14ac:dyDescent="0.2">
      <c r="A120" s="62" t="s">
        <v>173</v>
      </c>
      <c r="B120" s="62" t="s">
        <v>146</v>
      </c>
      <c r="C120" s="62" t="s">
        <v>147</v>
      </c>
      <c r="D120" s="187" t="s">
        <v>177</v>
      </c>
      <c r="E120" s="188"/>
      <c r="F120" s="189"/>
      <c r="G120" s="63">
        <v>2</v>
      </c>
      <c r="H120" s="62" t="s">
        <v>149</v>
      </c>
      <c r="I120" s="63">
        <v>2</v>
      </c>
      <c r="J120" s="63" t="s">
        <v>110</v>
      </c>
      <c r="K120" s="57"/>
      <c r="L120" s="129"/>
      <c r="M120" s="129"/>
    </row>
    <row r="121" spans="1:13" s="37" customFormat="1" ht="14.45" customHeight="1" x14ac:dyDescent="0.2">
      <c r="A121" s="62" t="s">
        <v>173</v>
      </c>
      <c r="B121" s="62" t="s">
        <v>146</v>
      </c>
      <c r="C121" s="62" t="s">
        <v>283</v>
      </c>
      <c r="D121" s="187" t="s">
        <v>284</v>
      </c>
      <c r="E121" s="188"/>
      <c r="F121" s="189"/>
      <c r="G121" s="63">
        <v>10</v>
      </c>
      <c r="H121" s="62" t="s">
        <v>285</v>
      </c>
      <c r="I121" s="63" t="s">
        <v>153</v>
      </c>
      <c r="J121" s="63" t="s">
        <v>110</v>
      </c>
      <c r="K121" s="57"/>
      <c r="L121" s="129"/>
      <c r="M121" s="129"/>
    </row>
    <row r="122" spans="1:13" s="37" customFormat="1" ht="14.45" customHeight="1" x14ac:dyDescent="0.2">
      <c r="A122" s="62" t="s">
        <v>142</v>
      </c>
      <c r="B122" s="62" t="s">
        <v>49</v>
      </c>
      <c r="C122" s="62" t="s">
        <v>143</v>
      </c>
      <c r="D122" s="187" t="s">
        <v>178</v>
      </c>
      <c r="E122" s="188"/>
      <c r="F122" s="189"/>
      <c r="G122" s="63">
        <v>50</v>
      </c>
      <c r="H122" s="62" t="s">
        <v>145</v>
      </c>
      <c r="I122" s="63" t="s">
        <v>153</v>
      </c>
      <c r="J122" s="63" t="s">
        <v>110</v>
      </c>
      <c r="K122" s="57"/>
      <c r="L122" s="129"/>
      <c r="M122" s="129"/>
    </row>
    <row r="123" spans="1:13" s="37" customFormat="1" ht="14.45" customHeight="1" x14ac:dyDescent="0.2">
      <c r="A123" s="62" t="s">
        <v>173</v>
      </c>
      <c r="B123" s="62" t="s">
        <v>49</v>
      </c>
      <c r="C123" s="62" t="s">
        <v>143</v>
      </c>
      <c r="D123" s="187" t="s">
        <v>179</v>
      </c>
      <c r="E123" s="188"/>
      <c r="F123" s="189"/>
      <c r="G123" s="63">
        <v>175</v>
      </c>
      <c r="H123" s="62" t="s">
        <v>49</v>
      </c>
      <c r="I123" s="63" t="s">
        <v>153</v>
      </c>
      <c r="J123" s="63" t="s">
        <v>110</v>
      </c>
      <c r="K123" s="57"/>
      <c r="L123" s="129"/>
      <c r="M123" s="129"/>
    </row>
    <row r="124" spans="1:13" s="37" customFormat="1" ht="14.45" customHeight="1" x14ac:dyDescent="0.2">
      <c r="A124" s="62" t="s">
        <v>142</v>
      </c>
      <c r="B124" s="62" t="s">
        <v>49</v>
      </c>
      <c r="C124" s="62" t="s">
        <v>147</v>
      </c>
      <c r="D124" s="187" t="s">
        <v>180</v>
      </c>
      <c r="E124" s="188"/>
      <c r="F124" s="189"/>
      <c r="G124" s="63">
        <v>40</v>
      </c>
      <c r="H124" s="62" t="s">
        <v>181</v>
      </c>
      <c r="I124" s="63" t="s">
        <v>153</v>
      </c>
      <c r="J124" s="63" t="s">
        <v>110</v>
      </c>
      <c r="K124" s="57"/>
      <c r="L124" s="129"/>
      <c r="M124" s="129"/>
    </row>
    <row r="125" spans="1:13" s="37" customFormat="1" ht="14.45" customHeight="1" x14ac:dyDescent="0.2">
      <c r="A125" s="62" t="s">
        <v>173</v>
      </c>
      <c r="B125" s="62" t="s">
        <v>146</v>
      </c>
      <c r="C125" s="62" t="s">
        <v>147</v>
      </c>
      <c r="D125" s="187" t="s">
        <v>182</v>
      </c>
      <c r="E125" s="188"/>
      <c r="F125" s="189"/>
      <c r="G125" s="63">
        <v>7.5</v>
      </c>
      <c r="H125" s="62" t="s">
        <v>152</v>
      </c>
      <c r="I125" s="63">
        <v>75</v>
      </c>
      <c r="J125" s="63" t="s">
        <v>110</v>
      </c>
      <c r="K125" s="57"/>
      <c r="L125" s="129"/>
      <c r="M125" s="129"/>
    </row>
    <row r="126" spans="1:13" s="37" customFormat="1" ht="14.45" customHeight="1" x14ac:dyDescent="0.2">
      <c r="A126" s="62" t="s">
        <v>142</v>
      </c>
      <c r="B126" s="62" t="s">
        <v>146</v>
      </c>
      <c r="C126" s="62" t="s">
        <v>147</v>
      </c>
      <c r="D126" s="187" t="s">
        <v>183</v>
      </c>
      <c r="E126" s="188"/>
      <c r="F126" s="189"/>
      <c r="G126" s="63">
        <v>20</v>
      </c>
      <c r="H126" s="62" t="s">
        <v>184</v>
      </c>
      <c r="I126" s="63" t="s">
        <v>153</v>
      </c>
      <c r="J126" s="63" t="s">
        <v>110</v>
      </c>
      <c r="K126" s="57"/>
      <c r="L126" s="129"/>
      <c r="M126" s="129"/>
    </row>
    <row r="127" spans="1:13" s="37" customFormat="1" ht="14.45" customHeight="1" x14ac:dyDescent="0.2">
      <c r="A127" s="62" t="s">
        <v>142</v>
      </c>
      <c r="B127" s="62" t="s">
        <v>146</v>
      </c>
      <c r="C127" s="62" t="s">
        <v>147</v>
      </c>
      <c r="D127" s="187" t="s">
        <v>185</v>
      </c>
      <c r="E127" s="188"/>
      <c r="F127" s="189"/>
      <c r="G127" s="63">
        <v>25</v>
      </c>
      <c r="H127" s="62" t="s">
        <v>184</v>
      </c>
      <c r="I127" s="63" t="s">
        <v>153</v>
      </c>
      <c r="J127" s="63" t="s">
        <v>110</v>
      </c>
      <c r="K127" s="57"/>
      <c r="L127" s="129"/>
      <c r="M127" s="129"/>
    </row>
    <row r="128" spans="1:13" s="37" customFormat="1" ht="14.45" customHeight="1" x14ac:dyDescent="0.2">
      <c r="A128" s="62" t="s">
        <v>142</v>
      </c>
      <c r="B128" s="62" t="s">
        <v>142</v>
      </c>
      <c r="C128" s="62" t="s">
        <v>147</v>
      </c>
      <c r="D128" s="187" t="s">
        <v>186</v>
      </c>
      <c r="E128" s="188"/>
      <c r="F128" s="189"/>
      <c r="G128" s="68">
        <v>75</v>
      </c>
      <c r="H128" s="62" t="s">
        <v>181</v>
      </c>
      <c r="I128" s="63" t="s">
        <v>153</v>
      </c>
      <c r="J128" s="63" t="s">
        <v>110</v>
      </c>
      <c r="K128" s="57"/>
      <c r="L128" s="129"/>
      <c r="M128" s="129"/>
    </row>
    <row r="129" spans="1:29" s="37" customFormat="1" ht="14.45" customHeight="1" x14ac:dyDescent="0.2">
      <c r="A129" s="62" t="s">
        <v>142</v>
      </c>
      <c r="B129" s="62" t="s">
        <v>142</v>
      </c>
      <c r="C129" s="62" t="s">
        <v>147</v>
      </c>
      <c r="D129" s="187" t="s">
        <v>187</v>
      </c>
      <c r="E129" s="188"/>
      <c r="F129" s="189"/>
      <c r="G129" s="63">
        <v>35</v>
      </c>
      <c r="H129" s="62" t="s">
        <v>181</v>
      </c>
      <c r="I129" s="63" t="s">
        <v>153</v>
      </c>
      <c r="J129" s="63" t="s">
        <v>110</v>
      </c>
      <c r="K129" s="57"/>
      <c r="L129" s="129"/>
      <c r="M129" s="129"/>
    </row>
    <row r="130" spans="1:29" s="37" customFormat="1" ht="14.45" customHeight="1" x14ac:dyDescent="0.2">
      <c r="A130" s="62" t="s">
        <v>142</v>
      </c>
      <c r="B130" s="62" t="s">
        <v>146</v>
      </c>
      <c r="C130" s="62" t="s">
        <v>143</v>
      </c>
      <c r="D130" s="187" t="s">
        <v>188</v>
      </c>
      <c r="E130" s="188"/>
      <c r="F130" s="189"/>
      <c r="G130" s="63">
        <v>100</v>
      </c>
      <c r="H130" s="62" t="s">
        <v>181</v>
      </c>
      <c r="I130" s="63" t="s">
        <v>153</v>
      </c>
      <c r="J130" s="63" t="s">
        <v>110</v>
      </c>
      <c r="K130" s="57"/>
      <c r="L130" s="129"/>
      <c r="M130" s="129"/>
    </row>
    <row r="131" spans="1:29" s="37" customFormat="1" ht="14.45" customHeight="1" x14ac:dyDescent="0.2">
      <c r="A131" s="62" t="s">
        <v>142</v>
      </c>
      <c r="B131" s="62" t="s">
        <v>146</v>
      </c>
      <c r="C131" s="62" t="s">
        <v>143</v>
      </c>
      <c r="D131" s="187" t="s">
        <v>189</v>
      </c>
      <c r="E131" s="188"/>
      <c r="F131" s="189"/>
      <c r="G131" s="63">
        <v>100</v>
      </c>
      <c r="H131" s="62" t="s">
        <v>190</v>
      </c>
      <c r="I131" s="63" t="s">
        <v>153</v>
      </c>
      <c r="J131" s="63" t="s">
        <v>110</v>
      </c>
      <c r="K131" s="57"/>
      <c r="O131" s="38"/>
      <c r="P131" s="38"/>
    </row>
    <row r="132" spans="1:29" s="37" customFormat="1" ht="14.45" customHeight="1" x14ac:dyDescent="0.2">
      <c r="A132" s="62" t="s">
        <v>142</v>
      </c>
      <c r="B132" s="62" t="s">
        <v>146</v>
      </c>
      <c r="C132" s="62" t="s">
        <v>143</v>
      </c>
      <c r="D132" s="187" t="s">
        <v>191</v>
      </c>
      <c r="E132" s="188"/>
      <c r="F132" s="189"/>
      <c r="G132" s="63">
        <v>100</v>
      </c>
      <c r="H132" s="62" t="s">
        <v>181</v>
      </c>
      <c r="I132" s="63" t="s">
        <v>153</v>
      </c>
      <c r="J132" s="63" t="s">
        <v>110</v>
      </c>
      <c r="K132" s="57"/>
      <c r="O132" s="39"/>
      <c r="P132" s="39"/>
    </row>
    <row r="133" spans="1:29" s="37" customFormat="1" ht="14.45" customHeight="1" x14ac:dyDescent="0.2">
      <c r="A133" s="62" t="s">
        <v>173</v>
      </c>
      <c r="B133" s="62" t="s">
        <v>146</v>
      </c>
      <c r="C133" s="62" t="s">
        <v>143</v>
      </c>
      <c r="D133" s="187" t="s">
        <v>189</v>
      </c>
      <c r="E133" s="188"/>
      <c r="F133" s="189"/>
      <c r="G133" s="63">
        <v>50</v>
      </c>
      <c r="H133" s="62" t="s">
        <v>192</v>
      </c>
      <c r="I133" s="63" t="s">
        <v>153</v>
      </c>
      <c r="J133" s="63" t="s">
        <v>110</v>
      </c>
      <c r="K133" s="57"/>
      <c r="O133" s="39"/>
      <c r="P133" s="39"/>
    </row>
    <row r="134" spans="1:29" s="37" customFormat="1" ht="14.45" customHeight="1" x14ac:dyDescent="0.2">
      <c r="A134" s="62" t="s">
        <v>173</v>
      </c>
      <c r="B134" s="62" t="s">
        <v>146</v>
      </c>
      <c r="C134" s="62" t="s">
        <v>143</v>
      </c>
      <c r="D134" s="187" t="s">
        <v>191</v>
      </c>
      <c r="E134" s="188"/>
      <c r="F134" s="189"/>
      <c r="G134" s="63">
        <v>50</v>
      </c>
      <c r="H134" s="62" t="s">
        <v>181</v>
      </c>
      <c r="I134" s="63" t="s">
        <v>153</v>
      </c>
      <c r="J134" s="63" t="s">
        <v>110</v>
      </c>
      <c r="K134" s="57"/>
      <c r="O134" s="38"/>
      <c r="P134" s="38"/>
    </row>
    <row r="135" spans="1:29" s="37" customFormat="1" ht="14.45" customHeight="1" x14ac:dyDescent="0.25">
      <c r="A135" s="62" t="s">
        <v>142</v>
      </c>
      <c r="B135" s="62" t="s">
        <v>146</v>
      </c>
      <c r="C135" s="62" t="s">
        <v>143</v>
      </c>
      <c r="D135" s="187" t="s">
        <v>193</v>
      </c>
      <c r="E135" s="188"/>
      <c r="F135" s="189"/>
      <c r="G135" s="63">
        <v>85</v>
      </c>
      <c r="H135" s="62" t="s">
        <v>194</v>
      </c>
      <c r="I135" s="63" t="s">
        <v>153</v>
      </c>
      <c r="J135" s="63" t="s">
        <v>110</v>
      </c>
      <c r="K135" s="57"/>
      <c r="O135" s="36"/>
      <c r="P135" s="36"/>
    </row>
    <row r="136" spans="1:29" s="37" customFormat="1" ht="14.45" customHeight="1" x14ac:dyDescent="0.25">
      <c r="A136" s="62" t="s">
        <v>173</v>
      </c>
      <c r="B136" s="62" t="s">
        <v>146</v>
      </c>
      <c r="C136" s="62" t="s">
        <v>195</v>
      </c>
      <c r="D136" s="187" t="s">
        <v>196</v>
      </c>
      <c r="E136" s="188"/>
      <c r="F136" s="189"/>
      <c r="G136" s="63">
        <v>0.1</v>
      </c>
      <c r="H136" s="62" t="s">
        <v>197</v>
      </c>
      <c r="I136" s="63">
        <v>150</v>
      </c>
      <c r="J136" s="63" t="s">
        <v>110</v>
      </c>
      <c r="K136" s="57"/>
      <c r="O136" s="36"/>
      <c r="P136" s="36"/>
    </row>
    <row r="137" spans="1:29" s="37" customFormat="1" ht="14.45" customHeight="1" x14ac:dyDescent="0.25">
      <c r="A137" s="62" t="s">
        <v>142</v>
      </c>
      <c r="B137" s="62" t="s">
        <v>49</v>
      </c>
      <c r="C137" s="62" t="s">
        <v>198</v>
      </c>
      <c r="D137" s="187" t="s">
        <v>199</v>
      </c>
      <c r="E137" s="188"/>
      <c r="F137" s="189"/>
      <c r="G137" s="63">
        <v>35</v>
      </c>
      <c r="H137" s="62" t="s">
        <v>181</v>
      </c>
      <c r="I137" s="63" t="s">
        <v>153</v>
      </c>
      <c r="J137" s="63" t="s">
        <v>110</v>
      </c>
      <c r="K137" s="57"/>
      <c r="O137" s="36"/>
      <c r="P137" s="36"/>
    </row>
    <row r="138" spans="1:29" s="37" customFormat="1" ht="14.45" customHeight="1" x14ac:dyDescent="0.25">
      <c r="A138" s="62" t="s">
        <v>142</v>
      </c>
      <c r="B138" s="62" t="s">
        <v>146</v>
      </c>
      <c r="C138" s="62" t="s">
        <v>198</v>
      </c>
      <c r="D138" s="187" t="s">
        <v>200</v>
      </c>
      <c r="E138" s="188"/>
      <c r="F138" s="189"/>
      <c r="G138" s="63">
        <v>7</v>
      </c>
      <c r="H138" s="62" t="s">
        <v>152</v>
      </c>
      <c r="I138" s="63">
        <v>7</v>
      </c>
      <c r="J138" s="63" t="s">
        <v>110</v>
      </c>
      <c r="K138" s="57"/>
      <c r="O138" s="36"/>
      <c r="P138" s="36"/>
    </row>
    <row r="139" spans="1:29" s="37" customFormat="1" ht="14.1" customHeight="1" x14ac:dyDescent="0.25">
      <c r="A139" s="62" t="s">
        <v>142</v>
      </c>
      <c r="B139" s="62" t="s">
        <v>142</v>
      </c>
      <c r="C139" s="62" t="s">
        <v>201</v>
      </c>
      <c r="D139" s="187" t="s">
        <v>202</v>
      </c>
      <c r="E139" s="188"/>
      <c r="F139" s="189"/>
      <c r="G139" s="63">
        <v>40</v>
      </c>
      <c r="H139" s="62" t="s">
        <v>203</v>
      </c>
      <c r="I139" s="63" t="s">
        <v>153</v>
      </c>
      <c r="J139" s="63" t="s">
        <v>110</v>
      </c>
      <c r="K139" s="57"/>
      <c r="O139" s="36"/>
      <c r="P139" s="36"/>
    </row>
    <row r="140" spans="1:29" s="37" customFormat="1" ht="14.1" customHeight="1" x14ac:dyDescent="0.25">
      <c r="A140" s="62" t="s">
        <v>142</v>
      </c>
      <c r="B140" s="62" t="s">
        <v>49</v>
      </c>
      <c r="C140" s="62" t="s">
        <v>143</v>
      </c>
      <c r="D140" s="187" t="s">
        <v>204</v>
      </c>
      <c r="E140" s="188"/>
      <c r="F140" s="189"/>
      <c r="G140" s="63">
        <v>50</v>
      </c>
      <c r="H140" s="62" t="s">
        <v>49</v>
      </c>
      <c r="I140" s="63" t="s">
        <v>153</v>
      </c>
      <c r="J140" s="63" t="s">
        <v>110</v>
      </c>
      <c r="K140" s="57"/>
      <c r="L140" s="38"/>
      <c r="M140" s="38"/>
      <c r="N140" s="38"/>
      <c r="O140" s="36"/>
      <c r="P140" s="36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 spans="1:29" s="39" customFormat="1" ht="14.1" customHeight="1" x14ac:dyDescent="0.25">
      <c r="A141" s="62" t="s">
        <v>142</v>
      </c>
      <c r="B141" s="62" t="s">
        <v>49</v>
      </c>
      <c r="C141" s="62" t="s">
        <v>143</v>
      </c>
      <c r="D141" s="187" t="s">
        <v>205</v>
      </c>
      <c r="E141" s="188"/>
      <c r="F141" s="189"/>
      <c r="G141" s="63">
        <v>200</v>
      </c>
      <c r="H141" s="62" t="s">
        <v>206</v>
      </c>
      <c r="I141" s="63" t="s">
        <v>153</v>
      </c>
      <c r="J141" s="63" t="s">
        <v>110</v>
      </c>
      <c r="K141" s="57"/>
      <c r="O141" s="36"/>
      <c r="P141" s="36"/>
    </row>
    <row r="142" spans="1:29" s="39" customFormat="1" ht="14.1" customHeight="1" x14ac:dyDescent="0.25">
      <c r="A142" s="62" t="s">
        <v>142</v>
      </c>
      <c r="B142" s="62" t="s">
        <v>49</v>
      </c>
      <c r="C142" s="62" t="s">
        <v>143</v>
      </c>
      <c r="D142" s="187" t="s">
        <v>207</v>
      </c>
      <c r="E142" s="188"/>
      <c r="F142" s="189"/>
      <c r="G142" s="63">
        <v>250</v>
      </c>
      <c r="H142" s="62" t="s">
        <v>208</v>
      </c>
      <c r="I142" s="63">
        <v>100</v>
      </c>
      <c r="J142" s="63" t="s">
        <v>110</v>
      </c>
      <c r="K142" s="57"/>
      <c r="L142" s="38"/>
      <c r="M142" s="38"/>
      <c r="N142" s="38"/>
      <c r="O142" s="36"/>
      <c r="P142" s="36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 spans="1:29" s="38" customFormat="1" ht="14.1" customHeight="1" x14ac:dyDescent="0.25">
      <c r="A143" s="62" t="s">
        <v>142</v>
      </c>
      <c r="B143" s="62" t="s">
        <v>49</v>
      </c>
      <c r="C143" s="62" t="s">
        <v>201</v>
      </c>
      <c r="D143" s="187" t="s">
        <v>209</v>
      </c>
      <c r="E143" s="188"/>
      <c r="F143" s="189"/>
      <c r="G143" s="63" t="s">
        <v>210</v>
      </c>
      <c r="H143" s="62"/>
      <c r="I143" s="63" t="s">
        <v>153</v>
      </c>
      <c r="J143" s="63" t="s">
        <v>110</v>
      </c>
      <c r="K143" s="57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:29" s="36" customFormat="1" x14ac:dyDescent="0.25">
      <c r="A144" s="62" t="s">
        <v>142</v>
      </c>
      <c r="B144" s="62" t="s">
        <v>49</v>
      </c>
      <c r="C144" s="62" t="s">
        <v>201</v>
      </c>
      <c r="D144" s="187" t="s">
        <v>211</v>
      </c>
      <c r="E144" s="188"/>
      <c r="F144" s="189"/>
      <c r="G144" s="63" t="s">
        <v>212</v>
      </c>
      <c r="H144" s="62"/>
      <c r="I144" s="63" t="s">
        <v>153</v>
      </c>
      <c r="J144" s="63" t="s">
        <v>110</v>
      </c>
      <c r="K144" s="72"/>
    </row>
    <row r="145" spans="1:11" s="36" customFormat="1" x14ac:dyDescent="0.25">
      <c r="A145" s="62" t="s">
        <v>213</v>
      </c>
      <c r="B145" s="62" t="s">
        <v>49</v>
      </c>
      <c r="C145" s="62" t="s">
        <v>214</v>
      </c>
      <c r="D145" s="187" t="s">
        <v>215</v>
      </c>
      <c r="E145" s="188"/>
      <c r="F145" s="189"/>
      <c r="G145" s="63">
        <v>100</v>
      </c>
      <c r="H145" s="62" t="s">
        <v>49</v>
      </c>
      <c r="I145" s="63">
        <v>100</v>
      </c>
      <c r="J145" s="63" t="s">
        <v>110</v>
      </c>
      <c r="K145" s="72"/>
    </row>
    <row r="146" spans="1:11" s="36" customFormat="1" x14ac:dyDescent="0.25">
      <c r="A146" s="62" t="s">
        <v>213</v>
      </c>
      <c r="B146" s="62" t="s">
        <v>216</v>
      </c>
      <c r="C146" s="62" t="s">
        <v>147</v>
      </c>
      <c r="D146" s="187" t="s">
        <v>217</v>
      </c>
      <c r="E146" s="188"/>
      <c r="F146" s="189"/>
      <c r="G146" s="63">
        <v>50</v>
      </c>
      <c r="H146" s="62"/>
      <c r="I146" s="63">
        <v>50</v>
      </c>
      <c r="J146" s="63" t="s">
        <v>110</v>
      </c>
      <c r="K146" s="72"/>
    </row>
    <row r="147" spans="1:11" s="36" customFormat="1" x14ac:dyDescent="0.25">
      <c r="A147" s="62" t="s">
        <v>150</v>
      </c>
      <c r="B147" s="62" t="s">
        <v>49</v>
      </c>
      <c r="C147" s="62" t="s">
        <v>218</v>
      </c>
      <c r="D147" s="187" t="s">
        <v>219</v>
      </c>
      <c r="E147" s="188"/>
      <c r="F147" s="189"/>
      <c r="G147" s="69" t="s">
        <v>220</v>
      </c>
      <c r="H147" s="67" t="s">
        <v>49</v>
      </c>
      <c r="I147" s="69" t="s">
        <v>153</v>
      </c>
      <c r="J147" s="63" t="s">
        <v>110</v>
      </c>
      <c r="K147" s="72"/>
    </row>
    <row r="148" spans="1:11" s="36" customFormat="1" x14ac:dyDescent="0.25">
      <c r="A148" s="62" t="s">
        <v>221</v>
      </c>
      <c r="B148" s="62" t="s">
        <v>49</v>
      </c>
      <c r="C148" s="62" t="s">
        <v>201</v>
      </c>
      <c r="D148" s="187" t="s">
        <v>222</v>
      </c>
      <c r="E148" s="188"/>
      <c r="F148" s="189"/>
      <c r="G148" s="69" t="s">
        <v>220</v>
      </c>
      <c r="H148" s="67" t="s">
        <v>49</v>
      </c>
      <c r="I148" s="69" t="s">
        <v>153</v>
      </c>
      <c r="J148" s="63" t="s">
        <v>110</v>
      </c>
      <c r="K148" s="72"/>
    </row>
    <row r="149" spans="1:11" s="36" customFormat="1" x14ac:dyDescent="0.25">
      <c r="A149" s="62" t="s">
        <v>142</v>
      </c>
      <c r="B149" s="62" t="s">
        <v>49</v>
      </c>
      <c r="C149" s="62" t="s">
        <v>223</v>
      </c>
      <c r="D149" s="187" t="s">
        <v>224</v>
      </c>
      <c r="E149" s="188"/>
      <c r="F149" s="189"/>
      <c r="G149" s="63" t="s">
        <v>225</v>
      </c>
      <c r="H149" s="62"/>
      <c r="I149" s="63" t="s">
        <v>153</v>
      </c>
      <c r="J149" s="63" t="s">
        <v>110</v>
      </c>
      <c r="K149" s="72"/>
    </row>
    <row r="150" spans="1:11" s="36" customFormat="1" x14ac:dyDescent="0.25">
      <c r="A150" s="62" t="s">
        <v>142</v>
      </c>
      <c r="B150" s="62" t="s">
        <v>49</v>
      </c>
      <c r="C150" s="62" t="s">
        <v>226</v>
      </c>
      <c r="D150" s="187" t="s">
        <v>227</v>
      </c>
      <c r="E150" s="188"/>
      <c r="F150" s="189"/>
      <c r="G150" s="66">
        <v>150</v>
      </c>
      <c r="H150" s="62" t="s">
        <v>49</v>
      </c>
      <c r="I150" s="66">
        <v>150</v>
      </c>
      <c r="J150" s="63" t="s">
        <v>110</v>
      </c>
      <c r="K150" s="72"/>
    </row>
    <row r="151" spans="1:11" s="36" customFormat="1" x14ac:dyDescent="0.25">
      <c r="A151" s="62" t="s">
        <v>142</v>
      </c>
      <c r="B151" s="62" t="s">
        <v>49</v>
      </c>
      <c r="C151" s="62" t="s">
        <v>228</v>
      </c>
      <c r="D151" s="187" t="s">
        <v>229</v>
      </c>
      <c r="E151" s="188"/>
      <c r="F151" s="189"/>
      <c r="G151" s="66">
        <v>25</v>
      </c>
      <c r="H151" s="62" t="s">
        <v>230</v>
      </c>
      <c r="I151" s="66">
        <v>25</v>
      </c>
      <c r="J151" s="63" t="s">
        <v>110</v>
      </c>
      <c r="K151" s="72"/>
    </row>
    <row r="152" spans="1:11" s="36" customFormat="1" x14ac:dyDescent="0.25">
      <c r="A152" s="62" t="s">
        <v>142</v>
      </c>
      <c r="B152" s="62" t="s">
        <v>146</v>
      </c>
      <c r="C152" s="62" t="s">
        <v>198</v>
      </c>
      <c r="D152" s="187" t="s">
        <v>231</v>
      </c>
      <c r="E152" s="188"/>
      <c r="F152" s="189"/>
      <c r="G152" s="66" t="s">
        <v>232</v>
      </c>
      <c r="H152" s="62" t="s">
        <v>149</v>
      </c>
      <c r="I152" s="66" t="s">
        <v>153</v>
      </c>
      <c r="J152" s="63" t="s">
        <v>110</v>
      </c>
      <c r="K152" s="72"/>
    </row>
    <row r="153" spans="1:11" s="36" customFormat="1" x14ac:dyDescent="0.25">
      <c r="A153" s="62" t="s">
        <v>173</v>
      </c>
      <c r="B153" s="62" t="s">
        <v>146</v>
      </c>
      <c r="C153" s="62" t="s">
        <v>233</v>
      </c>
      <c r="D153" s="187" t="s">
        <v>234</v>
      </c>
      <c r="E153" s="188"/>
      <c r="F153" s="189"/>
      <c r="G153" s="66">
        <v>0.5</v>
      </c>
      <c r="H153" s="62" t="s">
        <v>235</v>
      </c>
      <c r="I153" s="66">
        <v>50</v>
      </c>
      <c r="J153" s="63" t="s">
        <v>110</v>
      </c>
      <c r="K153" s="72"/>
    </row>
    <row r="154" spans="1:11" s="36" customFormat="1" x14ac:dyDescent="0.25">
      <c r="A154" s="62" t="s">
        <v>173</v>
      </c>
      <c r="B154" s="62" t="s">
        <v>146</v>
      </c>
      <c r="C154" s="62" t="s">
        <v>201</v>
      </c>
      <c r="D154" s="187" t="s">
        <v>237</v>
      </c>
      <c r="E154" s="188"/>
      <c r="F154" s="189"/>
      <c r="G154" s="66" t="s">
        <v>238</v>
      </c>
      <c r="H154" s="62" t="s">
        <v>235</v>
      </c>
      <c r="I154" s="66">
        <v>50</v>
      </c>
      <c r="J154" s="63" t="s">
        <v>110</v>
      </c>
      <c r="K154" s="72"/>
    </row>
    <row r="155" spans="1:11" s="36" customFormat="1" x14ac:dyDescent="0.25">
      <c r="A155" s="62" t="s">
        <v>239</v>
      </c>
      <c r="B155" s="62" t="s">
        <v>49</v>
      </c>
      <c r="C155" s="62" t="s">
        <v>143</v>
      </c>
      <c r="D155" s="187" t="s">
        <v>240</v>
      </c>
      <c r="E155" s="188"/>
      <c r="F155" s="189"/>
      <c r="G155" s="69" t="s">
        <v>220</v>
      </c>
      <c r="H155" s="67" t="s">
        <v>49</v>
      </c>
      <c r="I155" s="69" t="s">
        <v>153</v>
      </c>
      <c r="J155" s="63" t="s">
        <v>110</v>
      </c>
      <c r="K155" s="72"/>
    </row>
    <row r="156" spans="1:11" s="36" customFormat="1" x14ac:dyDescent="0.25">
      <c r="A156" s="62" t="s">
        <v>142</v>
      </c>
      <c r="B156" s="62" t="s">
        <v>142</v>
      </c>
      <c r="C156" s="62" t="s">
        <v>147</v>
      </c>
      <c r="D156" s="187" t="s">
        <v>241</v>
      </c>
      <c r="E156" s="188"/>
      <c r="F156" s="189"/>
      <c r="G156" s="66" t="s">
        <v>242</v>
      </c>
      <c r="H156" s="62"/>
      <c r="I156" s="66">
        <v>15</v>
      </c>
      <c r="J156" s="63" t="s">
        <v>110</v>
      </c>
      <c r="K156" s="72"/>
    </row>
    <row r="157" spans="1:11" s="36" customFormat="1" x14ac:dyDescent="0.25">
      <c r="A157" s="62" t="s">
        <v>243</v>
      </c>
      <c r="B157" s="62" t="s">
        <v>49</v>
      </c>
      <c r="C157" s="62" t="s">
        <v>143</v>
      </c>
      <c r="D157" s="187" t="s">
        <v>244</v>
      </c>
      <c r="E157" s="188"/>
      <c r="F157" s="189"/>
      <c r="G157" s="66">
        <v>200</v>
      </c>
      <c r="H157" s="62" t="s">
        <v>49</v>
      </c>
      <c r="I157" s="63">
        <v>200</v>
      </c>
      <c r="J157" s="63" t="s">
        <v>110</v>
      </c>
      <c r="K157" s="72"/>
    </row>
    <row r="158" spans="1:11" s="36" customFormat="1" x14ac:dyDescent="0.25">
      <c r="A158" s="62" t="s">
        <v>245</v>
      </c>
      <c r="B158" s="62" t="s">
        <v>49</v>
      </c>
      <c r="C158" s="62" t="s">
        <v>143</v>
      </c>
      <c r="D158" s="187" t="s">
        <v>246</v>
      </c>
      <c r="E158" s="188"/>
      <c r="F158" s="189"/>
      <c r="G158" s="66">
        <v>250</v>
      </c>
      <c r="H158" s="62" t="s">
        <v>49</v>
      </c>
      <c r="I158" s="63">
        <v>100</v>
      </c>
      <c r="J158" s="63" t="s">
        <v>110</v>
      </c>
      <c r="K158" s="72"/>
    </row>
    <row r="159" spans="1:11" s="36" customFormat="1" x14ac:dyDescent="0.25">
      <c r="A159" s="62" t="s">
        <v>247</v>
      </c>
      <c r="B159" s="62" t="s">
        <v>49</v>
      </c>
      <c r="C159" s="62" t="s">
        <v>143</v>
      </c>
      <c r="D159" s="187" t="s">
        <v>248</v>
      </c>
      <c r="E159" s="188"/>
      <c r="F159" s="189"/>
      <c r="G159" s="63">
        <v>250</v>
      </c>
      <c r="H159" s="62" t="s">
        <v>49</v>
      </c>
      <c r="I159" s="63">
        <v>200</v>
      </c>
      <c r="J159" s="63" t="s">
        <v>110</v>
      </c>
      <c r="K159" s="72"/>
    </row>
    <row r="160" spans="1:11" s="36" customFormat="1" x14ac:dyDescent="0.25">
      <c r="A160" s="62" t="s">
        <v>142</v>
      </c>
      <c r="B160" s="62" t="s">
        <v>49</v>
      </c>
      <c r="C160" s="62" t="s">
        <v>143</v>
      </c>
      <c r="D160" s="187" t="s">
        <v>249</v>
      </c>
      <c r="E160" s="188"/>
      <c r="F160" s="189"/>
      <c r="G160" s="63"/>
      <c r="H160" s="62" t="s">
        <v>49</v>
      </c>
      <c r="I160" s="63" t="s">
        <v>153</v>
      </c>
      <c r="J160" s="63" t="s">
        <v>110</v>
      </c>
      <c r="K160" s="72"/>
    </row>
    <row r="161" spans="1:11" s="36" customFormat="1" x14ac:dyDescent="0.25">
      <c r="A161" s="62" t="s">
        <v>250</v>
      </c>
      <c r="B161" s="62" t="s">
        <v>49</v>
      </c>
      <c r="C161" s="62" t="s">
        <v>143</v>
      </c>
      <c r="D161" s="187" t="s">
        <v>251</v>
      </c>
      <c r="E161" s="188"/>
      <c r="F161" s="189"/>
      <c r="G161" s="66">
        <v>350</v>
      </c>
      <c r="H161" s="62" t="s">
        <v>49</v>
      </c>
      <c r="I161" s="63">
        <v>350</v>
      </c>
      <c r="J161" s="63" t="s">
        <v>110</v>
      </c>
      <c r="K161" s="72"/>
    </row>
    <row r="162" spans="1:11" s="36" customFormat="1" x14ac:dyDescent="0.25">
      <c r="A162" s="118"/>
      <c r="B162" s="118"/>
      <c r="C162" s="118"/>
      <c r="D162" s="119"/>
      <c r="E162" s="119"/>
      <c r="F162" s="119"/>
      <c r="G162" s="120"/>
      <c r="H162" s="118"/>
      <c r="I162" s="121"/>
      <c r="J162" s="121"/>
      <c r="K162" s="72"/>
    </row>
    <row r="163" spans="1:11" s="36" customFormat="1" x14ac:dyDescent="0.25">
      <c r="A163" s="180" t="s">
        <v>72</v>
      </c>
      <c r="B163" s="180"/>
      <c r="C163" s="180"/>
      <c r="D163" s="180"/>
      <c r="E163" s="180"/>
      <c r="F163" s="180"/>
      <c r="G163" s="180"/>
      <c r="H163" s="180"/>
      <c r="I163" s="180"/>
      <c r="J163" s="180"/>
      <c r="K163" s="72"/>
    </row>
    <row r="164" spans="1:11" s="36" customFormat="1" x14ac:dyDescent="0.25">
      <c r="A164" s="186" t="s">
        <v>67</v>
      </c>
      <c r="B164" s="186"/>
      <c r="C164" s="186"/>
      <c r="D164" s="186"/>
      <c r="E164" s="186" t="s">
        <v>68</v>
      </c>
      <c r="F164" s="186"/>
      <c r="G164" s="186"/>
      <c r="H164" s="186"/>
      <c r="I164" s="186"/>
      <c r="J164" s="186"/>
      <c r="K164" s="72"/>
    </row>
    <row r="165" spans="1:11" s="36" customFormat="1" x14ac:dyDescent="0.25">
      <c r="A165" s="185" t="s">
        <v>73</v>
      </c>
      <c r="B165" s="185"/>
      <c r="C165" s="185"/>
      <c r="D165" s="185"/>
      <c r="E165" s="185" t="s">
        <v>254</v>
      </c>
      <c r="F165" s="185"/>
      <c r="G165" s="185"/>
      <c r="H165" s="185"/>
      <c r="I165" s="185"/>
      <c r="J165" s="185"/>
      <c r="K165" s="72"/>
    </row>
    <row r="166" spans="1:11" s="36" customFormat="1" ht="15" customHeight="1" x14ac:dyDescent="0.25">
      <c r="A166" s="185" t="s">
        <v>252</v>
      </c>
      <c r="B166" s="185"/>
      <c r="C166" s="185"/>
      <c r="D166" s="185"/>
      <c r="E166" s="185" t="s">
        <v>253</v>
      </c>
      <c r="F166" s="185"/>
      <c r="G166" s="185"/>
      <c r="H166" s="185"/>
      <c r="I166" s="185"/>
      <c r="J166" s="185"/>
      <c r="K166" s="72"/>
    </row>
    <row r="167" spans="1:11" s="36" customFormat="1" ht="15" customHeight="1" x14ac:dyDescent="0.25">
      <c r="A167" s="185" t="s">
        <v>74</v>
      </c>
      <c r="B167" s="185"/>
      <c r="C167" s="185"/>
      <c r="D167" s="185"/>
      <c r="E167" s="185" t="s">
        <v>75</v>
      </c>
      <c r="F167" s="185"/>
      <c r="G167" s="185"/>
      <c r="H167" s="185"/>
      <c r="I167" s="185"/>
      <c r="J167" s="185"/>
      <c r="K167" s="72"/>
    </row>
    <row r="168" spans="1:11" s="36" customFormat="1" x14ac:dyDescent="0.25">
      <c r="A168" s="185" t="s">
        <v>76</v>
      </c>
      <c r="B168" s="185"/>
      <c r="C168" s="185"/>
      <c r="D168" s="185"/>
      <c r="E168" s="185" t="s">
        <v>77</v>
      </c>
      <c r="F168" s="185"/>
      <c r="G168" s="185"/>
      <c r="H168" s="185"/>
      <c r="I168" s="185"/>
      <c r="J168" s="185"/>
      <c r="K168" s="72"/>
    </row>
    <row r="169" spans="1:11" s="36" customFormat="1" ht="15" customHeight="1" x14ac:dyDescent="0.25">
      <c r="A169" s="185" t="s">
        <v>78</v>
      </c>
      <c r="B169" s="185"/>
      <c r="C169" s="185"/>
      <c r="D169" s="185"/>
      <c r="E169" s="185" t="s">
        <v>79</v>
      </c>
      <c r="F169" s="185"/>
      <c r="G169" s="185"/>
      <c r="H169" s="185"/>
      <c r="I169" s="185"/>
      <c r="J169" s="185"/>
      <c r="K169" s="72"/>
    </row>
    <row r="170" spans="1:11" s="36" customFormat="1" ht="15" customHeight="1" x14ac:dyDescent="0.25">
      <c r="A170" s="180" t="s">
        <v>89</v>
      </c>
      <c r="B170" s="180"/>
      <c r="C170" s="180"/>
      <c r="D170" s="180"/>
      <c r="E170" s="180"/>
      <c r="F170" s="180"/>
      <c r="G170" s="180"/>
      <c r="H170" s="180"/>
      <c r="I170" s="180"/>
      <c r="J170" s="180"/>
      <c r="K170" s="72"/>
    </row>
    <row r="171" spans="1:11" s="36" customFormat="1" x14ac:dyDescent="0.25">
      <c r="A171" s="181" t="s">
        <v>80</v>
      </c>
      <c r="B171" s="181"/>
      <c r="C171" s="181"/>
      <c r="D171" s="181"/>
      <c r="E171" s="181"/>
      <c r="F171" s="181"/>
      <c r="G171" s="181"/>
      <c r="H171" s="181"/>
      <c r="I171" s="181"/>
      <c r="J171" s="181"/>
      <c r="K171" s="72"/>
    </row>
    <row r="172" spans="1:11" s="36" customFormat="1" ht="15" customHeight="1" x14ac:dyDescent="0.2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72"/>
    </row>
    <row r="173" spans="1:11" s="36" customFormat="1" x14ac:dyDescent="0.25">
      <c r="A173" s="182" t="s">
        <v>90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72"/>
    </row>
    <row r="174" spans="1:11" s="36" customFormat="1" ht="15" customHeight="1" x14ac:dyDescent="0.25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72"/>
    </row>
    <row r="175" spans="1:11" s="42" customFormat="1" ht="13.9" customHeight="1" x14ac:dyDescent="0.25">
      <c r="A175" s="183" t="s">
        <v>353</v>
      </c>
      <c r="B175" s="183"/>
      <c r="C175" s="183"/>
      <c r="D175" s="183"/>
      <c r="E175" s="183"/>
      <c r="F175" s="183"/>
      <c r="G175" s="183"/>
      <c r="H175" s="183"/>
      <c r="I175" s="183"/>
      <c r="J175" s="48"/>
    </row>
    <row r="176" spans="1:11" s="49" customFormat="1" ht="13.9" customHeight="1" x14ac:dyDescent="0.25">
      <c r="A176" s="184" t="s">
        <v>354</v>
      </c>
      <c r="B176" s="184"/>
      <c r="C176" s="184"/>
      <c r="D176" s="184"/>
      <c r="E176" s="184"/>
      <c r="F176" s="184"/>
      <c r="G176" s="184"/>
      <c r="H176" s="184"/>
      <c r="I176" s="184"/>
      <c r="J176" s="48"/>
    </row>
    <row r="177" spans="10:10" x14ac:dyDescent="0.25">
      <c r="J177" s="48"/>
    </row>
    <row r="178" spans="10:10" x14ac:dyDescent="0.25">
      <c r="J178" s="48"/>
    </row>
    <row r="179" spans="10:10" x14ac:dyDescent="0.25">
      <c r="J179" s="48"/>
    </row>
  </sheetData>
  <protectedRanges>
    <protectedRange algorithmName="SHA-512" hashValue="VF6HSW3Iy4xJ9rvYE/9xGHEoimGCygSu8D4FeqmdsD954MzAHwkkxLcwSP9Q5ui8KTGpWBzFAFpp2yGVfuii3Q==" saltValue="Ht0jMOW+8eakbuvlYpVr7Q==" spinCount="100000" sqref="G54:J59 G29:J31 G33:J35 G37:J42 G12:J27 G77:J77 G69:J75 G61:J67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3:J43 G45:J48 G50:J52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76:J76" name="Range1_3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97:WWE161" xr:uid="{FA694B6A-433F-4FA4-84BF-050781CB5F76}">
    <filterColumn colId="3" showButton="0"/>
    <filterColumn colId="4" showButton="0"/>
  </autoFilter>
  <mergeCells count="153"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  <mergeCell ref="E28:F28"/>
    <mergeCell ref="E32:F32"/>
    <mergeCell ref="E36:F36"/>
    <mergeCell ref="B6:C6"/>
    <mergeCell ref="G6:I6"/>
    <mergeCell ref="E8:I8"/>
    <mergeCell ref="A10:J10"/>
    <mergeCell ref="N10:R10"/>
    <mergeCell ref="A78:J78"/>
    <mergeCell ref="A79:J79"/>
    <mergeCell ref="A80:D80"/>
    <mergeCell ref="E80:J80"/>
    <mergeCell ref="L80:Q80"/>
    <mergeCell ref="A81:D81"/>
    <mergeCell ref="F81:J81"/>
    <mergeCell ref="L81:Q81"/>
    <mergeCell ref="E44:F44"/>
    <mergeCell ref="E49:F49"/>
    <mergeCell ref="E53:F53"/>
    <mergeCell ref="E60:F60"/>
    <mergeCell ref="E68:F68"/>
    <mergeCell ref="A76:J76"/>
    <mergeCell ref="A85:D85"/>
    <mergeCell ref="F85:J85"/>
    <mergeCell ref="A86:D86"/>
    <mergeCell ref="F86:J86"/>
    <mergeCell ref="A87:D87"/>
    <mergeCell ref="F87:J87"/>
    <mergeCell ref="A82:D82"/>
    <mergeCell ref="F82:J82"/>
    <mergeCell ref="L82:Q82"/>
    <mergeCell ref="A83:D83"/>
    <mergeCell ref="F83:J83"/>
    <mergeCell ref="A84:D84"/>
    <mergeCell ref="F84:J84"/>
    <mergeCell ref="A90:D90"/>
    <mergeCell ref="F90:J90"/>
    <mergeCell ref="L90:Q90"/>
    <mergeCell ref="A91:D91"/>
    <mergeCell ref="F91:J91"/>
    <mergeCell ref="L91:Q91"/>
    <mergeCell ref="A88:D88"/>
    <mergeCell ref="F88:J88"/>
    <mergeCell ref="L88:Q88"/>
    <mergeCell ref="A89:D89"/>
    <mergeCell ref="F89:J89"/>
    <mergeCell ref="L89:Q89"/>
    <mergeCell ref="A94:D94"/>
    <mergeCell ref="G94:J94"/>
    <mergeCell ref="L94:Q94"/>
    <mergeCell ref="A95:D95"/>
    <mergeCell ref="E95:J95"/>
    <mergeCell ref="L95:Q95"/>
    <mergeCell ref="A92:D92"/>
    <mergeCell ref="G92:J92"/>
    <mergeCell ref="L92:Q92"/>
    <mergeCell ref="A93:D93"/>
    <mergeCell ref="G93:J93"/>
    <mergeCell ref="L93:Q93"/>
    <mergeCell ref="D102:F102"/>
    <mergeCell ref="D103:F103"/>
    <mergeCell ref="D104:F104"/>
    <mergeCell ref="D105:F105"/>
    <mergeCell ref="D106:F106"/>
    <mergeCell ref="D107:F107"/>
    <mergeCell ref="A96:J96"/>
    <mergeCell ref="D97:F97"/>
    <mergeCell ref="D98:F98"/>
    <mergeCell ref="D99:F99"/>
    <mergeCell ref="D100:F100"/>
    <mergeCell ref="D101:F101"/>
    <mergeCell ref="D114:F114"/>
    <mergeCell ref="D115:F115"/>
    <mergeCell ref="D116:F116"/>
    <mergeCell ref="D117:F117"/>
    <mergeCell ref="D118:F118"/>
    <mergeCell ref="D119:F119"/>
    <mergeCell ref="D108:F108"/>
    <mergeCell ref="D109:F109"/>
    <mergeCell ref="D110:F110"/>
    <mergeCell ref="D111:F111"/>
    <mergeCell ref="D112:F112"/>
    <mergeCell ref="D113:F113"/>
    <mergeCell ref="D126:F126"/>
    <mergeCell ref="D127:F127"/>
    <mergeCell ref="D128:F128"/>
    <mergeCell ref="D129:F129"/>
    <mergeCell ref="D130:F130"/>
    <mergeCell ref="D131:F131"/>
    <mergeCell ref="D120:F120"/>
    <mergeCell ref="D121:F121"/>
    <mergeCell ref="D122:F122"/>
    <mergeCell ref="D123:F123"/>
    <mergeCell ref="D124:F124"/>
    <mergeCell ref="D125:F125"/>
    <mergeCell ref="D138:F138"/>
    <mergeCell ref="D139:F139"/>
    <mergeCell ref="D140:F140"/>
    <mergeCell ref="D141:F141"/>
    <mergeCell ref="D142:F142"/>
    <mergeCell ref="D143:F143"/>
    <mergeCell ref="D132:F132"/>
    <mergeCell ref="D133:F133"/>
    <mergeCell ref="D134:F134"/>
    <mergeCell ref="D135:F135"/>
    <mergeCell ref="D136:F136"/>
    <mergeCell ref="D137:F137"/>
    <mergeCell ref="D150:F150"/>
    <mergeCell ref="D151:F151"/>
    <mergeCell ref="D152:F152"/>
    <mergeCell ref="D153:F153"/>
    <mergeCell ref="D154:F154"/>
    <mergeCell ref="D155:F155"/>
    <mergeCell ref="D144:F144"/>
    <mergeCell ref="D145:F145"/>
    <mergeCell ref="D146:F146"/>
    <mergeCell ref="D147:F147"/>
    <mergeCell ref="D148:F148"/>
    <mergeCell ref="D149:F149"/>
    <mergeCell ref="A163:J163"/>
    <mergeCell ref="A164:D164"/>
    <mergeCell ref="E164:J164"/>
    <mergeCell ref="A165:D165"/>
    <mergeCell ref="E165:J165"/>
    <mergeCell ref="A166:D166"/>
    <mergeCell ref="E166:J166"/>
    <mergeCell ref="D156:F156"/>
    <mergeCell ref="D157:F157"/>
    <mergeCell ref="D158:F158"/>
    <mergeCell ref="D159:F159"/>
    <mergeCell ref="D160:F160"/>
    <mergeCell ref="D161:F161"/>
    <mergeCell ref="A170:J170"/>
    <mergeCell ref="A171:J172"/>
    <mergeCell ref="A173:J174"/>
    <mergeCell ref="A175:I175"/>
    <mergeCell ref="A176:I176"/>
    <mergeCell ref="A167:D167"/>
    <mergeCell ref="E167:J167"/>
    <mergeCell ref="A168:D168"/>
    <mergeCell ref="E168:J168"/>
    <mergeCell ref="A169:D169"/>
    <mergeCell ref="E169:J169"/>
  </mergeCells>
  <hyperlinks>
    <hyperlink ref="G6" r:id="rId1" xr:uid="{20EC10BC-FABB-42D8-B0F5-4F22F738C22A}"/>
    <hyperlink ref="G4" r:id="rId2" display="jchang.lax@oecgroup.com" xr:uid="{E9EF1627-93D9-43E2-8AB2-C1DA00FFF832}"/>
  </hyperlinks>
  <pageMargins left="0.35" right="0.35" top="0.35" bottom="0.35" header="0.3" footer="0.3"/>
  <pageSetup scale="46" fitToHeight="4" orientation="portrait" r:id="rId3"/>
  <rowBreaks count="1" manualBreakCount="1">
    <brk id="77" max="9" man="1"/>
  </rowBreaks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2F42F7-C3B6-4116-88FD-1ADE2ECA27D8}">
          <x14:formula1>
            <xm:f>'C:\Users\twang\AppData\Local\Microsoft\Windows\Temporary Internet Files\Content.Outlook\U7WJNCNV\[QUOTE TEMPLATE 05-01-21.xltx]Sheet1'!#REF!</xm:f>
          </x14:formula1>
          <xm:sqref>C69:C75 C33:C35 C29:C31 C45:C48 C37:C43 C54:C59 R12:R13 C61:C67 C12:C27</xm:sqref>
        </x14:dataValidation>
        <x14:dataValidation type="list" allowBlank="1" showInputMessage="1" showErrorMessage="1" xr:uid="{541D43F5-E36E-443C-9F37-7081DD796584}">
          <x14:formula1>
            <xm:f>'C:\Users\twang\AppData\Local\Microsoft\Windows\Temporary Internet Files\Content.Outlook\U7WJNCNV\[QUOTE TEMPLATE 05-01-21.xltx]Sheet1'!#REF!</xm:f>
          </x14:formula1>
          <xm:sqref>E88:E89 E54:E59 E69:E75 E33:E35 E29:E31 E91:E94 E45:E48 E37:E43 E61:E67 E81:E85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1193-3BEA-4691-9507-5A4CE31DD6FA}">
  <sheetPr filterMode="1">
    <pageSetUpPr fitToPage="1"/>
  </sheetPr>
  <dimension ref="A1:AC170"/>
  <sheetViews>
    <sheetView zoomScale="55" zoomScaleNormal="55" zoomScaleSheetLayoutView="82" workbookViewId="0">
      <pane xSplit="4" topLeftCell="E1" activePane="topRight" state="frozen"/>
      <selection activeCell="A19" sqref="A19"/>
      <selection pane="topRight" activeCell="A85" sqref="A85:D85"/>
    </sheetView>
  </sheetViews>
  <sheetFormatPr defaultColWidth="8.85546875" defaultRowHeight="15" x14ac:dyDescent="0.25"/>
  <cols>
    <col min="1" max="1" width="27.5703125" style="50" customWidth="1"/>
    <col min="2" max="2" width="55.28515625" style="50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15.7109375" style="50" customWidth="1"/>
    <col min="13" max="13" width="11.140625" style="50" customWidth="1"/>
    <col min="14" max="14" width="9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44781</v>
      </c>
      <c r="C8" s="45" t="s">
        <v>91</v>
      </c>
      <c r="D8" s="44">
        <v>44804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383</v>
      </c>
      <c r="E13" s="95" t="s">
        <v>127</v>
      </c>
      <c r="F13" s="97" t="s">
        <v>417</v>
      </c>
      <c r="G13" s="98">
        <f>CEILING(S13+W13+X13+O13+N13+Y13,10)</f>
        <v>7460</v>
      </c>
      <c r="H13" s="99">
        <f>CEILING(T13+W13+X13+O13+N13+Z13,10)</f>
        <v>8060</v>
      </c>
      <c r="I13" s="99">
        <f>CEILING(U13+W13+X13+O13+N13+AA13,10)</f>
        <v>8060</v>
      </c>
      <c r="J13" s="99">
        <f>CEILING(V13+W13+X13+O13+N13+AB13,10)</f>
        <v>9660</v>
      </c>
      <c r="K13" s="57"/>
      <c r="L13" s="156" t="s">
        <v>384</v>
      </c>
      <c r="M13" s="52" t="s">
        <v>292</v>
      </c>
      <c r="N13" s="40">
        <f>75*10</f>
        <v>750</v>
      </c>
      <c r="O13" s="53">
        <f>VLOOKUP(B13,DRAYAGE!$A$1:$C$107,3,FALSE)</f>
        <v>1310</v>
      </c>
      <c r="P13" s="40" t="s">
        <v>347</v>
      </c>
      <c r="S13" s="101">
        <f t="shared" ref="S13:S27" si="0">0.9*T13</f>
        <v>5400</v>
      </c>
      <c r="T13" s="54">
        <v>6000</v>
      </c>
      <c r="U13" s="103">
        <f>T13</f>
        <v>6000</v>
      </c>
      <c r="V13" s="104">
        <f>U13*1.266</f>
        <v>7596</v>
      </c>
      <c r="X13" s="40">
        <v>0</v>
      </c>
    </row>
    <row r="14" spans="1:29" s="40" customFormat="1" ht="18.75" x14ac:dyDescent="0.25">
      <c r="A14" s="133" t="s">
        <v>55</v>
      </c>
      <c r="B14" s="51" t="s">
        <v>338</v>
      </c>
      <c r="C14" s="94" t="s">
        <v>54</v>
      </c>
      <c r="D14" s="95" t="s">
        <v>383</v>
      </c>
      <c r="E14" s="95" t="s">
        <v>127</v>
      </c>
      <c r="F14" s="97" t="s">
        <v>417</v>
      </c>
      <c r="G14" s="98">
        <f t="shared" ref="G14:G27" si="1">CEILING(S14+W14+X14+O14+N14+Y14,10)</f>
        <v>7420</v>
      </c>
      <c r="H14" s="99">
        <f t="shared" ref="H14:H27" si="2">CEILING(T14+W14+X14+O14+N14+Z14,10)</f>
        <v>8010</v>
      </c>
      <c r="I14" s="99">
        <f t="shared" ref="I14:I27" si="3">CEILING(U14+W14+X14+O14+N14+AA14,10)</f>
        <v>8010</v>
      </c>
      <c r="J14" s="99">
        <f t="shared" ref="J14:J27" si="4">CEILING(V14+W14+X14+O14+N14+AB14,10)</f>
        <v>9600</v>
      </c>
      <c r="K14" s="57"/>
      <c r="L14" s="156" t="s">
        <v>384</v>
      </c>
      <c r="M14" s="52" t="s">
        <v>292</v>
      </c>
      <c r="N14" s="40">
        <f t="shared" ref="N14:N27" si="5">75*10</f>
        <v>750</v>
      </c>
      <c r="O14" s="53">
        <f>VLOOKUP(B14,DRAYAGE!$A$1:$C$107,3,FALSE)</f>
        <v>1310</v>
      </c>
      <c r="P14" s="40" t="s">
        <v>347</v>
      </c>
      <c r="S14" s="101">
        <f t="shared" si="0"/>
        <v>5355</v>
      </c>
      <c r="T14" s="54">
        <v>5950</v>
      </c>
      <c r="U14" s="103">
        <f t="shared" ref="U14:U59" si="6">T14</f>
        <v>5950</v>
      </c>
      <c r="V14" s="104">
        <f t="shared" ref="V14:V19" si="7">U14*1.266</f>
        <v>7532.7</v>
      </c>
      <c r="X14" s="40">
        <v>0</v>
      </c>
    </row>
    <row r="15" spans="1:29" s="40" customFormat="1" ht="18.75" x14ac:dyDescent="0.25">
      <c r="A15" s="133" t="s">
        <v>56</v>
      </c>
      <c r="B15" s="51" t="s">
        <v>338</v>
      </c>
      <c r="C15" s="94" t="s">
        <v>54</v>
      </c>
      <c r="D15" s="95" t="s">
        <v>383</v>
      </c>
      <c r="E15" s="95" t="s">
        <v>127</v>
      </c>
      <c r="F15" s="97" t="s">
        <v>417</v>
      </c>
      <c r="G15" s="98">
        <f t="shared" si="1"/>
        <v>7460</v>
      </c>
      <c r="H15" s="99">
        <f t="shared" si="2"/>
        <v>8060</v>
      </c>
      <c r="I15" s="99">
        <f t="shared" si="3"/>
        <v>8060</v>
      </c>
      <c r="J15" s="99">
        <f t="shared" si="4"/>
        <v>9660</v>
      </c>
      <c r="K15" s="57"/>
      <c r="L15" s="156" t="s">
        <v>384</v>
      </c>
      <c r="M15" s="52" t="s">
        <v>292</v>
      </c>
      <c r="N15" s="40">
        <f t="shared" si="5"/>
        <v>750</v>
      </c>
      <c r="O15" s="53">
        <f>VLOOKUP(B15,DRAYAGE!$A$1:$C$107,3,FALSE)</f>
        <v>1310</v>
      </c>
      <c r="P15" s="40" t="s">
        <v>347</v>
      </c>
      <c r="S15" s="101">
        <f t="shared" si="0"/>
        <v>5400</v>
      </c>
      <c r="T15" s="54">
        <v>6000</v>
      </c>
      <c r="U15" s="103">
        <f t="shared" si="6"/>
        <v>6000</v>
      </c>
      <c r="V15" s="104">
        <f t="shared" si="7"/>
        <v>7596</v>
      </c>
      <c r="X15" s="40">
        <v>0</v>
      </c>
    </row>
    <row r="16" spans="1:29" s="40" customFormat="1" ht="18.75" x14ac:dyDescent="0.25">
      <c r="A16" s="133" t="s">
        <v>57</v>
      </c>
      <c r="B16" s="51" t="s">
        <v>338</v>
      </c>
      <c r="C16" s="94" t="s">
        <v>54</v>
      </c>
      <c r="D16" s="95" t="s">
        <v>383</v>
      </c>
      <c r="E16" s="95" t="s">
        <v>127</v>
      </c>
      <c r="F16" s="97" t="s">
        <v>417</v>
      </c>
      <c r="G16" s="98">
        <f t="shared" si="1"/>
        <v>7640</v>
      </c>
      <c r="H16" s="99">
        <f t="shared" si="2"/>
        <v>8260</v>
      </c>
      <c r="I16" s="99">
        <f t="shared" si="3"/>
        <v>8260</v>
      </c>
      <c r="J16" s="99">
        <f t="shared" si="4"/>
        <v>9910</v>
      </c>
      <c r="K16" s="57"/>
      <c r="L16" s="156" t="s">
        <v>384</v>
      </c>
      <c r="M16" s="52" t="s">
        <v>292</v>
      </c>
      <c r="N16" s="40">
        <f t="shared" si="5"/>
        <v>750</v>
      </c>
      <c r="O16" s="53">
        <f>VLOOKUP(B16,DRAYAGE!$A$1:$C$107,3,FALSE)</f>
        <v>1310</v>
      </c>
      <c r="P16" s="40" t="s">
        <v>347</v>
      </c>
      <c r="S16" s="101">
        <f t="shared" si="0"/>
        <v>5580</v>
      </c>
      <c r="T16" s="54">
        <v>6200</v>
      </c>
      <c r="U16" s="103">
        <f t="shared" si="6"/>
        <v>6200</v>
      </c>
      <c r="V16" s="104">
        <f t="shared" si="7"/>
        <v>7849.2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383</v>
      </c>
      <c r="E17" s="95" t="s">
        <v>127</v>
      </c>
      <c r="F17" s="97" t="s">
        <v>417</v>
      </c>
      <c r="G17" s="98">
        <f t="shared" si="1"/>
        <v>7780</v>
      </c>
      <c r="H17" s="99">
        <f t="shared" si="2"/>
        <v>8410</v>
      </c>
      <c r="I17" s="99">
        <f t="shared" si="3"/>
        <v>8410</v>
      </c>
      <c r="J17" s="99">
        <f t="shared" si="4"/>
        <v>10100</v>
      </c>
      <c r="K17" s="57"/>
      <c r="L17" s="156" t="s">
        <v>384</v>
      </c>
      <c r="M17" s="52" t="s">
        <v>292</v>
      </c>
      <c r="N17" s="40">
        <f t="shared" si="5"/>
        <v>750</v>
      </c>
      <c r="O17" s="53">
        <f>VLOOKUP(B17,DRAYAGE!$A$1:$C$107,3,FALSE)</f>
        <v>1310</v>
      </c>
      <c r="P17" s="40" t="s">
        <v>347</v>
      </c>
      <c r="S17" s="101">
        <f>0.9*T17</f>
        <v>5715</v>
      </c>
      <c r="T17" s="54">
        <f>T16+150</f>
        <v>6350</v>
      </c>
      <c r="U17" s="103">
        <f>T17</f>
        <v>6350</v>
      </c>
      <c r="V17" s="104">
        <f>U17*1.266</f>
        <v>8039.1</v>
      </c>
      <c r="X17" s="40">
        <v>0</v>
      </c>
    </row>
    <row r="18" spans="1:29" s="40" customFormat="1" ht="18.75" x14ac:dyDescent="0.25">
      <c r="A18" s="133" t="s">
        <v>366</v>
      </c>
      <c r="B18" s="51" t="s">
        <v>338</v>
      </c>
      <c r="C18" s="94" t="s">
        <v>54</v>
      </c>
      <c r="D18" s="95" t="s">
        <v>383</v>
      </c>
      <c r="E18" s="95" t="s">
        <v>127</v>
      </c>
      <c r="F18" s="97" t="s">
        <v>417</v>
      </c>
      <c r="G18" s="98">
        <f t="shared" si="1"/>
        <v>8140</v>
      </c>
      <c r="H18" s="99">
        <f t="shared" si="2"/>
        <v>8810</v>
      </c>
      <c r="I18" s="99">
        <f t="shared" si="3"/>
        <v>8810</v>
      </c>
      <c r="J18" s="99">
        <f t="shared" si="4"/>
        <v>10610</v>
      </c>
      <c r="K18" s="57"/>
      <c r="L18" s="156" t="s">
        <v>384</v>
      </c>
      <c r="M18" s="52" t="s">
        <v>292</v>
      </c>
      <c r="N18" s="40">
        <f t="shared" si="5"/>
        <v>750</v>
      </c>
      <c r="O18" s="53">
        <f>VLOOKUP(B18,DRAYAGE!$A$1:$C$107,3,FALSE)</f>
        <v>1310</v>
      </c>
      <c r="P18" s="40" t="s">
        <v>347</v>
      </c>
      <c r="S18" s="101">
        <f>0.9*T18</f>
        <v>6075</v>
      </c>
      <c r="T18" s="54">
        <f>T16+550</f>
        <v>6750</v>
      </c>
      <c r="U18" s="103">
        <f>T18</f>
        <v>6750</v>
      </c>
      <c r="V18" s="104">
        <f>U18*1.266</f>
        <v>8545.5</v>
      </c>
      <c r="X18" s="40">
        <v>0</v>
      </c>
    </row>
    <row r="19" spans="1:29" s="40" customFormat="1" ht="18.75" x14ac:dyDescent="0.25">
      <c r="A19" s="133" t="s">
        <v>59</v>
      </c>
      <c r="B19" s="51" t="s">
        <v>338</v>
      </c>
      <c r="C19" s="94" t="s">
        <v>54</v>
      </c>
      <c r="D19" s="95" t="s">
        <v>383</v>
      </c>
      <c r="E19" s="95" t="s">
        <v>127</v>
      </c>
      <c r="F19" s="97" t="s">
        <v>417</v>
      </c>
      <c r="G19" s="98">
        <f t="shared" si="1"/>
        <v>7420</v>
      </c>
      <c r="H19" s="99">
        <f t="shared" si="2"/>
        <v>8010</v>
      </c>
      <c r="I19" s="99">
        <f t="shared" si="3"/>
        <v>8010</v>
      </c>
      <c r="J19" s="99">
        <f t="shared" si="4"/>
        <v>9600</v>
      </c>
      <c r="K19" s="57"/>
      <c r="L19" s="156" t="s">
        <v>384</v>
      </c>
      <c r="M19" s="52" t="s">
        <v>292</v>
      </c>
      <c r="N19" s="40">
        <f t="shared" si="5"/>
        <v>750</v>
      </c>
      <c r="O19" s="53">
        <f>VLOOKUP(B19,DRAYAGE!$A$1:$C$107,3,FALSE)</f>
        <v>1310</v>
      </c>
      <c r="P19" s="40" t="s">
        <v>347</v>
      </c>
      <c r="S19" s="101">
        <f t="shared" si="0"/>
        <v>5355</v>
      </c>
      <c r="T19" s="54">
        <v>5950</v>
      </c>
      <c r="U19" s="103">
        <f t="shared" si="6"/>
        <v>5950</v>
      </c>
      <c r="V19" s="104">
        <f t="shared" si="7"/>
        <v>7532.7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383</v>
      </c>
      <c r="E20" s="95" t="s">
        <v>127</v>
      </c>
      <c r="F20" s="97" t="s">
        <v>417</v>
      </c>
      <c r="G20" s="98">
        <f t="shared" si="1"/>
        <v>7460</v>
      </c>
      <c r="H20" s="99">
        <f t="shared" si="2"/>
        <v>8060</v>
      </c>
      <c r="I20" s="99">
        <f t="shared" si="3"/>
        <v>8060</v>
      </c>
      <c r="J20" s="99">
        <f t="shared" si="4"/>
        <v>9660</v>
      </c>
      <c r="K20" s="57"/>
      <c r="L20" s="156" t="s">
        <v>384</v>
      </c>
      <c r="M20" s="52" t="s">
        <v>292</v>
      </c>
      <c r="N20" s="40">
        <f t="shared" si="5"/>
        <v>750</v>
      </c>
      <c r="O20" s="53">
        <f>VLOOKUP(B20,DRAYAGE!$A$1:$C$107,3,FALSE)</f>
        <v>1310</v>
      </c>
      <c r="P20" s="40" t="s">
        <v>347</v>
      </c>
      <c r="S20" s="101">
        <f t="shared" si="0"/>
        <v>5400</v>
      </c>
      <c r="T20" s="54">
        <v>6000</v>
      </c>
      <c r="U20" s="103">
        <f t="shared" si="6"/>
        <v>6000</v>
      </c>
      <c r="V20" s="104">
        <f>U20*1.266</f>
        <v>7596</v>
      </c>
      <c r="X20" s="40">
        <v>0</v>
      </c>
    </row>
    <row r="21" spans="1:29" s="40" customFormat="1" ht="18.75" x14ac:dyDescent="0.25">
      <c r="A21" s="133" t="s">
        <v>376</v>
      </c>
      <c r="B21" s="51" t="s">
        <v>338</v>
      </c>
      <c r="C21" s="94" t="s">
        <v>54</v>
      </c>
      <c r="D21" s="95" t="s">
        <v>383</v>
      </c>
      <c r="E21" s="95" t="s">
        <v>127</v>
      </c>
      <c r="F21" s="97" t="s">
        <v>417</v>
      </c>
      <c r="G21" s="98">
        <f t="shared" si="1"/>
        <v>7420</v>
      </c>
      <c r="H21" s="99">
        <f t="shared" si="2"/>
        <v>8010</v>
      </c>
      <c r="I21" s="99">
        <f t="shared" si="3"/>
        <v>8010</v>
      </c>
      <c r="J21" s="99">
        <f t="shared" si="4"/>
        <v>9600</v>
      </c>
      <c r="K21" s="57"/>
      <c r="L21" s="156" t="s">
        <v>384</v>
      </c>
      <c r="M21" s="52" t="s">
        <v>292</v>
      </c>
      <c r="N21" s="40">
        <f t="shared" si="5"/>
        <v>750</v>
      </c>
      <c r="O21" s="53">
        <f>VLOOKUP(B21,DRAYAGE!$A$1:$C$107,3,FALSE)</f>
        <v>1310</v>
      </c>
      <c r="P21" s="40" t="s">
        <v>347</v>
      </c>
      <c r="S21" s="101">
        <f t="shared" si="0"/>
        <v>5355</v>
      </c>
      <c r="T21" s="54">
        <v>5950</v>
      </c>
      <c r="U21" s="103">
        <f t="shared" si="6"/>
        <v>5950</v>
      </c>
      <c r="V21" s="104">
        <f t="shared" ref="V21:V27" si="8">U21*1.266</f>
        <v>7532.7</v>
      </c>
      <c r="X21" s="40">
        <v>0</v>
      </c>
    </row>
    <row r="22" spans="1:29" s="40" customFormat="1" ht="18.75" x14ac:dyDescent="0.25">
      <c r="A22" s="133" t="s">
        <v>108</v>
      </c>
      <c r="B22" s="51" t="s">
        <v>338</v>
      </c>
      <c r="C22" s="94" t="s">
        <v>54</v>
      </c>
      <c r="D22" s="95" t="s">
        <v>383</v>
      </c>
      <c r="E22" s="95" t="s">
        <v>127</v>
      </c>
      <c r="F22" s="97" t="s">
        <v>417</v>
      </c>
      <c r="G22" s="98">
        <f t="shared" si="1"/>
        <v>7460</v>
      </c>
      <c r="H22" s="99">
        <f t="shared" si="2"/>
        <v>8060</v>
      </c>
      <c r="I22" s="99">
        <f t="shared" si="3"/>
        <v>8060</v>
      </c>
      <c r="J22" s="99">
        <f t="shared" si="4"/>
        <v>9660</v>
      </c>
      <c r="K22" s="57"/>
      <c r="L22" s="156" t="s">
        <v>384</v>
      </c>
      <c r="M22" s="52" t="s">
        <v>292</v>
      </c>
      <c r="N22" s="40">
        <f t="shared" si="5"/>
        <v>750</v>
      </c>
      <c r="O22" s="53">
        <f>VLOOKUP(B22,DRAYAGE!$A$1:$C$107,3,FALSE)</f>
        <v>1310</v>
      </c>
      <c r="P22" s="40" t="s">
        <v>347</v>
      </c>
      <c r="S22" s="101">
        <f t="shared" si="0"/>
        <v>5400</v>
      </c>
      <c r="T22" s="54">
        <v>6000</v>
      </c>
      <c r="U22" s="103">
        <f t="shared" si="6"/>
        <v>6000</v>
      </c>
      <c r="V22" s="104">
        <f t="shared" si="8"/>
        <v>7596</v>
      </c>
      <c r="X22" s="40">
        <v>0</v>
      </c>
    </row>
    <row r="23" spans="1:29" s="40" customFormat="1" ht="18.75" x14ac:dyDescent="0.25">
      <c r="A23" s="133" t="s">
        <v>62</v>
      </c>
      <c r="B23" s="51" t="s">
        <v>338</v>
      </c>
      <c r="C23" s="94" t="s">
        <v>54</v>
      </c>
      <c r="D23" s="95" t="s">
        <v>383</v>
      </c>
      <c r="E23" s="95" t="s">
        <v>127</v>
      </c>
      <c r="F23" s="97" t="s">
        <v>417</v>
      </c>
      <c r="G23" s="98">
        <f t="shared" si="1"/>
        <v>7640</v>
      </c>
      <c r="H23" s="99">
        <f t="shared" si="2"/>
        <v>8260</v>
      </c>
      <c r="I23" s="99">
        <f t="shared" si="3"/>
        <v>8260</v>
      </c>
      <c r="J23" s="99">
        <f t="shared" si="4"/>
        <v>9910</v>
      </c>
      <c r="K23" s="57"/>
      <c r="L23" s="156" t="s">
        <v>384</v>
      </c>
      <c r="M23" s="52" t="s">
        <v>292</v>
      </c>
      <c r="N23" s="40">
        <f t="shared" si="5"/>
        <v>750</v>
      </c>
      <c r="O23" s="53">
        <f>VLOOKUP(B23,DRAYAGE!$A$1:$C$107,3,FALSE)</f>
        <v>1310</v>
      </c>
      <c r="P23" s="40" t="s">
        <v>347</v>
      </c>
      <c r="S23" s="101">
        <f t="shared" si="0"/>
        <v>5580</v>
      </c>
      <c r="T23" s="54">
        <v>6200</v>
      </c>
      <c r="U23" s="103">
        <f t="shared" si="6"/>
        <v>6200</v>
      </c>
      <c r="V23" s="104">
        <f t="shared" si="8"/>
        <v>7849.2</v>
      </c>
      <c r="X23" s="40">
        <v>0</v>
      </c>
      <c r="Y23" s="40">
        <f>0.9*Z23</f>
        <v>0</v>
      </c>
      <c r="AA23" s="40">
        <f>Z23</f>
        <v>0</v>
      </c>
      <c r="AB23" s="40">
        <f>Z23*1.266</f>
        <v>0</v>
      </c>
    </row>
    <row r="24" spans="1:29" s="40" customFormat="1" ht="18.75" x14ac:dyDescent="0.25">
      <c r="A24" s="133" t="s">
        <v>66</v>
      </c>
      <c r="B24" s="51" t="s">
        <v>338</v>
      </c>
      <c r="C24" s="94" t="s">
        <v>54</v>
      </c>
      <c r="D24" s="95" t="s">
        <v>383</v>
      </c>
      <c r="E24" s="95" t="s">
        <v>127</v>
      </c>
      <c r="F24" s="97" t="s">
        <v>417</v>
      </c>
      <c r="G24" s="98">
        <f t="shared" si="1"/>
        <v>7780</v>
      </c>
      <c r="H24" s="99">
        <f t="shared" si="2"/>
        <v>8410</v>
      </c>
      <c r="I24" s="99">
        <f t="shared" si="3"/>
        <v>8410</v>
      </c>
      <c r="J24" s="99">
        <f t="shared" si="4"/>
        <v>10100</v>
      </c>
      <c r="K24" s="57"/>
      <c r="L24" s="156" t="s">
        <v>384</v>
      </c>
      <c r="M24" s="52" t="s">
        <v>292</v>
      </c>
      <c r="N24" s="40">
        <f t="shared" si="5"/>
        <v>750</v>
      </c>
      <c r="O24" s="53">
        <f>VLOOKUP(B24,DRAYAGE!$A$1:$C$107,3,FALSE)</f>
        <v>1310</v>
      </c>
      <c r="P24" s="40" t="s">
        <v>347</v>
      </c>
      <c r="S24" s="101">
        <f t="shared" si="0"/>
        <v>5715</v>
      </c>
      <c r="T24" s="54">
        <f>T20+350</f>
        <v>6350</v>
      </c>
      <c r="U24" s="103">
        <f t="shared" si="6"/>
        <v>6350</v>
      </c>
      <c r="V24" s="104">
        <f t="shared" si="8"/>
        <v>8039.1</v>
      </c>
      <c r="X24" s="40">
        <v>0</v>
      </c>
    </row>
    <row r="25" spans="1:29" s="40" customFormat="1" ht="18.75" x14ac:dyDescent="0.25">
      <c r="A25" s="133" t="s">
        <v>65</v>
      </c>
      <c r="B25" s="51" t="s">
        <v>338</v>
      </c>
      <c r="C25" s="94" t="s">
        <v>54</v>
      </c>
      <c r="D25" s="95" t="s">
        <v>383</v>
      </c>
      <c r="E25" s="95" t="s">
        <v>127</v>
      </c>
      <c r="F25" s="97" t="s">
        <v>417</v>
      </c>
      <c r="G25" s="98">
        <f t="shared" si="1"/>
        <v>7760</v>
      </c>
      <c r="H25" s="99">
        <f t="shared" si="2"/>
        <v>8390</v>
      </c>
      <c r="I25" s="99">
        <f t="shared" si="3"/>
        <v>8390</v>
      </c>
      <c r="J25" s="99">
        <f t="shared" si="4"/>
        <v>10070</v>
      </c>
      <c r="K25" s="57"/>
      <c r="L25" s="156" t="s">
        <v>384</v>
      </c>
      <c r="M25" s="52" t="s">
        <v>292</v>
      </c>
      <c r="N25" s="40">
        <f t="shared" si="5"/>
        <v>750</v>
      </c>
      <c r="O25" s="53">
        <f>VLOOKUP(B25,DRAYAGE!$A$1:$C$107,3,FALSE)</f>
        <v>1310</v>
      </c>
      <c r="P25" s="40" t="s">
        <v>347</v>
      </c>
      <c r="S25" s="101">
        <f t="shared" si="0"/>
        <v>5692.5</v>
      </c>
      <c r="T25" s="54">
        <f>T20+325</f>
        <v>6325</v>
      </c>
      <c r="U25" s="103">
        <f t="shared" si="6"/>
        <v>6325</v>
      </c>
      <c r="V25" s="104">
        <f t="shared" si="8"/>
        <v>8007.45</v>
      </c>
      <c r="X25" s="40">
        <v>0</v>
      </c>
      <c r="Y25" s="40">
        <f>0.9*Z25</f>
        <v>0</v>
      </c>
      <c r="AA25" s="40">
        <f>Z25</f>
        <v>0</v>
      </c>
      <c r="AB25" s="40">
        <f>Z25*1.266</f>
        <v>0</v>
      </c>
    </row>
    <row r="26" spans="1:29" s="40" customFormat="1" ht="18.75" x14ac:dyDescent="0.25">
      <c r="A26" s="133" t="s">
        <v>63</v>
      </c>
      <c r="B26" s="51" t="s">
        <v>338</v>
      </c>
      <c r="C26" s="94" t="s">
        <v>54</v>
      </c>
      <c r="D26" s="95" t="s">
        <v>383</v>
      </c>
      <c r="E26" s="95" t="s">
        <v>127</v>
      </c>
      <c r="F26" s="97" t="s">
        <v>417</v>
      </c>
      <c r="G26" s="98">
        <f t="shared" si="1"/>
        <v>7780</v>
      </c>
      <c r="H26" s="99">
        <f t="shared" si="2"/>
        <v>8410</v>
      </c>
      <c r="I26" s="99">
        <f t="shared" si="3"/>
        <v>8410</v>
      </c>
      <c r="J26" s="99">
        <f t="shared" si="4"/>
        <v>10100</v>
      </c>
      <c r="K26" s="57"/>
      <c r="L26" s="156" t="s">
        <v>384</v>
      </c>
      <c r="M26" s="52" t="s">
        <v>292</v>
      </c>
      <c r="N26" s="40">
        <f t="shared" si="5"/>
        <v>750</v>
      </c>
      <c r="O26" s="53">
        <f>VLOOKUP(B26,DRAYAGE!$A$1:$C$107,3,FALSE)</f>
        <v>1310</v>
      </c>
      <c r="P26" s="40" t="s">
        <v>347</v>
      </c>
      <c r="S26" s="101">
        <f t="shared" si="0"/>
        <v>5715</v>
      </c>
      <c r="T26" s="54">
        <f>T20+350</f>
        <v>6350</v>
      </c>
      <c r="U26" s="103">
        <f t="shared" si="6"/>
        <v>6350</v>
      </c>
      <c r="V26" s="104">
        <f t="shared" si="8"/>
        <v>8039.1</v>
      </c>
      <c r="X26" s="40">
        <v>0</v>
      </c>
      <c r="Y26" s="40">
        <f>0.9*Z26</f>
        <v>0</v>
      </c>
      <c r="AA26" s="40">
        <f>Z26</f>
        <v>0</v>
      </c>
      <c r="AB26" s="40">
        <f>Z26*1.266</f>
        <v>0</v>
      </c>
    </row>
    <row r="27" spans="1:29" s="45" customFormat="1" ht="18.75" x14ac:dyDescent="0.25">
      <c r="A27" s="133" t="s">
        <v>275</v>
      </c>
      <c r="B27" s="51" t="s">
        <v>338</v>
      </c>
      <c r="C27" s="106" t="s">
        <v>54</v>
      </c>
      <c r="D27" s="95" t="s">
        <v>383</v>
      </c>
      <c r="E27" s="95" t="s">
        <v>127</v>
      </c>
      <c r="F27" s="97" t="s">
        <v>417</v>
      </c>
      <c r="G27" s="98">
        <f t="shared" si="1"/>
        <v>7780</v>
      </c>
      <c r="H27" s="99">
        <f t="shared" si="2"/>
        <v>8410</v>
      </c>
      <c r="I27" s="99">
        <f t="shared" si="3"/>
        <v>8410</v>
      </c>
      <c r="J27" s="99">
        <f t="shared" si="4"/>
        <v>10100</v>
      </c>
      <c r="K27" s="111"/>
      <c r="L27" s="156" t="s">
        <v>384</v>
      </c>
      <c r="M27" s="52" t="s">
        <v>292</v>
      </c>
      <c r="N27" s="40">
        <f t="shared" si="5"/>
        <v>750</v>
      </c>
      <c r="O27" s="53">
        <f>VLOOKUP(B27,DRAYAGE!$A$1:$C$107,3,FALSE)</f>
        <v>1310</v>
      </c>
      <c r="P27" s="40" t="s">
        <v>347</v>
      </c>
      <c r="R27" s="105"/>
      <c r="S27" s="113">
        <f t="shared" si="0"/>
        <v>5715</v>
      </c>
      <c r="T27" s="54">
        <f>T20+350</f>
        <v>6350</v>
      </c>
      <c r="U27" s="103">
        <f t="shared" si="6"/>
        <v>6350</v>
      </c>
      <c r="V27" s="114">
        <f t="shared" si="8"/>
        <v>8039.1</v>
      </c>
      <c r="X27" s="45">
        <v>0</v>
      </c>
      <c r="Y27" s="40">
        <f>0.9*Z27</f>
        <v>0</v>
      </c>
      <c r="AA27" s="40">
        <f>Z27</f>
        <v>0</v>
      </c>
      <c r="AB27" s="40">
        <f>Z27*1.266</f>
        <v>0</v>
      </c>
    </row>
    <row r="28" spans="1:29" s="40" customFormat="1" ht="14.45" customHeight="1" x14ac:dyDescent="0.25">
      <c r="A28" s="134" t="s">
        <v>333</v>
      </c>
      <c r="B28" s="88"/>
      <c r="C28" s="88"/>
      <c r="D28" s="88"/>
      <c r="E28" s="210"/>
      <c r="F28" s="211"/>
      <c r="G28" s="88"/>
      <c r="H28" s="88"/>
      <c r="I28" s="88"/>
      <c r="J28" s="88"/>
      <c r="K28" s="57"/>
      <c r="L28" s="89" t="s">
        <v>48</v>
      </c>
      <c r="M28" s="89" t="s">
        <v>261</v>
      </c>
      <c r="N28" s="90" t="s">
        <v>51</v>
      </c>
      <c r="O28" s="91" t="s">
        <v>50</v>
      </c>
      <c r="P28" s="91" t="s">
        <v>262</v>
      </c>
      <c r="Q28" s="91" t="s">
        <v>263</v>
      </c>
      <c r="R28" s="91" t="s">
        <v>264</v>
      </c>
      <c r="S28" s="92" t="s">
        <v>52</v>
      </c>
      <c r="T28" s="92" t="s">
        <v>53</v>
      </c>
      <c r="U28" s="92" t="s">
        <v>265</v>
      </c>
      <c r="V28" s="92" t="s">
        <v>266</v>
      </c>
      <c r="W28" s="92" t="s">
        <v>267</v>
      </c>
      <c r="X28" s="92" t="s">
        <v>268</v>
      </c>
      <c r="Y28" s="92" t="s">
        <v>52</v>
      </c>
      <c r="Z28" s="92" t="s">
        <v>53</v>
      </c>
      <c r="AA28" s="92" t="s">
        <v>265</v>
      </c>
      <c r="AB28" s="92" t="s">
        <v>266</v>
      </c>
      <c r="AC28" s="93" t="s">
        <v>269</v>
      </c>
    </row>
    <row r="29" spans="1:29" s="40" customFormat="1" ht="14.45" customHeight="1" x14ac:dyDescent="0.25">
      <c r="A29" s="133" t="s">
        <v>58</v>
      </c>
      <c r="B29" s="51" t="s">
        <v>339</v>
      </c>
      <c r="C29" s="94" t="s">
        <v>54</v>
      </c>
      <c r="D29" s="95" t="s">
        <v>383</v>
      </c>
      <c r="E29" s="96" t="s">
        <v>114</v>
      </c>
      <c r="F29" s="97" t="s">
        <v>270</v>
      </c>
      <c r="G29" s="98">
        <f>CEILING(S29+W29+X29+O29+N29+Y29,10)</f>
        <v>11490</v>
      </c>
      <c r="H29" s="99">
        <f>CEILING(T29+W29+X29+O29+N29+Z29,10)</f>
        <v>12470</v>
      </c>
      <c r="I29" s="99">
        <f>CEILING(U29+W29+X29+O29+N29+AA29,10)</f>
        <v>12470</v>
      </c>
      <c r="J29" s="99">
        <f>CEILING(V29+W29+X29+O29+N29+AB29,10)</f>
        <v>15080</v>
      </c>
      <c r="K29" s="57"/>
      <c r="L29" s="156" t="s">
        <v>384</v>
      </c>
      <c r="M29" s="52" t="s">
        <v>293</v>
      </c>
      <c r="N29" s="40">
        <v>0</v>
      </c>
      <c r="O29" s="53">
        <f>VLOOKUP(B29,DRAYAGE!$A$1:$C$107,3,FALSE)</f>
        <v>2665</v>
      </c>
      <c r="P29" s="40" t="s">
        <v>299</v>
      </c>
      <c r="S29" s="101">
        <f>0.9*T29</f>
        <v>8820</v>
      </c>
      <c r="T29" s="54">
        <f>9500+300</f>
        <v>9800</v>
      </c>
      <c r="U29" s="103">
        <f t="shared" si="6"/>
        <v>9800</v>
      </c>
      <c r="V29" s="104">
        <f>U29*1.266</f>
        <v>12406.8</v>
      </c>
    </row>
    <row r="30" spans="1:29" s="40" customFormat="1" ht="14.45" customHeight="1" x14ac:dyDescent="0.25">
      <c r="A30" s="133" t="s">
        <v>55</v>
      </c>
      <c r="B30" s="51" t="s">
        <v>339</v>
      </c>
      <c r="C30" s="94" t="s">
        <v>54</v>
      </c>
      <c r="D30" s="95" t="s">
        <v>383</v>
      </c>
      <c r="E30" s="96" t="s">
        <v>114</v>
      </c>
      <c r="F30" s="97" t="s">
        <v>270</v>
      </c>
      <c r="G30" s="98">
        <f>CEILING(S30+W30+X30+O30+N30+Y30,10)</f>
        <v>11130</v>
      </c>
      <c r="H30" s="99">
        <f>CEILING(T30+W30+X30+O30+N30+Z30,10)</f>
        <v>12070</v>
      </c>
      <c r="I30" s="99">
        <f>CEILING(U30+W30+X30+O30+N30+AA30,10)</f>
        <v>12070</v>
      </c>
      <c r="J30" s="99">
        <f>CEILING(V30+W30+X30+O30+N30+AB30,10)</f>
        <v>14570</v>
      </c>
      <c r="K30" s="57"/>
      <c r="L30" s="156" t="s">
        <v>384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S30" s="101">
        <f>0.9*T30</f>
        <v>8460</v>
      </c>
      <c r="T30" s="54">
        <v>9400</v>
      </c>
      <c r="U30" s="103">
        <f t="shared" si="6"/>
        <v>9400</v>
      </c>
      <c r="V30" s="104">
        <f>U30*1.266</f>
        <v>11900.4</v>
      </c>
    </row>
    <row r="31" spans="1:29" s="40" customFormat="1" ht="14.45" customHeight="1" x14ac:dyDescent="0.25">
      <c r="A31" s="133" t="s">
        <v>61</v>
      </c>
      <c r="B31" s="51" t="s">
        <v>339</v>
      </c>
      <c r="C31" s="94" t="s">
        <v>54</v>
      </c>
      <c r="D31" s="95" t="s">
        <v>383</v>
      </c>
      <c r="E31" s="96" t="s">
        <v>114</v>
      </c>
      <c r="F31" s="97" t="s">
        <v>270</v>
      </c>
      <c r="G31" s="98">
        <f>CEILING(S31+W31+X31+O31+N31+Y31,10)</f>
        <v>11130</v>
      </c>
      <c r="H31" s="99">
        <f>CEILING(T31+W31+X31+O31+N31+Z31,10)</f>
        <v>12070</v>
      </c>
      <c r="I31" s="99">
        <f>CEILING(U31+W31+X31+O31+N31+AA31,10)</f>
        <v>12070</v>
      </c>
      <c r="J31" s="99">
        <f>CEILING(V31+W31+X31+O31+N31+AB31,10)</f>
        <v>14570</v>
      </c>
      <c r="K31" s="57"/>
      <c r="L31" s="156" t="s">
        <v>384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S31" s="101">
        <f>0.9*T31</f>
        <v>8460</v>
      </c>
      <c r="T31" s="54">
        <v>9400</v>
      </c>
      <c r="U31" s="103">
        <f t="shared" si="6"/>
        <v>9400</v>
      </c>
      <c r="V31" s="104">
        <f>U31*1.266</f>
        <v>11900.4</v>
      </c>
    </row>
    <row r="32" spans="1:29" s="40" customFormat="1" ht="14.45" customHeight="1" x14ac:dyDescent="0.25">
      <c r="A32" s="134" t="s">
        <v>334</v>
      </c>
      <c r="B32" s="88"/>
      <c r="C32" s="88"/>
      <c r="D32" s="88"/>
      <c r="E32" s="210"/>
      <c r="F32" s="211"/>
      <c r="G32" s="88"/>
      <c r="H32" s="88"/>
      <c r="I32" s="88"/>
      <c r="J32" s="88"/>
      <c r="K32" s="57"/>
      <c r="L32" s="89" t="s">
        <v>48</v>
      </c>
      <c r="M32" s="89" t="s">
        <v>261</v>
      </c>
      <c r="N32" s="90" t="s">
        <v>51</v>
      </c>
      <c r="O32" s="91" t="s">
        <v>50</v>
      </c>
      <c r="P32" s="91" t="s">
        <v>262</v>
      </c>
      <c r="Q32" s="91" t="s">
        <v>263</v>
      </c>
      <c r="R32" s="91" t="s">
        <v>264</v>
      </c>
      <c r="S32" s="92" t="s">
        <v>52</v>
      </c>
      <c r="T32" s="92" t="s">
        <v>53</v>
      </c>
      <c r="U32" s="92" t="s">
        <v>265</v>
      </c>
      <c r="V32" s="92" t="s">
        <v>266</v>
      </c>
      <c r="W32" s="92" t="s">
        <v>267</v>
      </c>
      <c r="X32" s="92" t="s">
        <v>268</v>
      </c>
      <c r="Y32" s="92" t="s">
        <v>52</v>
      </c>
      <c r="Z32" s="92" t="s">
        <v>53</v>
      </c>
      <c r="AA32" s="92" t="s">
        <v>265</v>
      </c>
      <c r="AB32" s="92" t="s">
        <v>266</v>
      </c>
      <c r="AC32" s="93" t="s">
        <v>269</v>
      </c>
    </row>
    <row r="33" spans="1:29" s="40" customFormat="1" ht="14.45" customHeight="1" x14ac:dyDescent="0.25">
      <c r="A33" s="133" t="s">
        <v>58</v>
      </c>
      <c r="B33" s="51" t="s">
        <v>341</v>
      </c>
      <c r="C33" s="94" t="s">
        <v>54</v>
      </c>
      <c r="D33" s="95" t="s">
        <v>383</v>
      </c>
      <c r="E33" s="96" t="s">
        <v>114</v>
      </c>
      <c r="F33" s="97" t="s">
        <v>270</v>
      </c>
      <c r="G33" s="98">
        <f>CEILING(S33+W33+X33+O33+N33+Y33,10)</f>
        <v>10510</v>
      </c>
      <c r="H33" s="99">
        <f>CEILING(T33+W33+X33+O33+N33+Z33,10)</f>
        <v>11490</v>
      </c>
      <c r="I33" s="99">
        <f>CEILING(U33+W33+X33+O33+N33+AA33,10)</f>
        <v>11490</v>
      </c>
      <c r="J33" s="99">
        <f>CEILING(V33+W33+X33+O33+N33+AB33,10)</f>
        <v>14100</v>
      </c>
      <c r="K33" s="57"/>
      <c r="L33" s="156" t="s">
        <v>384</v>
      </c>
      <c r="M33" s="52" t="s">
        <v>293</v>
      </c>
      <c r="N33" s="40">
        <v>0</v>
      </c>
      <c r="O33" s="53">
        <f>VLOOKUP(B33,DRAYAGE!$A$1:$C$107,3,FALSE)</f>
        <v>1690</v>
      </c>
      <c r="P33" s="40" t="s">
        <v>299</v>
      </c>
      <c r="S33" s="101">
        <f>0.9*T33</f>
        <v>8820</v>
      </c>
      <c r="T33" s="54">
        <f>T29</f>
        <v>9800</v>
      </c>
      <c r="U33" s="103">
        <f t="shared" si="6"/>
        <v>9800</v>
      </c>
      <c r="V33" s="104">
        <f>U33*1.266</f>
        <v>12406.8</v>
      </c>
      <c r="X33" s="40">
        <v>0</v>
      </c>
    </row>
    <row r="34" spans="1:29" s="40" customFormat="1" ht="14.45" customHeight="1" x14ac:dyDescent="0.25">
      <c r="A34" s="133" t="s">
        <v>55</v>
      </c>
      <c r="B34" s="51" t="s">
        <v>341</v>
      </c>
      <c r="C34" s="94" t="s">
        <v>54</v>
      </c>
      <c r="D34" s="95" t="s">
        <v>383</v>
      </c>
      <c r="E34" s="96" t="s">
        <v>114</v>
      </c>
      <c r="F34" s="97" t="s">
        <v>270</v>
      </c>
      <c r="G34" s="98">
        <f>CEILING(S34+W34+X34+O34+N34+Y34,10)</f>
        <v>10150</v>
      </c>
      <c r="H34" s="99">
        <f>CEILING(T34+W34+X34+O34+N34+Z34,10)</f>
        <v>11090</v>
      </c>
      <c r="I34" s="99">
        <f>CEILING(U34+W34+X34+O34+N34+AA34,10)</f>
        <v>11090</v>
      </c>
      <c r="J34" s="99">
        <f>CEILING(V34+W34+X34+O34+N34+AB34,10)</f>
        <v>13600</v>
      </c>
      <c r="K34" s="57"/>
      <c r="L34" s="156" t="s">
        <v>384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S34" s="101">
        <f>0.9*T34</f>
        <v>8460</v>
      </c>
      <c r="T34" s="54">
        <f>T30</f>
        <v>9400</v>
      </c>
      <c r="U34" s="103">
        <f t="shared" si="6"/>
        <v>9400</v>
      </c>
      <c r="V34" s="104">
        <f>U34*1.266</f>
        <v>11900.4</v>
      </c>
      <c r="X34" s="40">
        <v>0</v>
      </c>
    </row>
    <row r="35" spans="1:29" s="40" customFormat="1" ht="14.45" customHeight="1" x14ac:dyDescent="0.25">
      <c r="A35" s="133" t="s">
        <v>61</v>
      </c>
      <c r="B35" s="51" t="s">
        <v>341</v>
      </c>
      <c r="C35" s="94" t="s">
        <v>54</v>
      </c>
      <c r="D35" s="95" t="s">
        <v>383</v>
      </c>
      <c r="E35" s="96" t="s">
        <v>114</v>
      </c>
      <c r="F35" s="97" t="s">
        <v>270</v>
      </c>
      <c r="G35" s="98">
        <f>CEILING(S35+W35+X35+O35+N35+Y35,10)</f>
        <v>10150</v>
      </c>
      <c r="H35" s="99">
        <f>CEILING(T35+W35+X35+O35+N35+Z35,10)</f>
        <v>11090</v>
      </c>
      <c r="I35" s="99">
        <f>CEILING(U35+W35+X35+O35+N35+AA35,10)</f>
        <v>11090</v>
      </c>
      <c r="J35" s="99">
        <f>CEILING(V35+W35+X35+O35+N35+AB35,10)</f>
        <v>13600</v>
      </c>
      <c r="K35" s="57"/>
      <c r="L35" s="156" t="s">
        <v>384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S35" s="101">
        <f>0.9*T35</f>
        <v>8460</v>
      </c>
      <c r="T35" s="54">
        <f>T31</f>
        <v>9400</v>
      </c>
      <c r="U35" s="103">
        <f t="shared" si="6"/>
        <v>9400</v>
      </c>
      <c r="V35" s="104">
        <f>U35*1.266</f>
        <v>11900.4</v>
      </c>
      <c r="X35" s="40">
        <v>0</v>
      </c>
    </row>
    <row r="36" spans="1:29" s="40" customFormat="1" ht="14.45" customHeight="1" x14ac:dyDescent="0.25">
      <c r="A36" s="134" t="s">
        <v>335</v>
      </c>
      <c r="B36" s="88"/>
      <c r="C36" s="88"/>
      <c r="D36" s="88"/>
      <c r="E36" s="210"/>
      <c r="F36" s="211"/>
      <c r="G36" s="88"/>
      <c r="H36" s="88"/>
      <c r="I36" s="88"/>
      <c r="J36" s="88"/>
      <c r="K36" s="57"/>
      <c r="L36" s="89" t="s">
        <v>48</v>
      </c>
      <c r="M36" s="89" t="s">
        <v>261</v>
      </c>
      <c r="N36" s="90" t="s">
        <v>51</v>
      </c>
      <c r="O36" s="91" t="s">
        <v>50</v>
      </c>
      <c r="P36" s="91" t="s">
        <v>262</v>
      </c>
      <c r="Q36" s="91" t="s">
        <v>263</v>
      </c>
      <c r="R36" s="91" t="s">
        <v>264</v>
      </c>
      <c r="S36" s="92" t="s">
        <v>52</v>
      </c>
      <c r="T36" s="92" t="s">
        <v>53</v>
      </c>
      <c r="U36" s="92" t="s">
        <v>265</v>
      </c>
      <c r="V36" s="92" t="s">
        <v>266</v>
      </c>
      <c r="W36" s="92" t="s">
        <v>267</v>
      </c>
      <c r="X36" s="92" t="s">
        <v>268</v>
      </c>
      <c r="Y36" s="92" t="s">
        <v>52</v>
      </c>
      <c r="Z36" s="92" t="s">
        <v>53</v>
      </c>
      <c r="AA36" s="92" t="s">
        <v>265</v>
      </c>
      <c r="AB36" s="92" t="s">
        <v>266</v>
      </c>
      <c r="AC36" s="93" t="s">
        <v>269</v>
      </c>
    </row>
    <row r="37" spans="1:29" s="40" customFormat="1" ht="18.75" x14ac:dyDescent="0.25">
      <c r="A37" s="133" t="s">
        <v>81</v>
      </c>
      <c r="B37" s="51" t="s">
        <v>340</v>
      </c>
      <c r="C37" s="94" t="s">
        <v>54</v>
      </c>
      <c r="D37" s="95" t="s">
        <v>383</v>
      </c>
      <c r="E37" s="96" t="s">
        <v>114</v>
      </c>
      <c r="F37" s="97" t="s">
        <v>270</v>
      </c>
      <c r="G37" s="98">
        <f t="shared" ref="G37:G43" si="9">CEILING(S37+W37+X37+O37+N37+Y37,10)</f>
        <v>10760</v>
      </c>
      <c r="H37" s="99">
        <f t="shared" ref="H37:H43" si="10">CEILING(T37+W37+X37+O37+N37+Z37,10)</f>
        <v>11760</v>
      </c>
      <c r="I37" s="99">
        <f t="shared" ref="I37:I43" si="11">CEILING(U37+W37+X37+O37+N37+AA37,10)</f>
        <v>11760</v>
      </c>
      <c r="J37" s="99">
        <f t="shared" ref="J37:J43" si="12">CEILING(V37+W37+X37+O37+N37+AB37,10)</f>
        <v>14410</v>
      </c>
      <c r="K37" s="57"/>
      <c r="L37" s="156" t="s">
        <v>384</v>
      </c>
      <c r="M37" s="52" t="s">
        <v>294</v>
      </c>
      <c r="N37" s="40">
        <v>0</v>
      </c>
      <c r="O37" s="53">
        <f>VLOOKUP(B37,DRAYAGE!$A$1:$C$107,3,FALSE)</f>
        <v>1805</v>
      </c>
      <c r="P37" s="40" t="s">
        <v>300</v>
      </c>
      <c r="S37" s="101">
        <f t="shared" ref="S37:S43" si="13">0.9*T37</f>
        <v>8955</v>
      </c>
      <c r="T37" s="54">
        <v>9950</v>
      </c>
      <c r="U37" s="103">
        <f t="shared" si="6"/>
        <v>9950</v>
      </c>
      <c r="V37" s="104">
        <f t="shared" ref="V37:V43" si="14">U37*1.266</f>
        <v>12596.7</v>
      </c>
      <c r="X37" s="40">
        <v>0</v>
      </c>
    </row>
    <row r="38" spans="1:29" s="40" customFormat="1" ht="27" customHeight="1" x14ac:dyDescent="0.25">
      <c r="A38" s="133" t="s">
        <v>55</v>
      </c>
      <c r="B38" s="51" t="s">
        <v>340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 t="shared" si="9"/>
        <v>10760</v>
      </c>
      <c r="H38" s="99">
        <f t="shared" si="10"/>
        <v>11760</v>
      </c>
      <c r="I38" s="99">
        <f t="shared" si="11"/>
        <v>11760</v>
      </c>
      <c r="J38" s="99">
        <f t="shared" si="12"/>
        <v>14410</v>
      </c>
      <c r="K38" s="57"/>
      <c r="L38" s="156" t="s">
        <v>384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S38" s="101">
        <f t="shared" si="13"/>
        <v>8955</v>
      </c>
      <c r="T38" s="54">
        <v>9950</v>
      </c>
      <c r="U38" s="103">
        <f t="shared" si="6"/>
        <v>9950</v>
      </c>
      <c r="V38" s="104">
        <f t="shared" si="14"/>
        <v>12596.7</v>
      </c>
      <c r="X38" s="40">
        <v>0</v>
      </c>
    </row>
    <row r="39" spans="1:29" s="40" customFormat="1" ht="14.45" customHeight="1" x14ac:dyDescent="0.25">
      <c r="A39" s="133" t="s">
        <v>59</v>
      </c>
      <c r="B39" s="51" t="s">
        <v>340</v>
      </c>
      <c r="C39" s="94" t="s">
        <v>54</v>
      </c>
      <c r="D39" s="95" t="s">
        <v>383</v>
      </c>
      <c r="E39" s="96" t="s">
        <v>114</v>
      </c>
      <c r="F39" s="97" t="s">
        <v>270</v>
      </c>
      <c r="G39" s="98">
        <f t="shared" si="9"/>
        <v>10760</v>
      </c>
      <c r="H39" s="99">
        <f t="shared" si="10"/>
        <v>11760</v>
      </c>
      <c r="I39" s="99">
        <f t="shared" si="11"/>
        <v>11760</v>
      </c>
      <c r="J39" s="99">
        <f t="shared" si="12"/>
        <v>14410</v>
      </c>
      <c r="K39" s="57"/>
      <c r="L39" s="156" t="s">
        <v>384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S39" s="101">
        <f t="shared" si="13"/>
        <v>8955</v>
      </c>
      <c r="T39" s="54">
        <v>9950</v>
      </c>
      <c r="U39" s="103">
        <f t="shared" si="6"/>
        <v>9950</v>
      </c>
      <c r="V39" s="104">
        <f t="shared" si="14"/>
        <v>12596.7</v>
      </c>
      <c r="X39" s="40">
        <v>0</v>
      </c>
    </row>
    <row r="40" spans="1:29" s="40" customFormat="1" ht="18.75" x14ac:dyDescent="0.25">
      <c r="A40" s="133" t="s">
        <v>60</v>
      </c>
      <c r="B40" s="51" t="s">
        <v>340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 t="shared" si="9"/>
        <v>10760</v>
      </c>
      <c r="H40" s="99">
        <f t="shared" si="10"/>
        <v>11760</v>
      </c>
      <c r="I40" s="99">
        <f t="shared" si="11"/>
        <v>11760</v>
      </c>
      <c r="J40" s="99">
        <f t="shared" si="12"/>
        <v>14410</v>
      </c>
      <c r="K40" s="57"/>
      <c r="L40" s="156" t="s">
        <v>384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S40" s="101">
        <f t="shared" si="13"/>
        <v>8955</v>
      </c>
      <c r="T40" s="54">
        <v>9950</v>
      </c>
      <c r="U40" s="103">
        <f t="shared" si="6"/>
        <v>9950</v>
      </c>
      <c r="V40" s="104">
        <f t="shared" si="14"/>
        <v>12596.7</v>
      </c>
      <c r="X40" s="40">
        <v>0</v>
      </c>
    </row>
    <row r="41" spans="1:29" s="45" customFormat="1" ht="14.45" customHeight="1" x14ac:dyDescent="0.25">
      <c r="A41" s="133" t="s">
        <v>61</v>
      </c>
      <c r="B41" s="51" t="s">
        <v>340</v>
      </c>
      <c r="C41" s="106" t="s">
        <v>54</v>
      </c>
      <c r="D41" s="95" t="s">
        <v>383</v>
      </c>
      <c r="E41" s="107" t="s">
        <v>114</v>
      </c>
      <c r="F41" s="108" t="s">
        <v>270</v>
      </c>
      <c r="G41" s="109">
        <f t="shared" si="9"/>
        <v>10760</v>
      </c>
      <c r="H41" s="110">
        <f t="shared" si="10"/>
        <v>11760</v>
      </c>
      <c r="I41" s="110">
        <f t="shared" si="11"/>
        <v>11760</v>
      </c>
      <c r="J41" s="110">
        <f t="shared" si="12"/>
        <v>14410</v>
      </c>
      <c r="K41" s="111"/>
      <c r="L41" s="156" t="s">
        <v>384</v>
      </c>
      <c r="M41" s="52" t="s">
        <v>294</v>
      </c>
      <c r="N41" s="45">
        <v>0</v>
      </c>
      <c r="O41" s="53">
        <f>VLOOKUP(B41,DRAYAGE!$A$1:$C$107,3,FALSE)</f>
        <v>1805</v>
      </c>
      <c r="P41" s="40" t="s">
        <v>300</v>
      </c>
      <c r="R41" s="40"/>
      <c r="S41" s="113">
        <f t="shared" si="13"/>
        <v>8955</v>
      </c>
      <c r="T41" s="54">
        <v>9950</v>
      </c>
      <c r="U41" s="103">
        <f t="shared" si="6"/>
        <v>9950</v>
      </c>
      <c r="V41" s="114">
        <f t="shared" si="14"/>
        <v>12596.7</v>
      </c>
      <c r="X41" s="45">
        <v>0</v>
      </c>
      <c r="Y41" s="40"/>
      <c r="Z41" s="40"/>
      <c r="AA41" s="40"/>
      <c r="AB41" s="40"/>
    </row>
    <row r="42" spans="1:29" s="40" customFormat="1" ht="18.75" x14ac:dyDescent="0.25">
      <c r="A42" s="133" t="s">
        <v>273</v>
      </c>
      <c r="B42" s="51" t="s">
        <v>340</v>
      </c>
      <c r="C42" s="94" t="s">
        <v>54</v>
      </c>
      <c r="D42" s="95" t="s">
        <v>383</v>
      </c>
      <c r="E42" s="96" t="s">
        <v>114</v>
      </c>
      <c r="F42" s="97" t="s">
        <v>270</v>
      </c>
      <c r="G42" s="98">
        <f t="shared" si="9"/>
        <v>11390</v>
      </c>
      <c r="H42" s="99">
        <f t="shared" si="10"/>
        <v>12460</v>
      </c>
      <c r="I42" s="99">
        <f t="shared" si="11"/>
        <v>12460</v>
      </c>
      <c r="J42" s="99">
        <f t="shared" si="12"/>
        <v>15290</v>
      </c>
      <c r="K42" s="57"/>
      <c r="L42" s="156" t="s">
        <v>384</v>
      </c>
      <c r="M42" s="52" t="s">
        <v>294</v>
      </c>
      <c r="N42" s="40">
        <v>0</v>
      </c>
      <c r="O42" s="53">
        <f>VLOOKUP(B42,DRAYAGE!$A$1:$C$107,3,FALSE)</f>
        <v>1805</v>
      </c>
      <c r="P42" s="40" t="s">
        <v>300</v>
      </c>
      <c r="S42" s="101">
        <f t="shared" si="13"/>
        <v>9585</v>
      </c>
      <c r="T42" s="54">
        <f>10500+150</f>
        <v>10650</v>
      </c>
      <c r="U42" s="103">
        <f t="shared" si="6"/>
        <v>10650</v>
      </c>
      <c r="V42" s="104">
        <f t="shared" si="14"/>
        <v>13482.9</v>
      </c>
      <c r="X42" s="40">
        <v>0</v>
      </c>
    </row>
    <row r="43" spans="1:29" s="40" customFormat="1" ht="14.45" customHeight="1" x14ac:dyDescent="0.25">
      <c r="A43" s="133" t="s">
        <v>58</v>
      </c>
      <c r="B43" s="51" t="s">
        <v>340</v>
      </c>
      <c r="C43" s="94" t="s">
        <v>54</v>
      </c>
      <c r="D43" s="95" t="s">
        <v>383</v>
      </c>
      <c r="E43" s="96" t="s">
        <v>114</v>
      </c>
      <c r="F43" s="97" t="s">
        <v>270</v>
      </c>
      <c r="G43" s="98">
        <f t="shared" si="9"/>
        <v>11530</v>
      </c>
      <c r="H43" s="99">
        <f t="shared" si="10"/>
        <v>12610</v>
      </c>
      <c r="I43" s="99">
        <f t="shared" si="11"/>
        <v>12610</v>
      </c>
      <c r="J43" s="99">
        <f t="shared" si="12"/>
        <v>15480</v>
      </c>
      <c r="K43" s="57"/>
      <c r="L43" s="156" t="s">
        <v>384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S43" s="101">
        <f t="shared" si="13"/>
        <v>9720</v>
      </c>
      <c r="T43" s="54">
        <f>10500+300</f>
        <v>10800</v>
      </c>
      <c r="U43" s="103">
        <f t="shared" si="6"/>
        <v>10800</v>
      </c>
      <c r="V43" s="104">
        <f t="shared" si="14"/>
        <v>13672.8</v>
      </c>
      <c r="X43" s="40">
        <v>0</v>
      </c>
    </row>
    <row r="44" spans="1:29" s="40" customFormat="1" ht="14.45" customHeight="1" x14ac:dyDescent="0.25">
      <c r="A44" s="134" t="s">
        <v>98</v>
      </c>
      <c r="B44" s="88"/>
      <c r="C44" s="88"/>
      <c r="D44" s="88"/>
      <c r="E44" s="210"/>
      <c r="F44" s="211"/>
      <c r="G44" s="88"/>
      <c r="H44" s="88"/>
      <c r="I44" s="88"/>
      <c r="J44" s="88"/>
      <c r="K44" s="57"/>
      <c r="L44" s="89" t="s">
        <v>48</v>
      </c>
      <c r="M44" s="89" t="s">
        <v>261</v>
      </c>
      <c r="N44" s="90" t="s">
        <v>51</v>
      </c>
      <c r="O44" s="91" t="s">
        <v>50</v>
      </c>
      <c r="P44" s="91" t="s">
        <v>262</v>
      </c>
      <c r="Q44" s="91" t="s">
        <v>263</v>
      </c>
      <c r="R44" s="92" t="s">
        <v>52</v>
      </c>
      <c r="S44" s="92" t="s">
        <v>52</v>
      </c>
      <c r="T44" s="92" t="s">
        <v>53</v>
      </c>
      <c r="U44" s="92" t="s">
        <v>265</v>
      </c>
      <c r="V44" s="92" t="s">
        <v>266</v>
      </c>
      <c r="W44" s="92" t="s">
        <v>267</v>
      </c>
      <c r="X44" s="92" t="s">
        <v>268</v>
      </c>
      <c r="Y44" s="92" t="s">
        <v>52</v>
      </c>
      <c r="Z44" s="92" t="s">
        <v>53</v>
      </c>
      <c r="AA44" s="92" t="s">
        <v>265</v>
      </c>
      <c r="AB44" s="92" t="s">
        <v>266</v>
      </c>
      <c r="AC44" s="93" t="s">
        <v>269</v>
      </c>
    </row>
    <row r="45" spans="1:29" s="40" customFormat="1" ht="14.45" customHeight="1" x14ac:dyDescent="0.25">
      <c r="A45" s="133" t="s">
        <v>331</v>
      </c>
      <c r="B45" s="51" t="s">
        <v>342</v>
      </c>
      <c r="C45" s="94" t="s">
        <v>54</v>
      </c>
      <c r="D45" s="95" t="s">
        <v>383</v>
      </c>
      <c r="E45" s="96" t="s">
        <v>114</v>
      </c>
      <c r="F45" s="97" t="s">
        <v>270</v>
      </c>
      <c r="G45" s="98">
        <f>CEILING(S45+W45+X45+O45+N45+Y45,10)</f>
        <v>11550</v>
      </c>
      <c r="H45" s="99">
        <f>CEILING(T45+W45+X45+O45+N45+Z45,10)</f>
        <v>12500</v>
      </c>
      <c r="I45" s="99">
        <f>CEILING(U45+W45+X45+O45+N45+AA45,10)</f>
        <v>12500</v>
      </c>
      <c r="J45" s="99">
        <f>CEILING(V45+W45+X45+O45+N45+AB45,10)</f>
        <v>15030</v>
      </c>
      <c r="K45" s="57"/>
      <c r="L45" s="156" t="s">
        <v>384</v>
      </c>
      <c r="M45" s="52" t="s">
        <v>293</v>
      </c>
      <c r="N45" s="40">
        <v>0</v>
      </c>
      <c r="O45" s="53">
        <f>VLOOKUP(B45,DRAYAGE!$A$1:$C$107,3,FALSE)</f>
        <v>2995</v>
      </c>
      <c r="P45" s="40" t="s">
        <v>302</v>
      </c>
      <c r="R45" s="101">
        <v>19800</v>
      </c>
      <c r="S45" s="101">
        <f>0.9*T45</f>
        <v>8550</v>
      </c>
      <c r="T45" s="54">
        <f>9300+200</f>
        <v>9500</v>
      </c>
      <c r="U45" s="103">
        <f>T45</f>
        <v>9500</v>
      </c>
      <c r="V45" s="104">
        <f>U45*1.266</f>
        <v>12027</v>
      </c>
      <c r="W45" s="40">
        <v>0</v>
      </c>
    </row>
    <row r="46" spans="1:29" s="40" customFormat="1" ht="14.45" customHeight="1" x14ac:dyDescent="0.25">
      <c r="A46" s="133" t="s">
        <v>328</v>
      </c>
      <c r="B46" s="51" t="s">
        <v>342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>CEILING(S46+W46+X46+O46+N46+Y46,10)</f>
        <v>11910</v>
      </c>
      <c r="H46" s="99">
        <f>CEILING(T46+W46+X46+O46+N46+Z46,10)</f>
        <v>12900</v>
      </c>
      <c r="I46" s="99">
        <f>CEILING(U46+W46+X46+O46+N46+AA46,10)</f>
        <v>12900</v>
      </c>
      <c r="J46" s="99">
        <f>CEILING(V46+W46+X46+O46+N46+AB46,10)</f>
        <v>15530</v>
      </c>
      <c r="K46" s="57"/>
      <c r="L46" s="156" t="s">
        <v>384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R46" s="101">
        <v>19800</v>
      </c>
      <c r="S46" s="101">
        <f>0.9*T46</f>
        <v>8910</v>
      </c>
      <c r="T46" s="54">
        <f>9700+200</f>
        <v>9900</v>
      </c>
      <c r="U46" s="103">
        <f>T46</f>
        <v>9900</v>
      </c>
      <c r="V46" s="104">
        <f>U46*1.266</f>
        <v>12533.4</v>
      </c>
      <c r="W46" s="40">
        <v>0</v>
      </c>
    </row>
    <row r="47" spans="1:29" s="40" customFormat="1" ht="14.45" customHeight="1" x14ac:dyDescent="0.25">
      <c r="A47" s="133" t="s">
        <v>58</v>
      </c>
      <c r="B47" s="51" t="s">
        <v>342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>CEILING(S47+W47+X47+O47+N47+Y47,10)</f>
        <v>12180</v>
      </c>
      <c r="H47" s="99">
        <f>CEILING(T47+W47+X47+O47+N47+Z47,10)</f>
        <v>13200</v>
      </c>
      <c r="I47" s="99">
        <f>CEILING(U47+W47+X47+O47+N47+AA47,10)</f>
        <v>13200</v>
      </c>
      <c r="J47" s="99">
        <f>CEILING(V47+W47+X47+O47+N47+AB47,10)</f>
        <v>15910</v>
      </c>
      <c r="K47" s="57"/>
      <c r="L47" s="156" t="s">
        <v>384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R47" s="101">
        <v>19800</v>
      </c>
      <c r="S47" s="101">
        <f>0.9*T47</f>
        <v>9180</v>
      </c>
      <c r="T47" s="54">
        <f>9700+500</f>
        <v>10200</v>
      </c>
      <c r="U47" s="103">
        <f>T47</f>
        <v>10200</v>
      </c>
      <c r="V47" s="104">
        <f>U47*1.266</f>
        <v>12913.2</v>
      </c>
      <c r="W47" s="40">
        <v>0</v>
      </c>
    </row>
    <row r="48" spans="1:29" s="40" customFormat="1" ht="14.45" customHeight="1" x14ac:dyDescent="0.25">
      <c r="A48" s="133" t="s">
        <v>330</v>
      </c>
      <c r="B48" s="51" t="s">
        <v>342</v>
      </c>
      <c r="C48" s="94" t="s">
        <v>54</v>
      </c>
      <c r="D48" s="95" t="s">
        <v>383</v>
      </c>
      <c r="E48" s="96" t="s">
        <v>114</v>
      </c>
      <c r="F48" s="97" t="s">
        <v>270</v>
      </c>
      <c r="G48" s="98">
        <f>CEILING(S48+W48+X48+O48+N48+Y48,10)</f>
        <v>11550</v>
      </c>
      <c r="H48" s="99">
        <f>CEILING(T48+W48+X48+O48+N48+Z48,10)</f>
        <v>12500</v>
      </c>
      <c r="I48" s="99">
        <f>CEILING(U48+W48+X48+O48+N48+AA48,10)</f>
        <v>12500</v>
      </c>
      <c r="J48" s="99">
        <f>CEILING(V48+W48+X48+O48+N48+AB48,10)</f>
        <v>15030</v>
      </c>
      <c r="K48" s="57"/>
      <c r="L48" s="156" t="s">
        <v>384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R48" s="101">
        <v>19800</v>
      </c>
      <c r="S48" s="101">
        <f>0.9*T48</f>
        <v>8550</v>
      </c>
      <c r="T48" s="54">
        <f>9300+200</f>
        <v>9500</v>
      </c>
      <c r="U48" s="103">
        <f>T48</f>
        <v>9500</v>
      </c>
      <c r="V48" s="104">
        <f>U48*1.266</f>
        <v>12027</v>
      </c>
      <c r="W48" s="40">
        <v>0</v>
      </c>
    </row>
    <row r="49" spans="1:29" s="40" customFormat="1" ht="14.45" customHeight="1" x14ac:dyDescent="0.25">
      <c r="A49" s="134" t="s">
        <v>336</v>
      </c>
      <c r="B49" s="88"/>
      <c r="C49" s="88"/>
      <c r="D49" s="88"/>
      <c r="E49" s="210"/>
      <c r="F49" s="211"/>
      <c r="G49" s="88"/>
      <c r="H49" s="88"/>
      <c r="I49" s="88"/>
      <c r="J49" s="88"/>
      <c r="K49" s="57"/>
      <c r="L49" s="89" t="s">
        <v>48</v>
      </c>
      <c r="M49" s="89" t="s">
        <v>261</v>
      </c>
      <c r="N49" s="90" t="s">
        <v>51</v>
      </c>
      <c r="O49" s="91" t="s">
        <v>50</v>
      </c>
      <c r="P49" s="91" t="s">
        <v>262</v>
      </c>
      <c r="Q49" s="91" t="s">
        <v>263</v>
      </c>
      <c r="R49" s="92" t="s">
        <v>52</v>
      </c>
      <c r="S49" s="92" t="s">
        <v>52</v>
      </c>
      <c r="T49" s="92" t="s">
        <v>53</v>
      </c>
      <c r="U49" s="92" t="s">
        <v>265</v>
      </c>
      <c r="V49" s="92" t="s">
        <v>266</v>
      </c>
      <c r="W49" s="92" t="s">
        <v>267</v>
      </c>
      <c r="X49" s="92" t="s">
        <v>268</v>
      </c>
      <c r="Y49" s="92" t="s">
        <v>52</v>
      </c>
      <c r="Z49" s="92" t="s">
        <v>53</v>
      </c>
      <c r="AA49" s="92" t="s">
        <v>265</v>
      </c>
      <c r="AB49" s="92" t="s">
        <v>266</v>
      </c>
      <c r="AC49" s="93" t="s">
        <v>269</v>
      </c>
    </row>
    <row r="50" spans="1:29" s="40" customFormat="1" ht="14.45" customHeight="1" x14ac:dyDescent="0.25">
      <c r="A50" s="133" t="s">
        <v>326</v>
      </c>
      <c r="B50" s="51" t="s">
        <v>343</v>
      </c>
      <c r="C50" s="94" t="s">
        <v>54</v>
      </c>
      <c r="D50" s="95" t="s">
        <v>383</v>
      </c>
      <c r="E50" s="96" t="s">
        <v>114</v>
      </c>
      <c r="F50" s="97" t="s">
        <v>270</v>
      </c>
      <c r="G50" s="98">
        <v>18510</v>
      </c>
      <c r="H50" s="99">
        <v>20510</v>
      </c>
      <c r="I50" s="99">
        <v>20510</v>
      </c>
      <c r="J50" s="99">
        <v>25830</v>
      </c>
      <c r="K50" s="57"/>
      <c r="L50" s="156" t="s">
        <v>384</v>
      </c>
      <c r="M50" s="52" t="s">
        <v>295</v>
      </c>
      <c r="N50" s="40">
        <v>0</v>
      </c>
      <c r="O50" s="53">
        <f>VLOOKUP(B50,DRAYAGE!$A$1:$C$107,3,FALSE)</f>
        <v>1185</v>
      </c>
      <c r="P50" s="40" t="s">
        <v>361</v>
      </c>
      <c r="R50" s="101">
        <v>18000</v>
      </c>
      <c r="S50" s="101">
        <f>0.9*T50</f>
        <v>11340</v>
      </c>
      <c r="T50" s="54">
        <f>12300+300</f>
        <v>12600</v>
      </c>
      <c r="U50" s="103">
        <f>T50</f>
        <v>12600</v>
      </c>
      <c r="V50" s="104">
        <f>U50*1.266</f>
        <v>15951.6</v>
      </c>
      <c r="W50" s="40">
        <v>0</v>
      </c>
    </row>
    <row r="51" spans="1:29" s="40" customFormat="1" ht="14.45" customHeight="1" x14ac:dyDescent="0.25">
      <c r="A51" s="133" t="s">
        <v>327</v>
      </c>
      <c r="B51" s="51" t="s">
        <v>343</v>
      </c>
      <c r="C51" s="94" t="s">
        <v>54</v>
      </c>
      <c r="D51" s="95" t="s">
        <v>383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56" t="s">
        <v>384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R51" s="101">
        <v>18000</v>
      </c>
      <c r="S51" s="101">
        <f>0.9*T51</f>
        <v>11340</v>
      </c>
      <c r="T51" s="54">
        <f>12300+300</f>
        <v>12600</v>
      </c>
      <c r="U51" s="103">
        <f>T51</f>
        <v>12600</v>
      </c>
      <c r="V51" s="104">
        <f>U51*1.266</f>
        <v>15951.6</v>
      </c>
      <c r="W51" s="40">
        <v>0</v>
      </c>
    </row>
    <row r="52" spans="1:29" s="40" customFormat="1" ht="14.45" customHeight="1" x14ac:dyDescent="0.25">
      <c r="A52" s="133" t="s">
        <v>328</v>
      </c>
      <c r="B52" s="51" t="s">
        <v>343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v>18510</v>
      </c>
      <c r="H52" s="99">
        <v>20510</v>
      </c>
      <c r="I52" s="99">
        <v>20510</v>
      </c>
      <c r="J52" s="99">
        <v>25830</v>
      </c>
      <c r="K52" s="57"/>
      <c r="L52" s="156" t="s">
        <v>384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R52" s="101">
        <v>18000</v>
      </c>
      <c r="S52" s="101">
        <f>0.9*T52</f>
        <v>11340</v>
      </c>
      <c r="T52" s="54">
        <f>12300+300</f>
        <v>12600</v>
      </c>
      <c r="U52" s="103">
        <f>T52</f>
        <v>12600</v>
      </c>
      <c r="V52" s="104">
        <f>U52*1.266</f>
        <v>15951.6</v>
      </c>
      <c r="W52" s="40">
        <v>0</v>
      </c>
    </row>
    <row r="53" spans="1:29" s="40" customFormat="1" ht="14.45" customHeight="1" x14ac:dyDescent="0.25">
      <c r="A53" s="134" t="s">
        <v>337</v>
      </c>
      <c r="B53" s="88"/>
      <c r="C53" s="88"/>
      <c r="D53" s="88"/>
      <c r="E53" s="210"/>
      <c r="F53" s="211"/>
      <c r="G53" s="88"/>
      <c r="H53" s="88"/>
      <c r="I53" s="88"/>
      <c r="J53" s="88"/>
      <c r="K53" s="57"/>
      <c r="L53" s="89" t="s">
        <v>48</v>
      </c>
      <c r="M53" s="89" t="s">
        <v>261</v>
      </c>
      <c r="N53" s="90" t="s">
        <v>51</v>
      </c>
      <c r="O53" s="91" t="s">
        <v>50</v>
      </c>
      <c r="P53" s="91" t="s">
        <v>262</v>
      </c>
      <c r="Q53" s="91" t="s">
        <v>263</v>
      </c>
      <c r="R53" s="91" t="s">
        <v>264</v>
      </c>
      <c r="S53" s="92" t="s">
        <v>52</v>
      </c>
      <c r="T53" s="92" t="s">
        <v>53</v>
      </c>
      <c r="U53" s="92" t="s">
        <v>265</v>
      </c>
      <c r="V53" s="92" t="s">
        <v>266</v>
      </c>
      <c r="W53" s="92" t="s">
        <v>267</v>
      </c>
      <c r="X53" s="92" t="s">
        <v>268</v>
      </c>
      <c r="Y53" s="92" t="s">
        <v>52</v>
      </c>
      <c r="Z53" s="92" t="s">
        <v>53</v>
      </c>
      <c r="AA53" s="92" t="s">
        <v>265</v>
      </c>
      <c r="AB53" s="92" t="s">
        <v>266</v>
      </c>
      <c r="AC53" s="93" t="s">
        <v>269</v>
      </c>
    </row>
    <row r="54" spans="1:29" s="40" customFormat="1" ht="18.75" x14ac:dyDescent="0.25">
      <c r="A54" s="133" t="s">
        <v>81</v>
      </c>
      <c r="B54" s="51" t="s">
        <v>344</v>
      </c>
      <c r="C54" s="94" t="s">
        <v>54</v>
      </c>
      <c r="D54" s="95" t="s">
        <v>383</v>
      </c>
      <c r="E54" s="96" t="s">
        <v>114</v>
      </c>
      <c r="F54" s="97" t="s">
        <v>270</v>
      </c>
      <c r="G54" s="98">
        <f t="shared" ref="G54:G59" si="15">CEILING(S54+W54+X54+O54+N54+Y54,10)</f>
        <v>10300</v>
      </c>
      <c r="H54" s="99">
        <f t="shared" ref="H54:H59" si="16">CEILING(T54+W54+X54+O54+N54+Z54,10)</f>
        <v>11300</v>
      </c>
      <c r="I54" s="99">
        <f t="shared" ref="I54:I59" si="17">CEILING(U54+W54+X54+O54+N54+AA54,10)</f>
        <v>11300</v>
      </c>
      <c r="J54" s="99">
        <f t="shared" ref="J54:J59" si="18">CEILING(V54+W54+X54+O54+N54+AB54,10)</f>
        <v>13950</v>
      </c>
      <c r="K54" s="57"/>
      <c r="L54" s="156" t="s">
        <v>384</v>
      </c>
      <c r="M54" s="52" t="s">
        <v>294</v>
      </c>
      <c r="N54" s="40">
        <v>0</v>
      </c>
      <c r="O54" s="53">
        <f>VLOOKUP(B54,DRAYAGE!$A$1:$C$107,3,FALSE)</f>
        <v>1345</v>
      </c>
      <c r="P54" s="40" t="s">
        <v>301</v>
      </c>
      <c r="S54" s="101">
        <f t="shared" ref="S54:S67" si="19">0.9*T54</f>
        <v>8955</v>
      </c>
      <c r="T54" s="54">
        <f t="shared" ref="T54:T59" si="20">T37</f>
        <v>9950</v>
      </c>
      <c r="U54" s="103">
        <f t="shared" si="6"/>
        <v>9950</v>
      </c>
      <c r="V54" s="104">
        <f t="shared" ref="V54:V59" si="21">U54*1.266</f>
        <v>12596.7</v>
      </c>
      <c r="X54" s="40">
        <v>0</v>
      </c>
    </row>
    <row r="55" spans="1:29" s="40" customFormat="1" ht="14.45" customHeight="1" x14ac:dyDescent="0.25">
      <c r="A55" s="133" t="s">
        <v>55</v>
      </c>
      <c r="B55" s="51" t="s">
        <v>344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 t="shared" si="15"/>
        <v>10300</v>
      </c>
      <c r="H55" s="99">
        <f t="shared" si="16"/>
        <v>11300</v>
      </c>
      <c r="I55" s="99">
        <f t="shared" si="17"/>
        <v>11300</v>
      </c>
      <c r="J55" s="99">
        <f t="shared" si="18"/>
        <v>13950</v>
      </c>
      <c r="K55" s="57"/>
      <c r="L55" s="156" t="s">
        <v>384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S55" s="101">
        <f t="shared" si="19"/>
        <v>8955</v>
      </c>
      <c r="T55" s="54">
        <f t="shared" si="20"/>
        <v>9950</v>
      </c>
      <c r="U55" s="103">
        <f t="shared" si="6"/>
        <v>9950</v>
      </c>
      <c r="V55" s="104">
        <f t="shared" si="21"/>
        <v>12596.7</v>
      </c>
      <c r="X55" s="40">
        <v>0</v>
      </c>
    </row>
    <row r="56" spans="1:29" s="40" customFormat="1" ht="14.45" customHeight="1" x14ac:dyDescent="0.25">
      <c r="A56" s="133" t="s">
        <v>59</v>
      </c>
      <c r="B56" s="51" t="s">
        <v>344</v>
      </c>
      <c r="C56" s="94" t="s">
        <v>54</v>
      </c>
      <c r="D56" s="95" t="s">
        <v>383</v>
      </c>
      <c r="E56" s="96" t="s">
        <v>114</v>
      </c>
      <c r="F56" s="97" t="s">
        <v>270</v>
      </c>
      <c r="G56" s="98">
        <f t="shared" si="15"/>
        <v>10300</v>
      </c>
      <c r="H56" s="99">
        <f t="shared" si="16"/>
        <v>11300</v>
      </c>
      <c r="I56" s="99">
        <f t="shared" si="17"/>
        <v>11300</v>
      </c>
      <c r="J56" s="99">
        <f t="shared" si="18"/>
        <v>13950</v>
      </c>
      <c r="K56" s="57"/>
      <c r="L56" s="156" t="s">
        <v>384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S56" s="101">
        <f t="shared" si="19"/>
        <v>8955</v>
      </c>
      <c r="T56" s="54">
        <f t="shared" si="20"/>
        <v>9950</v>
      </c>
      <c r="U56" s="103">
        <f t="shared" si="6"/>
        <v>9950</v>
      </c>
      <c r="V56" s="104">
        <f t="shared" si="21"/>
        <v>12596.7</v>
      </c>
      <c r="X56" s="40">
        <v>0</v>
      </c>
    </row>
    <row r="57" spans="1:29" s="40" customFormat="1" ht="18.75" x14ac:dyDescent="0.25">
      <c r="A57" s="133" t="s">
        <v>60</v>
      </c>
      <c r="B57" s="51" t="s">
        <v>344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f t="shared" si="15"/>
        <v>10300</v>
      </c>
      <c r="H57" s="99">
        <f t="shared" si="16"/>
        <v>11300</v>
      </c>
      <c r="I57" s="99">
        <f t="shared" si="17"/>
        <v>11300</v>
      </c>
      <c r="J57" s="99">
        <f t="shared" si="18"/>
        <v>13950</v>
      </c>
      <c r="K57" s="57"/>
      <c r="L57" s="156" t="s">
        <v>384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S57" s="101">
        <f t="shared" si="19"/>
        <v>8955</v>
      </c>
      <c r="T57" s="54">
        <f t="shared" si="20"/>
        <v>9950</v>
      </c>
      <c r="U57" s="103">
        <f t="shared" si="6"/>
        <v>9950</v>
      </c>
      <c r="V57" s="104">
        <f t="shared" si="21"/>
        <v>12596.7</v>
      </c>
      <c r="X57" s="40">
        <v>0</v>
      </c>
    </row>
    <row r="58" spans="1:29" s="40" customFormat="1" ht="14.45" customHeight="1" x14ac:dyDescent="0.25">
      <c r="A58" s="133" t="s">
        <v>61</v>
      </c>
      <c r="B58" s="51" t="s">
        <v>344</v>
      </c>
      <c r="C58" s="94" t="s">
        <v>54</v>
      </c>
      <c r="D58" s="95" t="s">
        <v>383</v>
      </c>
      <c r="E58" s="96" t="s">
        <v>114</v>
      </c>
      <c r="F58" s="97" t="s">
        <v>270</v>
      </c>
      <c r="G58" s="98">
        <f t="shared" si="15"/>
        <v>10300</v>
      </c>
      <c r="H58" s="99">
        <f t="shared" si="16"/>
        <v>11300</v>
      </c>
      <c r="I58" s="99">
        <f t="shared" si="17"/>
        <v>11300</v>
      </c>
      <c r="J58" s="99">
        <f t="shared" si="18"/>
        <v>13950</v>
      </c>
      <c r="K58" s="57"/>
      <c r="L58" s="156" t="s">
        <v>384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S58" s="101">
        <f t="shared" si="19"/>
        <v>8955</v>
      </c>
      <c r="T58" s="54">
        <f t="shared" si="20"/>
        <v>9950</v>
      </c>
      <c r="U58" s="103">
        <f t="shared" si="6"/>
        <v>9950</v>
      </c>
      <c r="V58" s="104">
        <f t="shared" si="21"/>
        <v>12596.7</v>
      </c>
      <c r="X58" s="40">
        <v>0</v>
      </c>
    </row>
    <row r="59" spans="1:29" s="40" customFormat="1" ht="18.75" x14ac:dyDescent="0.25">
      <c r="A59" s="133" t="s">
        <v>273</v>
      </c>
      <c r="B59" s="51" t="s">
        <v>344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f t="shared" si="15"/>
        <v>10930</v>
      </c>
      <c r="H59" s="99">
        <f t="shared" si="16"/>
        <v>12000</v>
      </c>
      <c r="I59" s="99">
        <f t="shared" si="17"/>
        <v>12000</v>
      </c>
      <c r="J59" s="99">
        <f t="shared" si="18"/>
        <v>14830</v>
      </c>
      <c r="K59" s="57"/>
      <c r="L59" s="156" t="s">
        <v>384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S59" s="101">
        <f t="shared" si="19"/>
        <v>9585</v>
      </c>
      <c r="T59" s="54">
        <f t="shared" si="20"/>
        <v>10650</v>
      </c>
      <c r="U59" s="103">
        <f t="shared" si="6"/>
        <v>10650</v>
      </c>
      <c r="V59" s="104">
        <f t="shared" si="21"/>
        <v>13482.9</v>
      </c>
      <c r="X59" s="40">
        <v>0</v>
      </c>
    </row>
    <row r="60" spans="1:29" s="40" customFormat="1" ht="15.75" x14ac:dyDescent="0.25">
      <c r="A60" s="134" t="s">
        <v>389</v>
      </c>
      <c r="B60" s="88"/>
      <c r="C60" s="88"/>
      <c r="D60" s="88"/>
      <c r="E60" s="210"/>
      <c r="F60" s="211"/>
      <c r="G60" s="88"/>
      <c r="H60" s="88"/>
      <c r="I60" s="88"/>
      <c r="J60" s="88"/>
      <c r="K60" s="57"/>
      <c r="L60" s="89" t="s">
        <v>48</v>
      </c>
      <c r="M60" s="89" t="s">
        <v>261</v>
      </c>
      <c r="N60" s="90" t="s">
        <v>51</v>
      </c>
      <c r="O60" s="91" t="s">
        <v>50</v>
      </c>
      <c r="P60" s="91" t="s">
        <v>262</v>
      </c>
      <c r="Q60" s="91" t="s">
        <v>263</v>
      </c>
      <c r="R60" s="92" t="s">
        <v>52</v>
      </c>
      <c r="S60" s="92" t="s">
        <v>52</v>
      </c>
      <c r="T60" s="92" t="s">
        <v>53</v>
      </c>
      <c r="U60" s="92" t="s">
        <v>265</v>
      </c>
      <c r="V60" s="92" t="s">
        <v>266</v>
      </c>
      <c r="W60" s="92" t="s">
        <v>267</v>
      </c>
      <c r="X60" s="92" t="s">
        <v>268</v>
      </c>
      <c r="Y60" s="92" t="s">
        <v>52</v>
      </c>
      <c r="Z60" s="92" t="s">
        <v>53</v>
      </c>
      <c r="AA60" s="92" t="s">
        <v>265</v>
      </c>
      <c r="AB60" s="92" t="s">
        <v>266</v>
      </c>
      <c r="AC60" s="93" t="s">
        <v>269</v>
      </c>
    </row>
    <row r="61" spans="1:29" s="40" customFormat="1" ht="18.75" x14ac:dyDescent="0.25">
      <c r="A61" s="133" t="s">
        <v>55</v>
      </c>
      <c r="B61" s="51" t="s">
        <v>390</v>
      </c>
      <c r="C61" s="94" t="s">
        <v>54</v>
      </c>
      <c r="D61" s="95" t="s">
        <v>383</v>
      </c>
      <c r="E61" s="96" t="s">
        <v>114</v>
      </c>
      <c r="F61" s="97" t="s">
        <v>270</v>
      </c>
      <c r="G61" s="98">
        <f t="shared" ref="G61:G67" si="22">CEILING(S61+W61+X61+O61+N61+Y61,10)</f>
        <v>13260</v>
      </c>
      <c r="H61" s="99">
        <f t="shared" ref="H61:H67" si="23">CEILING(T61+W61+X61+O61+N61+Z61,10)</f>
        <v>14520</v>
      </c>
      <c r="I61" s="99">
        <f t="shared" ref="I61:I67" si="24">CEILING(U61+W61+X61+O61+N61+AA61,10)</f>
        <v>14520</v>
      </c>
      <c r="J61" s="99">
        <f t="shared" ref="J61:J67" si="25">CEILING(V61+W61+X61+O61+N61+AB61,10)</f>
        <v>17870</v>
      </c>
      <c r="K61" s="57"/>
      <c r="L61" s="156" t="s">
        <v>384</v>
      </c>
      <c r="M61" s="52" t="s">
        <v>397</v>
      </c>
      <c r="N61" s="40">
        <v>0</v>
      </c>
      <c r="O61" s="53">
        <f>VLOOKUP(B61,DRAYAGE!$A$1:$C$107,3,FALSE)</f>
        <v>1915</v>
      </c>
      <c r="P61" s="40" t="str">
        <f>VLOOKUP($B61,DRAYAGE!$A$1:$Q$23,14,FALSE)</f>
        <v>PCF, chassis split, drop fee</v>
      </c>
      <c r="R61" s="54">
        <v>11000</v>
      </c>
      <c r="S61" s="101">
        <f t="shared" si="19"/>
        <v>11340</v>
      </c>
      <c r="T61" s="54">
        <f>12300+300</f>
        <v>12600</v>
      </c>
      <c r="U61" s="103">
        <f t="shared" ref="U61:U67" si="26">T61</f>
        <v>12600</v>
      </c>
      <c r="V61" s="104">
        <f t="shared" ref="V61:V67" si="27">U61*1.266</f>
        <v>15951.6</v>
      </c>
    </row>
    <row r="62" spans="1:29" s="40" customFormat="1" ht="18.75" x14ac:dyDescent="0.25">
      <c r="A62" s="133" t="s">
        <v>55</v>
      </c>
      <c r="B62" s="51" t="s">
        <v>391</v>
      </c>
      <c r="C62" s="94" t="s">
        <v>54</v>
      </c>
      <c r="D62" s="95" t="s">
        <v>383</v>
      </c>
      <c r="E62" s="96" t="s">
        <v>114</v>
      </c>
      <c r="F62" s="97" t="s">
        <v>270</v>
      </c>
      <c r="G62" s="98">
        <f t="shared" si="22"/>
        <v>17650</v>
      </c>
      <c r="H62" s="99">
        <f t="shared" si="23"/>
        <v>18870</v>
      </c>
      <c r="I62" s="99">
        <f t="shared" si="24"/>
        <v>18870</v>
      </c>
      <c r="J62" s="99">
        <f t="shared" si="25"/>
        <v>22130</v>
      </c>
      <c r="K62" s="57"/>
      <c r="L62" s="156" t="s">
        <v>384</v>
      </c>
      <c r="M62" s="52" t="s">
        <v>398</v>
      </c>
      <c r="N62" s="40">
        <v>0</v>
      </c>
      <c r="O62" s="53">
        <f>VLOOKUP(B62,DRAYAGE!$A$1:$C$107,3,FALSE)</f>
        <v>6620</v>
      </c>
      <c r="P62" s="40" t="str">
        <f>VLOOKUP($B62,DRAYAGE!$A$1:$Q$23,14,FALSE)</f>
        <v>Rail fee, toll, drop</v>
      </c>
      <c r="R62" s="54">
        <v>11000</v>
      </c>
      <c r="S62" s="101">
        <f t="shared" si="19"/>
        <v>11025</v>
      </c>
      <c r="T62" s="54">
        <v>12250</v>
      </c>
      <c r="U62" s="103">
        <f t="shared" si="26"/>
        <v>12250</v>
      </c>
      <c r="V62" s="104">
        <f t="shared" si="27"/>
        <v>15508.5</v>
      </c>
    </row>
    <row r="63" spans="1:29" s="40" customFormat="1" ht="18.75" x14ac:dyDescent="0.25">
      <c r="A63" s="133" t="s">
        <v>55</v>
      </c>
      <c r="B63" s="51" t="s">
        <v>396</v>
      </c>
      <c r="C63" s="94" t="s">
        <v>54</v>
      </c>
      <c r="D63" s="95" t="s">
        <v>383</v>
      </c>
      <c r="E63" s="96" t="s">
        <v>114</v>
      </c>
      <c r="F63" s="97" t="s">
        <v>270</v>
      </c>
      <c r="G63" s="98">
        <f t="shared" si="22"/>
        <v>14800</v>
      </c>
      <c r="H63" s="99">
        <f t="shared" si="23"/>
        <v>16070</v>
      </c>
      <c r="I63" s="99">
        <f t="shared" si="24"/>
        <v>16070</v>
      </c>
      <c r="J63" s="99">
        <f t="shared" si="25"/>
        <v>19470</v>
      </c>
      <c r="K63" s="57"/>
      <c r="L63" s="156" t="s">
        <v>384</v>
      </c>
      <c r="M63" s="52" t="s">
        <v>399</v>
      </c>
      <c r="N63" s="40">
        <v>0</v>
      </c>
      <c r="O63" s="53">
        <f>VLOOKUP(B63,DRAYAGE!$A$1:$C$107,3,FALSE)</f>
        <v>3320</v>
      </c>
      <c r="P63" s="40" t="str">
        <f>VLOOKUP($B63,DRAYAGE!$A$1:$Q$23,14,FALSE)</f>
        <v>Rail fee, drop fee, toll fee</v>
      </c>
      <c r="R63" s="103">
        <v>11000</v>
      </c>
      <c r="S63" s="101">
        <f t="shared" si="19"/>
        <v>11475</v>
      </c>
      <c r="T63" s="54">
        <v>12750</v>
      </c>
      <c r="U63" s="103">
        <f t="shared" si="26"/>
        <v>12750</v>
      </c>
      <c r="V63" s="104">
        <f t="shared" si="27"/>
        <v>16141.5</v>
      </c>
    </row>
    <row r="64" spans="1:29" s="40" customFormat="1" ht="18.75" x14ac:dyDescent="0.25">
      <c r="A64" s="133" t="s">
        <v>55</v>
      </c>
      <c r="B64" s="51" t="s">
        <v>392</v>
      </c>
      <c r="C64" s="94" t="s">
        <v>54</v>
      </c>
      <c r="D64" s="95" t="s">
        <v>383</v>
      </c>
      <c r="E64" s="96" t="s">
        <v>114</v>
      </c>
      <c r="F64" s="97" t="s">
        <v>270</v>
      </c>
      <c r="G64" s="98">
        <f t="shared" si="22"/>
        <v>15180</v>
      </c>
      <c r="H64" s="99">
        <f t="shared" si="23"/>
        <v>16410</v>
      </c>
      <c r="I64" s="99">
        <f t="shared" si="24"/>
        <v>16410</v>
      </c>
      <c r="J64" s="99">
        <f t="shared" si="25"/>
        <v>19670</v>
      </c>
      <c r="K64" s="57"/>
      <c r="L64" s="156" t="s">
        <v>384</v>
      </c>
      <c r="M64" s="52" t="s">
        <v>398</v>
      </c>
      <c r="N64" s="40">
        <v>0</v>
      </c>
      <c r="O64" s="53">
        <f>VLOOKUP(B64,DRAYAGE!$A$1:$C$107,3,FALSE)</f>
        <v>4155</v>
      </c>
      <c r="P64" s="40" t="str">
        <f>VLOOKUP($B64,DRAYAGE!$A$1:$Q$23,14,FALSE)</f>
        <v>Rail fee, chassis split, drop, toll</v>
      </c>
      <c r="R64" s="103">
        <v>11000</v>
      </c>
      <c r="S64" s="101">
        <f t="shared" si="19"/>
        <v>11025</v>
      </c>
      <c r="T64" s="54">
        <f>T62</f>
        <v>12250</v>
      </c>
      <c r="U64" s="103">
        <f t="shared" si="26"/>
        <v>12250</v>
      </c>
      <c r="V64" s="104">
        <f t="shared" si="27"/>
        <v>15508.5</v>
      </c>
    </row>
    <row r="65" spans="1:23" s="40" customFormat="1" ht="18.75" x14ac:dyDescent="0.25">
      <c r="A65" s="133" t="s">
        <v>55</v>
      </c>
      <c r="B65" s="51" t="s">
        <v>395</v>
      </c>
      <c r="C65" s="94" t="s">
        <v>54</v>
      </c>
      <c r="D65" s="95" t="s">
        <v>383</v>
      </c>
      <c r="E65" s="96" t="s">
        <v>114</v>
      </c>
      <c r="F65" s="97" t="s">
        <v>270</v>
      </c>
      <c r="G65" s="98">
        <f t="shared" si="22"/>
        <v>13400</v>
      </c>
      <c r="H65" s="99">
        <f t="shared" si="23"/>
        <v>14630</v>
      </c>
      <c r="I65" s="99">
        <f t="shared" si="24"/>
        <v>14630</v>
      </c>
      <c r="J65" s="99">
        <f t="shared" si="25"/>
        <v>17920</v>
      </c>
      <c r="K65" s="57"/>
      <c r="L65" s="156" t="s">
        <v>384</v>
      </c>
      <c r="M65" s="52" t="s">
        <v>400</v>
      </c>
      <c r="N65" s="40">
        <v>0</v>
      </c>
      <c r="O65" s="53">
        <f>VLOOKUP(B65,DRAYAGE!$A$1:$C$107,3,FALSE)</f>
        <v>2280</v>
      </c>
      <c r="P65" s="40" t="str">
        <f>VLOOKUP($B65,DRAYAGE!$A$1:$Q$23,14,FALSE)</f>
        <v>Rail fee, chassis split, drop</v>
      </c>
      <c r="R65" s="54">
        <v>11000</v>
      </c>
      <c r="S65" s="101">
        <f t="shared" si="19"/>
        <v>11115</v>
      </c>
      <c r="T65" s="54">
        <v>12350</v>
      </c>
      <c r="U65" s="103">
        <f t="shared" si="26"/>
        <v>12350</v>
      </c>
      <c r="V65" s="104">
        <f t="shared" si="27"/>
        <v>15635.1</v>
      </c>
    </row>
    <row r="66" spans="1:23" s="40" customFormat="1" ht="18.75" x14ac:dyDescent="0.25">
      <c r="A66" s="133" t="s">
        <v>55</v>
      </c>
      <c r="B66" s="51" t="s">
        <v>393</v>
      </c>
      <c r="C66" s="94" t="s">
        <v>54</v>
      </c>
      <c r="D66" s="95" t="s">
        <v>383</v>
      </c>
      <c r="E66" s="96" t="s">
        <v>114</v>
      </c>
      <c r="F66" s="97" t="s">
        <v>270</v>
      </c>
      <c r="G66" s="98">
        <f t="shared" si="22"/>
        <v>13830</v>
      </c>
      <c r="H66" s="99">
        <f t="shared" si="23"/>
        <v>15060</v>
      </c>
      <c r="I66" s="99">
        <f t="shared" si="24"/>
        <v>15060</v>
      </c>
      <c r="J66" s="99">
        <f t="shared" si="25"/>
        <v>18320</v>
      </c>
      <c r="K66" s="57"/>
      <c r="L66" s="156" t="s">
        <v>384</v>
      </c>
      <c r="M66" s="52" t="s">
        <v>398</v>
      </c>
      <c r="N66" s="40">
        <v>0</v>
      </c>
      <c r="O66" s="53">
        <f>VLOOKUP(B66,DRAYAGE!$A$1:$C$107,3,FALSE)</f>
        <v>2805</v>
      </c>
      <c r="P66" s="40" t="str">
        <f>VLOOKUP($B66,DRAYAGE!$A$1:$Q$23,14,FALSE)</f>
        <v>Rail fee, chassis split, drop, toll</v>
      </c>
      <c r="R66" s="54">
        <v>11000</v>
      </c>
      <c r="S66" s="101">
        <f t="shared" si="19"/>
        <v>11025</v>
      </c>
      <c r="T66" s="54">
        <f>T62</f>
        <v>12250</v>
      </c>
      <c r="U66" s="103">
        <f t="shared" si="26"/>
        <v>12250</v>
      </c>
      <c r="V66" s="104">
        <f t="shared" si="27"/>
        <v>15508.5</v>
      </c>
    </row>
    <row r="67" spans="1:23" s="40" customFormat="1" ht="18.75" x14ac:dyDescent="0.25">
      <c r="A67" s="133" t="s">
        <v>55</v>
      </c>
      <c r="B67" s="51" t="s">
        <v>394</v>
      </c>
      <c r="C67" s="94" t="s">
        <v>54</v>
      </c>
      <c r="D67" s="95" t="s">
        <v>383</v>
      </c>
      <c r="E67" s="96" t="s">
        <v>114</v>
      </c>
      <c r="F67" s="97" t="s">
        <v>270</v>
      </c>
      <c r="G67" s="98">
        <f t="shared" si="22"/>
        <v>12270</v>
      </c>
      <c r="H67" s="99">
        <f t="shared" si="23"/>
        <v>13440</v>
      </c>
      <c r="I67" s="99">
        <f t="shared" si="24"/>
        <v>13440</v>
      </c>
      <c r="J67" s="99">
        <f t="shared" si="25"/>
        <v>16540</v>
      </c>
      <c r="K67" s="57"/>
      <c r="L67" s="156" t="s">
        <v>384</v>
      </c>
      <c r="M67" s="52" t="s">
        <v>401</v>
      </c>
      <c r="N67" s="40">
        <v>0</v>
      </c>
      <c r="O67" s="53">
        <f>VLOOKUP(B67,DRAYAGE!$A$1:$C$107,3,FALSE)</f>
        <v>1785</v>
      </c>
      <c r="P67" s="40" t="str">
        <f>VLOOKUP($B67,DRAYAGE!$A$1:$Q$23,14,FALSE)</f>
        <v>chassis split, drop</v>
      </c>
      <c r="R67" s="101">
        <v>9900</v>
      </c>
      <c r="S67" s="101">
        <f t="shared" si="19"/>
        <v>10485</v>
      </c>
      <c r="T67" s="54">
        <v>11650</v>
      </c>
      <c r="U67" s="103">
        <f t="shared" si="26"/>
        <v>11650</v>
      </c>
      <c r="V67" s="104">
        <f t="shared" si="27"/>
        <v>14748.9</v>
      </c>
    </row>
    <row r="68" spans="1:23" s="40" customFormat="1" ht="14.45" customHeight="1" x14ac:dyDescent="0.25">
      <c r="A68" s="212" t="s">
        <v>271</v>
      </c>
      <c r="B68" s="212"/>
      <c r="C68" s="212"/>
      <c r="D68" s="212"/>
      <c r="E68" s="212"/>
      <c r="F68" s="212"/>
      <c r="G68" s="212"/>
      <c r="H68" s="212"/>
      <c r="I68" s="212"/>
      <c r="J68" s="212"/>
      <c r="K68" s="57"/>
      <c r="L68" s="100"/>
      <c r="M68" s="100"/>
      <c r="S68" s="37"/>
      <c r="T68" s="37"/>
      <c r="U68" s="37"/>
      <c r="V68" s="37"/>
      <c r="W68" s="37"/>
    </row>
    <row r="69" spans="1:23" s="32" customFormat="1" ht="12.75" x14ac:dyDescent="0.2">
      <c r="A69" s="31"/>
      <c r="B69" s="33"/>
      <c r="C69" s="33"/>
      <c r="D69" s="33"/>
      <c r="E69" s="33"/>
      <c r="F69" s="34"/>
      <c r="G69" s="34"/>
      <c r="H69" s="34"/>
      <c r="I69" s="34"/>
      <c r="J69" s="34"/>
      <c r="K69" s="57"/>
      <c r="L69" s="27"/>
      <c r="M69" s="27"/>
      <c r="N69" s="30"/>
      <c r="O69" s="30"/>
      <c r="P69" s="30"/>
      <c r="Q69" s="30"/>
      <c r="R69" s="30"/>
      <c r="S69" s="37"/>
      <c r="T69" s="37"/>
      <c r="U69" s="37"/>
      <c r="V69" s="37"/>
      <c r="W69" s="37"/>
    </row>
    <row r="70" spans="1:23" s="37" customFormat="1" ht="14.45" customHeight="1" x14ac:dyDescent="0.25">
      <c r="A70" s="180" t="s">
        <v>111</v>
      </c>
      <c r="B70" s="180"/>
      <c r="C70" s="180"/>
      <c r="D70" s="180"/>
      <c r="E70" s="180"/>
      <c r="F70" s="180"/>
      <c r="G70" s="180"/>
      <c r="H70" s="180"/>
      <c r="I70" s="180"/>
      <c r="J70" s="180"/>
      <c r="K70" s="57"/>
    </row>
    <row r="71" spans="1:23" s="37" customFormat="1" ht="14.45" customHeight="1" x14ac:dyDescent="0.25">
      <c r="A71" s="208" t="s">
        <v>112</v>
      </c>
      <c r="B71" s="208"/>
      <c r="C71" s="208"/>
      <c r="D71" s="208"/>
      <c r="E71" s="208"/>
      <c r="F71" s="208"/>
      <c r="G71" s="208"/>
      <c r="H71" s="208"/>
      <c r="I71" s="208"/>
      <c r="J71" s="208"/>
      <c r="K71" s="57"/>
    </row>
    <row r="72" spans="1:23" s="37" customFormat="1" ht="14.45" customHeight="1" x14ac:dyDescent="0.25">
      <c r="A72" s="186" t="s">
        <v>67</v>
      </c>
      <c r="B72" s="186"/>
      <c r="C72" s="186"/>
      <c r="D72" s="186"/>
      <c r="E72" s="186" t="s">
        <v>68</v>
      </c>
      <c r="F72" s="186"/>
      <c r="G72" s="186"/>
      <c r="H72" s="186"/>
      <c r="I72" s="186"/>
      <c r="J72" s="186"/>
      <c r="K72" s="57"/>
      <c r="L72" s="209" t="s">
        <v>113</v>
      </c>
      <c r="M72" s="209"/>
      <c r="N72" s="209"/>
      <c r="O72" s="209"/>
      <c r="P72" s="209"/>
      <c r="Q72" s="209"/>
    </row>
    <row r="73" spans="1:23" s="37" customFormat="1" ht="14.45" customHeight="1" x14ac:dyDescent="0.25">
      <c r="A73" s="196" t="s">
        <v>69</v>
      </c>
      <c r="B73" s="196"/>
      <c r="C73" s="196"/>
      <c r="D73" s="196"/>
      <c r="E73" s="58" t="s">
        <v>114</v>
      </c>
      <c r="F73" s="196" t="s">
        <v>70</v>
      </c>
      <c r="G73" s="196"/>
      <c r="H73" s="196"/>
      <c r="I73" s="196"/>
      <c r="J73" s="196"/>
      <c r="K73" s="57"/>
      <c r="L73" s="197" t="s">
        <v>115</v>
      </c>
      <c r="M73" s="197"/>
      <c r="N73" s="197"/>
      <c r="O73" s="197"/>
      <c r="P73" s="197"/>
      <c r="Q73" s="197"/>
    </row>
    <row r="74" spans="1:23" s="37" customFormat="1" ht="14.45" customHeight="1" x14ac:dyDescent="0.25">
      <c r="A74" s="196" t="s">
        <v>71</v>
      </c>
      <c r="B74" s="196"/>
      <c r="C74" s="196"/>
      <c r="D74" s="201"/>
      <c r="E74" s="58" t="s">
        <v>114</v>
      </c>
      <c r="F74" s="196" t="s">
        <v>116</v>
      </c>
      <c r="G74" s="196"/>
      <c r="H74" s="196"/>
      <c r="I74" s="196"/>
      <c r="J74" s="196"/>
      <c r="K74" s="57"/>
      <c r="L74" s="197"/>
      <c r="M74" s="197"/>
      <c r="N74" s="197"/>
      <c r="O74" s="197"/>
      <c r="P74" s="197"/>
      <c r="Q74" s="197"/>
    </row>
    <row r="75" spans="1:23" s="37" customFormat="1" ht="18" customHeight="1" x14ac:dyDescent="0.25">
      <c r="A75" s="196" t="s">
        <v>117</v>
      </c>
      <c r="B75" s="196"/>
      <c r="C75" s="196"/>
      <c r="D75" s="201"/>
      <c r="E75" s="58" t="s">
        <v>114</v>
      </c>
      <c r="F75" s="196" t="s">
        <v>306</v>
      </c>
      <c r="G75" s="196"/>
      <c r="H75" s="196"/>
      <c r="I75" s="196"/>
      <c r="J75" s="196"/>
      <c r="K75" s="57"/>
      <c r="L75" s="59" t="s">
        <v>118</v>
      </c>
      <c r="M75" s="129"/>
      <c r="N75" s="129"/>
      <c r="O75" s="129"/>
      <c r="P75" s="129"/>
      <c r="Q75" s="129"/>
    </row>
    <row r="76" spans="1:23" s="37" customFormat="1" ht="32.65" customHeight="1" x14ac:dyDescent="0.25">
      <c r="A76" s="202" t="s">
        <v>388</v>
      </c>
      <c r="B76" s="202"/>
      <c r="C76" s="202"/>
      <c r="D76" s="203"/>
      <c r="E76" s="58" t="s">
        <v>127</v>
      </c>
      <c r="F76" s="185" t="s">
        <v>418</v>
      </c>
      <c r="G76" s="185"/>
      <c r="H76" s="185"/>
      <c r="I76" s="185"/>
      <c r="J76" s="185"/>
      <c r="K76" s="57"/>
      <c r="L76" s="59" t="s">
        <v>118</v>
      </c>
      <c r="M76" s="129"/>
      <c r="N76" s="129"/>
      <c r="O76" s="129"/>
      <c r="P76" s="129"/>
      <c r="Q76" s="129"/>
    </row>
    <row r="77" spans="1:23" s="37" customFormat="1" ht="36.950000000000003" customHeight="1" x14ac:dyDescent="0.25">
      <c r="A77" s="196" t="s">
        <v>367</v>
      </c>
      <c r="B77" s="196"/>
      <c r="C77" s="196"/>
      <c r="D77" s="201"/>
      <c r="E77" s="58" t="s">
        <v>114</v>
      </c>
      <c r="F77" s="185" t="s">
        <v>368</v>
      </c>
      <c r="G77" s="185"/>
      <c r="H77" s="185"/>
      <c r="I77" s="185"/>
      <c r="J77" s="185"/>
      <c r="K77" s="57"/>
      <c r="L77" s="59" t="s">
        <v>118</v>
      </c>
      <c r="M77" s="129"/>
      <c r="N77" s="129"/>
      <c r="O77" s="129"/>
      <c r="P77" s="129"/>
      <c r="Q77" s="129"/>
    </row>
    <row r="78" spans="1:23" s="37" customFormat="1" ht="40.5" customHeight="1" x14ac:dyDescent="0.25">
      <c r="A78" s="229" t="s">
        <v>309</v>
      </c>
      <c r="B78" s="229"/>
      <c r="C78" s="229"/>
      <c r="D78" s="198"/>
      <c r="E78" s="58" t="s">
        <v>114</v>
      </c>
      <c r="F78" s="229" t="s">
        <v>310</v>
      </c>
      <c r="G78" s="229"/>
      <c r="H78" s="229"/>
      <c r="I78" s="229"/>
      <c r="J78" s="229"/>
      <c r="K78" s="132"/>
      <c r="L78" s="59" t="s">
        <v>118</v>
      </c>
      <c r="M78" s="129"/>
      <c r="N78" s="129"/>
      <c r="O78" s="129"/>
      <c r="P78" s="129"/>
      <c r="Q78" s="129"/>
    </row>
    <row r="79" spans="1:23" s="37" customFormat="1" ht="14.45" customHeight="1" x14ac:dyDescent="0.25">
      <c r="A79" s="196" t="s">
        <v>119</v>
      </c>
      <c r="B79" s="196"/>
      <c r="C79" s="196"/>
      <c r="D79" s="196"/>
      <c r="E79" s="58" t="s">
        <v>114</v>
      </c>
      <c r="F79" s="196" t="s">
        <v>120</v>
      </c>
      <c r="G79" s="196"/>
      <c r="H79" s="196"/>
      <c r="I79" s="196"/>
      <c r="J79" s="196"/>
      <c r="K79" s="132"/>
      <c r="L79" s="197" t="s">
        <v>121</v>
      </c>
      <c r="M79" s="197"/>
      <c r="N79" s="197"/>
      <c r="O79" s="197"/>
      <c r="P79" s="197"/>
      <c r="Q79" s="197"/>
    </row>
    <row r="80" spans="1:23" s="37" customFormat="1" ht="14.45" customHeight="1" x14ac:dyDescent="0.25">
      <c r="A80" s="196" t="s">
        <v>122</v>
      </c>
      <c r="B80" s="196"/>
      <c r="C80" s="196"/>
      <c r="D80" s="196"/>
      <c r="E80" s="58" t="s">
        <v>114</v>
      </c>
      <c r="F80" s="196" t="s">
        <v>123</v>
      </c>
      <c r="G80" s="196"/>
      <c r="H80" s="196"/>
      <c r="I80" s="196"/>
      <c r="J80" s="196"/>
      <c r="K80" s="132"/>
      <c r="L80" s="197"/>
      <c r="M80" s="197"/>
      <c r="N80" s="197"/>
      <c r="O80" s="197"/>
      <c r="P80" s="197"/>
      <c r="Q80" s="197"/>
    </row>
    <row r="81" spans="1:17" s="37" customFormat="1" ht="14.45" customHeight="1" x14ac:dyDescent="0.25">
      <c r="A81" s="196" t="s">
        <v>277</v>
      </c>
      <c r="B81" s="196"/>
      <c r="C81" s="196"/>
      <c r="D81" s="196"/>
      <c r="E81" s="58" t="s">
        <v>114</v>
      </c>
      <c r="F81" s="196" t="s">
        <v>278</v>
      </c>
      <c r="G81" s="196"/>
      <c r="H81" s="196"/>
      <c r="I81" s="196"/>
      <c r="J81" s="196"/>
      <c r="K81" s="132"/>
      <c r="L81" s="197"/>
      <c r="M81" s="197"/>
      <c r="N81" s="197"/>
      <c r="O81" s="197"/>
      <c r="P81" s="197"/>
      <c r="Q81" s="197"/>
    </row>
    <row r="82" spans="1:17" s="37" customFormat="1" ht="14.45" customHeight="1" x14ac:dyDescent="0.25">
      <c r="A82" s="196" t="s">
        <v>124</v>
      </c>
      <c r="B82" s="196"/>
      <c r="C82" s="196"/>
      <c r="D82" s="196"/>
      <c r="E82" s="58" t="s">
        <v>114</v>
      </c>
      <c r="F82" s="196" t="s">
        <v>125</v>
      </c>
      <c r="G82" s="196"/>
      <c r="H82" s="196"/>
      <c r="I82" s="196"/>
      <c r="J82" s="196"/>
      <c r="K82" s="132"/>
      <c r="L82" s="197"/>
      <c r="M82" s="197"/>
      <c r="N82" s="197"/>
      <c r="O82" s="197"/>
      <c r="P82" s="197"/>
      <c r="Q82" s="197"/>
    </row>
    <row r="83" spans="1:17" s="37" customFormat="1" ht="18.95" customHeight="1" x14ac:dyDescent="0.25">
      <c r="A83" s="196" t="s">
        <v>126</v>
      </c>
      <c r="B83" s="196"/>
      <c r="C83" s="196"/>
      <c r="D83" s="201"/>
      <c r="E83" s="58" t="s">
        <v>127</v>
      </c>
      <c r="F83" s="128" t="s">
        <v>409</v>
      </c>
      <c r="G83" s="185" t="s">
        <v>410</v>
      </c>
      <c r="H83" s="185"/>
      <c r="I83" s="185"/>
      <c r="J83" s="185"/>
      <c r="K83" s="132"/>
      <c r="L83" s="197" t="s">
        <v>130</v>
      </c>
      <c r="M83" s="197"/>
      <c r="N83" s="197"/>
      <c r="O83" s="197"/>
      <c r="P83" s="197"/>
      <c r="Q83" s="197"/>
    </row>
    <row r="84" spans="1:17" s="37" customFormat="1" ht="24.95" customHeight="1" x14ac:dyDescent="0.25">
      <c r="A84" s="196" t="s">
        <v>126</v>
      </c>
      <c r="B84" s="196"/>
      <c r="C84" s="196"/>
      <c r="D84" s="196"/>
      <c r="E84" s="58" t="s">
        <v>127</v>
      </c>
      <c r="F84" s="128" t="s">
        <v>131</v>
      </c>
      <c r="G84" s="185" t="s">
        <v>374</v>
      </c>
      <c r="H84" s="185"/>
      <c r="I84" s="185"/>
      <c r="J84" s="185"/>
      <c r="K84" s="132"/>
      <c r="L84" s="197" t="s">
        <v>130</v>
      </c>
      <c r="M84" s="197"/>
      <c r="N84" s="197"/>
      <c r="O84" s="197"/>
      <c r="P84" s="197"/>
      <c r="Q84" s="197"/>
    </row>
    <row r="85" spans="1:17" s="37" customFormat="1" ht="24.95" customHeight="1" x14ac:dyDescent="0.25">
      <c r="A85" s="196" t="s">
        <v>372</v>
      </c>
      <c r="B85" s="196"/>
      <c r="C85" s="196"/>
      <c r="D85" s="196"/>
      <c r="E85" s="58" t="s">
        <v>127</v>
      </c>
      <c r="F85" s="128" t="s">
        <v>131</v>
      </c>
      <c r="G85" s="185" t="s">
        <v>385</v>
      </c>
      <c r="H85" s="185"/>
      <c r="I85" s="185"/>
      <c r="J85" s="185"/>
      <c r="K85" s="132"/>
      <c r="L85" s="197" t="s">
        <v>130</v>
      </c>
      <c r="M85" s="197"/>
      <c r="N85" s="197"/>
      <c r="O85" s="197"/>
      <c r="P85" s="197"/>
      <c r="Q85" s="197"/>
    </row>
    <row r="86" spans="1:17" s="37" customFormat="1" ht="37.5" customHeight="1" x14ac:dyDescent="0.25">
      <c r="A86" s="198" t="s">
        <v>311</v>
      </c>
      <c r="B86" s="199"/>
      <c r="C86" s="199"/>
      <c r="D86" s="200"/>
      <c r="E86" s="198" t="s">
        <v>312</v>
      </c>
      <c r="F86" s="199"/>
      <c r="G86" s="199"/>
      <c r="H86" s="199"/>
      <c r="I86" s="199"/>
      <c r="J86" s="200"/>
      <c r="K86" s="132"/>
      <c r="L86" s="197"/>
      <c r="M86" s="197"/>
      <c r="N86" s="197"/>
      <c r="O86" s="197"/>
      <c r="P86" s="197"/>
      <c r="Q86" s="197"/>
    </row>
    <row r="87" spans="1:17" s="37" customFormat="1" ht="14.45" customHeight="1" x14ac:dyDescent="0.25">
      <c r="A87" s="180" t="s">
        <v>133</v>
      </c>
      <c r="B87" s="180"/>
      <c r="C87" s="180"/>
      <c r="D87" s="180"/>
      <c r="E87" s="180"/>
      <c r="F87" s="180"/>
      <c r="G87" s="180"/>
      <c r="H87" s="180"/>
      <c r="I87" s="180"/>
      <c r="J87" s="180"/>
      <c r="K87" s="57"/>
      <c r="L87" s="129"/>
      <c r="M87" s="129"/>
    </row>
    <row r="88" spans="1:17" s="37" customFormat="1" ht="14.45" customHeight="1" x14ac:dyDescent="0.2">
      <c r="A88" s="60" t="s">
        <v>134</v>
      </c>
      <c r="B88" s="60" t="s">
        <v>135</v>
      </c>
      <c r="C88" s="60" t="s">
        <v>136</v>
      </c>
      <c r="D88" s="193" t="s">
        <v>137</v>
      </c>
      <c r="E88" s="194"/>
      <c r="F88" s="195"/>
      <c r="G88" s="61" t="s">
        <v>138</v>
      </c>
      <c r="H88" s="60" t="s">
        <v>139</v>
      </c>
      <c r="I88" s="61" t="s">
        <v>140</v>
      </c>
      <c r="J88" s="61" t="s">
        <v>141</v>
      </c>
      <c r="K88" s="57"/>
      <c r="L88" s="129"/>
      <c r="M88" s="129"/>
    </row>
    <row r="89" spans="1:17" s="37" customFormat="1" ht="14.45" customHeight="1" x14ac:dyDescent="0.2">
      <c r="A89" s="62" t="s">
        <v>142</v>
      </c>
      <c r="B89" s="62" t="s">
        <v>49</v>
      </c>
      <c r="C89" s="62" t="s">
        <v>143</v>
      </c>
      <c r="D89" s="187" t="s">
        <v>144</v>
      </c>
      <c r="E89" s="188"/>
      <c r="F89" s="189"/>
      <c r="G89" s="63">
        <v>50</v>
      </c>
      <c r="H89" s="62" t="s">
        <v>145</v>
      </c>
      <c r="I89" s="63">
        <v>150</v>
      </c>
      <c r="J89" s="63" t="s">
        <v>110</v>
      </c>
      <c r="K89" s="57"/>
      <c r="L89" s="129"/>
      <c r="M89" s="129"/>
    </row>
    <row r="90" spans="1:17" s="37" customFormat="1" ht="14.45" hidden="1" customHeight="1" x14ac:dyDescent="0.2">
      <c r="A90" s="62" t="s">
        <v>142</v>
      </c>
      <c r="B90" s="62" t="s">
        <v>146</v>
      </c>
      <c r="C90" s="62" t="s">
        <v>147</v>
      </c>
      <c r="D90" s="187" t="s">
        <v>148</v>
      </c>
      <c r="E90" s="188"/>
      <c r="F90" s="189"/>
      <c r="G90" s="63">
        <v>3</v>
      </c>
      <c r="H90" s="62" t="s">
        <v>149</v>
      </c>
      <c r="I90" s="63">
        <v>3</v>
      </c>
      <c r="J90" s="63" t="s">
        <v>110</v>
      </c>
      <c r="K90" s="57"/>
      <c r="L90" s="129"/>
      <c r="M90" s="129"/>
    </row>
    <row r="91" spans="1:17" s="37" customFormat="1" ht="14.45" hidden="1" customHeight="1" x14ac:dyDescent="0.2">
      <c r="A91" s="62" t="s">
        <v>150</v>
      </c>
      <c r="B91" s="62" t="s">
        <v>146</v>
      </c>
      <c r="C91" s="62" t="s">
        <v>147</v>
      </c>
      <c r="D91" s="187" t="s">
        <v>151</v>
      </c>
      <c r="E91" s="188"/>
      <c r="F91" s="189"/>
      <c r="G91" s="63">
        <v>3</v>
      </c>
      <c r="H91" s="62" t="s">
        <v>152</v>
      </c>
      <c r="I91" s="63">
        <v>3</v>
      </c>
      <c r="J91" s="63" t="s">
        <v>110</v>
      </c>
      <c r="K91" s="57"/>
      <c r="L91" s="129"/>
      <c r="M91" s="129"/>
    </row>
    <row r="92" spans="1:17" s="37" customFormat="1" ht="14.45" customHeight="1" x14ac:dyDescent="0.2">
      <c r="A92" s="62" t="s">
        <v>173</v>
      </c>
      <c r="B92" s="62" t="s">
        <v>49</v>
      </c>
      <c r="C92" s="62" t="s">
        <v>143</v>
      </c>
      <c r="D92" s="187" t="s">
        <v>313</v>
      </c>
      <c r="E92" s="188"/>
      <c r="F92" s="189"/>
      <c r="G92" s="66">
        <v>75</v>
      </c>
      <c r="H92" s="62" t="s">
        <v>145</v>
      </c>
      <c r="I92" s="66">
        <f>75*3</f>
        <v>225</v>
      </c>
      <c r="J92" s="66" t="s">
        <v>314</v>
      </c>
      <c r="K92" s="132"/>
      <c r="L92" s="129"/>
      <c r="M92" s="129"/>
    </row>
    <row r="93" spans="1:17" s="37" customFormat="1" ht="14.45" customHeight="1" x14ac:dyDescent="0.2">
      <c r="A93" s="62" t="s">
        <v>142</v>
      </c>
      <c r="B93" s="62" t="s">
        <v>49</v>
      </c>
      <c r="C93" s="62" t="s">
        <v>143</v>
      </c>
      <c r="D93" s="187" t="s">
        <v>279</v>
      </c>
      <c r="E93" s="188"/>
      <c r="F93" s="189"/>
      <c r="G93" s="63">
        <v>150</v>
      </c>
      <c r="H93" s="62" t="s">
        <v>280</v>
      </c>
      <c r="I93" s="63" t="s">
        <v>153</v>
      </c>
      <c r="J93" s="63" t="s">
        <v>110</v>
      </c>
      <c r="K93" s="57"/>
      <c r="L93" s="129"/>
      <c r="M93" s="129"/>
    </row>
    <row r="94" spans="1:17" s="37" customFormat="1" ht="14.45" customHeight="1" x14ac:dyDescent="0.2">
      <c r="A94" s="62" t="s">
        <v>154</v>
      </c>
      <c r="B94" s="62" t="s">
        <v>49</v>
      </c>
      <c r="C94" s="62" t="s">
        <v>143</v>
      </c>
      <c r="D94" s="187" t="s">
        <v>155</v>
      </c>
      <c r="E94" s="188"/>
      <c r="F94" s="189"/>
      <c r="G94" s="63">
        <v>250</v>
      </c>
      <c r="H94" s="62" t="s">
        <v>49</v>
      </c>
      <c r="I94" s="63" t="s">
        <v>153</v>
      </c>
      <c r="J94" s="63" t="s">
        <v>110</v>
      </c>
      <c r="K94" s="57"/>
      <c r="L94" s="129"/>
      <c r="M94" s="129"/>
    </row>
    <row r="95" spans="1:17" s="37" customFormat="1" ht="14.45" customHeight="1" x14ac:dyDescent="0.2">
      <c r="A95" s="65" t="s">
        <v>156</v>
      </c>
      <c r="B95" s="65" t="s">
        <v>49</v>
      </c>
      <c r="C95" s="65" t="s">
        <v>143</v>
      </c>
      <c r="D95" s="187" t="s">
        <v>157</v>
      </c>
      <c r="E95" s="188"/>
      <c r="F95" s="189"/>
      <c r="G95" s="63">
        <v>250</v>
      </c>
      <c r="H95" s="62" t="s">
        <v>49</v>
      </c>
      <c r="I95" s="63" t="s">
        <v>153</v>
      </c>
      <c r="J95" s="63" t="s">
        <v>110</v>
      </c>
      <c r="K95" s="57"/>
      <c r="L95" s="129"/>
      <c r="M95" s="129"/>
    </row>
    <row r="96" spans="1:17" s="37" customFormat="1" ht="14.45" customHeight="1" x14ac:dyDescent="0.2">
      <c r="A96" s="62" t="s">
        <v>142</v>
      </c>
      <c r="B96" s="62" t="s">
        <v>49</v>
      </c>
      <c r="C96" s="62" t="s">
        <v>143</v>
      </c>
      <c r="D96" s="187" t="s">
        <v>281</v>
      </c>
      <c r="E96" s="188"/>
      <c r="F96" s="189"/>
      <c r="G96" s="63">
        <v>200</v>
      </c>
      <c r="H96" s="62" t="s">
        <v>280</v>
      </c>
      <c r="I96" s="63" t="s">
        <v>153</v>
      </c>
      <c r="J96" s="63" t="s">
        <v>110</v>
      </c>
      <c r="K96" s="57"/>
      <c r="L96" s="129"/>
      <c r="M96" s="129"/>
    </row>
    <row r="97" spans="1:13" s="37" customFormat="1" ht="14.45" customHeight="1" x14ac:dyDescent="0.2">
      <c r="A97" s="62" t="s">
        <v>142</v>
      </c>
      <c r="B97" s="62" t="s">
        <v>49</v>
      </c>
      <c r="C97" s="62" t="s">
        <v>143</v>
      </c>
      <c r="D97" s="187" t="s">
        <v>158</v>
      </c>
      <c r="E97" s="188"/>
      <c r="F97" s="189"/>
      <c r="G97" s="66">
        <v>150</v>
      </c>
      <c r="H97" s="62" t="s">
        <v>49</v>
      </c>
      <c r="I97" s="66" t="s">
        <v>153</v>
      </c>
      <c r="J97" s="63" t="s">
        <v>110</v>
      </c>
      <c r="K97" s="57"/>
      <c r="L97" s="129"/>
      <c r="M97" s="129"/>
    </row>
    <row r="98" spans="1:13" s="37" customFormat="1" ht="14.45" customHeight="1" x14ac:dyDescent="0.2">
      <c r="A98" s="62" t="s">
        <v>150</v>
      </c>
      <c r="B98" s="67" t="s">
        <v>49</v>
      </c>
      <c r="C98" s="62" t="s">
        <v>143</v>
      </c>
      <c r="D98" s="187" t="s">
        <v>159</v>
      </c>
      <c r="E98" s="188"/>
      <c r="F98" s="189"/>
      <c r="G98" s="68">
        <v>180</v>
      </c>
      <c r="H98" s="67" t="s">
        <v>49</v>
      </c>
      <c r="I98" s="68" t="s">
        <v>153</v>
      </c>
      <c r="J98" s="63" t="s">
        <v>110</v>
      </c>
      <c r="K98" s="57"/>
      <c r="L98" s="129"/>
      <c r="M98" s="129"/>
    </row>
    <row r="99" spans="1:13" s="37" customFormat="1" ht="14.45" customHeight="1" x14ac:dyDescent="0.2">
      <c r="A99" s="62" t="s">
        <v>160</v>
      </c>
      <c r="B99" s="67" t="s">
        <v>49</v>
      </c>
      <c r="C99" s="62" t="s">
        <v>143</v>
      </c>
      <c r="D99" s="187" t="s">
        <v>161</v>
      </c>
      <c r="E99" s="188"/>
      <c r="F99" s="189"/>
      <c r="G99" s="69">
        <v>47.9</v>
      </c>
      <c r="H99" s="67" t="s">
        <v>24</v>
      </c>
      <c r="I99" s="69">
        <v>47.9</v>
      </c>
      <c r="J99" s="63" t="s">
        <v>110</v>
      </c>
      <c r="K99" s="57"/>
      <c r="L99" s="129"/>
      <c r="M99" s="129"/>
    </row>
    <row r="100" spans="1:13" s="37" customFormat="1" ht="14.45" customHeight="1" x14ac:dyDescent="0.2">
      <c r="A100" s="62" t="s">
        <v>160</v>
      </c>
      <c r="B100" s="67" t="s">
        <v>49</v>
      </c>
      <c r="C100" s="62" t="s">
        <v>143</v>
      </c>
      <c r="D100" s="187" t="s">
        <v>161</v>
      </c>
      <c r="E100" s="188"/>
      <c r="F100" s="189"/>
      <c r="G100" s="69">
        <v>65.400000000000006</v>
      </c>
      <c r="H100" s="67" t="s">
        <v>162</v>
      </c>
      <c r="I100" s="69">
        <v>65.400000000000006</v>
      </c>
      <c r="J100" s="63" t="s">
        <v>110</v>
      </c>
      <c r="K100" s="57"/>
      <c r="L100" s="129"/>
      <c r="M100" s="129"/>
    </row>
    <row r="101" spans="1:13" s="37" customFormat="1" ht="14.1" customHeight="1" x14ac:dyDescent="0.2">
      <c r="A101" s="62" t="s">
        <v>163</v>
      </c>
      <c r="B101" s="67" t="s">
        <v>49</v>
      </c>
      <c r="C101" s="62" t="s">
        <v>143</v>
      </c>
      <c r="D101" s="187" t="s">
        <v>164</v>
      </c>
      <c r="E101" s="188"/>
      <c r="F101" s="189"/>
      <c r="G101" s="69">
        <v>48</v>
      </c>
      <c r="H101" s="67" t="s">
        <v>49</v>
      </c>
      <c r="I101" s="69">
        <v>48</v>
      </c>
      <c r="J101" s="63" t="s">
        <v>110</v>
      </c>
      <c r="K101" s="57"/>
      <c r="L101" s="129"/>
      <c r="M101" s="129"/>
    </row>
    <row r="102" spans="1:13" s="37" customFormat="1" ht="14.45" customHeight="1" x14ac:dyDescent="0.2">
      <c r="A102" s="62" t="s">
        <v>163</v>
      </c>
      <c r="B102" s="67" t="s">
        <v>49</v>
      </c>
      <c r="C102" s="62" t="s">
        <v>143</v>
      </c>
      <c r="D102" s="187" t="s">
        <v>165</v>
      </c>
      <c r="E102" s="188"/>
      <c r="F102" s="189"/>
      <c r="G102" s="69">
        <v>18</v>
      </c>
      <c r="H102" s="67" t="s">
        <v>49</v>
      </c>
      <c r="I102" s="69">
        <v>18</v>
      </c>
      <c r="J102" s="63" t="s">
        <v>110</v>
      </c>
      <c r="K102" s="57"/>
      <c r="L102" s="129"/>
      <c r="M102" s="129"/>
    </row>
    <row r="103" spans="1:13" s="37" customFormat="1" ht="14.45" customHeight="1" x14ac:dyDescent="0.2">
      <c r="A103" s="62" t="s">
        <v>163</v>
      </c>
      <c r="B103" s="67" t="s">
        <v>49</v>
      </c>
      <c r="C103" s="62" t="s">
        <v>143</v>
      </c>
      <c r="D103" s="187" t="s">
        <v>166</v>
      </c>
      <c r="E103" s="188"/>
      <c r="F103" s="189"/>
      <c r="G103" s="69">
        <v>42</v>
      </c>
      <c r="H103" s="67" t="s">
        <v>49</v>
      </c>
      <c r="I103" s="69">
        <v>42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2" t="s">
        <v>167</v>
      </c>
      <c r="B104" s="62" t="s">
        <v>49</v>
      </c>
      <c r="C104" s="62" t="s">
        <v>143</v>
      </c>
      <c r="D104" s="187" t="s">
        <v>168</v>
      </c>
      <c r="E104" s="188"/>
      <c r="F104" s="189"/>
      <c r="G104" s="66">
        <v>54</v>
      </c>
      <c r="H104" s="62" t="s">
        <v>49</v>
      </c>
      <c r="I104" s="66">
        <v>54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7" t="s">
        <v>169</v>
      </c>
      <c r="B105" s="67" t="s">
        <v>49</v>
      </c>
      <c r="C105" s="67" t="s">
        <v>147</v>
      </c>
      <c r="D105" s="187" t="s">
        <v>170</v>
      </c>
      <c r="E105" s="188"/>
      <c r="F105" s="189"/>
      <c r="G105" s="70">
        <v>35</v>
      </c>
      <c r="H105" s="70" t="s">
        <v>280</v>
      </c>
      <c r="I105" s="70">
        <v>35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142</v>
      </c>
      <c r="B106" s="62" t="s">
        <v>49</v>
      </c>
      <c r="C106" s="62" t="s">
        <v>143</v>
      </c>
      <c r="D106" s="187" t="s">
        <v>171</v>
      </c>
      <c r="E106" s="188"/>
      <c r="F106" s="189"/>
      <c r="G106" s="63">
        <v>85</v>
      </c>
      <c r="H106" s="62" t="s">
        <v>172</v>
      </c>
      <c r="I106" s="63" t="s">
        <v>153</v>
      </c>
      <c r="J106" s="63" t="s">
        <v>110</v>
      </c>
      <c r="K106" s="57"/>
      <c r="L106" s="129"/>
      <c r="M106" s="129"/>
    </row>
    <row r="107" spans="1:13" s="37" customFormat="1" ht="14.45" hidden="1" customHeight="1" x14ac:dyDescent="0.2">
      <c r="A107" s="62" t="s">
        <v>173</v>
      </c>
      <c r="B107" s="62" t="s">
        <v>146</v>
      </c>
      <c r="C107" s="62" t="s">
        <v>147</v>
      </c>
      <c r="D107" s="187" t="s">
        <v>174</v>
      </c>
      <c r="E107" s="188"/>
      <c r="F107" s="189"/>
      <c r="G107" s="63">
        <v>4</v>
      </c>
      <c r="H107" s="62" t="s">
        <v>149</v>
      </c>
      <c r="I107" s="63">
        <v>4</v>
      </c>
      <c r="J107" s="63" t="s">
        <v>110</v>
      </c>
      <c r="K107" s="57"/>
      <c r="L107" s="129"/>
      <c r="M107" s="129"/>
    </row>
    <row r="108" spans="1:13" s="37" customFormat="1" ht="24" customHeight="1" x14ac:dyDescent="0.2">
      <c r="A108" s="62" t="s">
        <v>173</v>
      </c>
      <c r="B108" s="62" t="s">
        <v>49</v>
      </c>
      <c r="C108" s="62" t="s">
        <v>143</v>
      </c>
      <c r="D108" s="187" t="s">
        <v>175</v>
      </c>
      <c r="E108" s="188"/>
      <c r="F108" s="189"/>
      <c r="G108" s="137" t="s">
        <v>348</v>
      </c>
      <c r="H108" s="62" t="s">
        <v>24</v>
      </c>
      <c r="I108" s="66" t="s">
        <v>153</v>
      </c>
      <c r="J108" s="63" t="s">
        <v>282</v>
      </c>
      <c r="K108" s="57"/>
      <c r="L108" s="129"/>
      <c r="M108" s="129"/>
    </row>
    <row r="109" spans="1:13" s="37" customFormat="1" ht="27" customHeight="1" x14ac:dyDescent="0.2">
      <c r="A109" s="62" t="s">
        <v>173</v>
      </c>
      <c r="B109" s="62" t="s">
        <v>49</v>
      </c>
      <c r="C109" s="62" t="s">
        <v>143</v>
      </c>
      <c r="D109" s="187" t="s">
        <v>176</v>
      </c>
      <c r="E109" s="188"/>
      <c r="F109" s="189"/>
      <c r="G109" s="137" t="s">
        <v>348</v>
      </c>
      <c r="H109" s="62" t="s">
        <v>162</v>
      </c>
      <c r="I109" s="66" t="s">
        <v>153</v>
      </c>
      <c r="J109" s="63" t="s">
        <v>282</v>
      </c>
      <c r="K109" s="57"/>
      <c r="L109" s="129"/>
      <c r="M109" s="129"/>
    </row>
    <row r="110" spans="1:13" s="152" customFormat="1" ht="52.35" customHeight="1" x14ac:dyDescent="0.2">
      <c r="A110" s="67" t="s">
        <v>142</v>
      </c>
      <c r="B110" s="67" t="s">
        <v>49</v>
      </c>
      <c r="C110" s="147" t="s">
        <v>362</v>
      </c>
      <c r="D110" s="190" t="s">
        <v>363</v>
      </c>
      <c r="E110" s="191"/>
      <c r="F110" s="192"/>
      <c r="G110" s="146" t="s">
        <v>371</v>
      </c>
      <c r="H110" s="148" t="s">
        <v>280</v>
      </c>
      <c r="I110" s="69" t="s">
        <v>153</v>
      </c>
      <c r="J110" s="149" t="s">
        <v>365</v>
      </c>
      <c r="K110" s="111"/>
      <c r="L110" s="151"/>
      <c r="M110" s="151"/>
    </row>
    <row r="111" spans="1:13" s="37" customFormat="1" ht="14.45" hidden="1" customHeight="1" x14ac:dyDescent="0.2">
      <c r="A111" s="62" t="s">
        <v>173</v>
      </c>
      <c r="B111" s="62" t="s">
        <v>146</v>
      </c>
      <c r="C111" s="62" t="s">
        <v>147</v>
      </c>
      <c r="D111" s="187" t="s">
        <v>177</v>
      </c>
      <c r="E111" s="188"/>
      <c r="F111" s="189"/>
      <c r="G111" s="63">
        <v>2</v>
      </c>
      <c r="H111" s="62" t="s">
        <v>149</v>
      </c>
      <c r="I111" s="63">
        <v>2</v>
      </c>
      <c r="J111" s="63" t="s">
        <v>110</v>
      </c>
      <c r="K111" s="57"/>
      <c r="L111" s="129"/>
      <c r="M111" s="129"/>
    </row>
    <row r="112" spans="1:13" s="37" customFormat="1" ht="14.45" hidden="1" customHeight="1" x14ac:dyDescent="0.2">
      <c r="A112" s="62" t="s">
        <v>173</v>
      </c>
      <c r="B112" s="62" t="s">
        <v>146</v>
      </c>
      <c r="C112" s="62" t="s">
        <v>283</v>
      </c>
      <c r="D112" s="187" t="s">
        <v>284</v>
      </c>
      <c r="E112" s="188"/>
      <c r="F112" s="189"/>
      <c r="G112" s="63">
        <v>10</v>
      </c>
      <c r="H112" s="62" t="s">
        <v>285</v>
      </c>
      <c r="I112" s="63" t="s">
        <v>153</v>
      </c>
      <c r="J112" s="63" t="s">
        <v>110</v>
      </c>
      <c r="K112" s="57"/>
      <c r="L112" s="129"/>
      <c r="M112" s="129"/>
    </row>
    <row r="113" spans="1:16" s="37" customFormat="1" ht="14.45" customHeight="1" x14ac:dyDescent="0.2">
      <c r="A113" s="62" t="s">
        <v>142</v>
      </c>
      <c r="B113" s="62" t="s">
        <v>49</v>
      </c>
      <c r="C113" s="62" t="s">
        <v>143</v>
      </c>
      <c r="D113" s="187" t="s">
        <v>178</v>
      </c>
      <c r="E113" s="188"/>
      <c r="F113" s="189"/>
      <c r="G113" s="63">
        <v>50</v>
      </c>
      <c r="H113" s="62" t="s">
        <v>145</v>
      </c>
      <c r="I113" s="63" t="s">
        <v>153</v>
      </c>
      <c r="J113" s="63" t="s">
        <v>110</v>
      </c>
      <c r="K113" s="57"/>
      <c r="L113" s="129"/>
      <c r="M113" s="129"/>
    </row>
    <row r="114" spans="1:16" s="37" customFormat="1" ht="14.45" customHeight="1" x14ac:dyDescent="0.2">
      <c r="A114" s="62" t="s">
        <v>173</v>
      </c>
      <c r="B114" s="62" t="s">
        <v>49</v>
      </c>
      <c r="C114" s="62" t="s">
        <v>143</v>
      </c>
      <c r="D114" s="187" t="s">
        <v>179</v>
      </c>
      <c r="E114" s="188"/>
      <c r="F114" s="189"/>
      <c r="G114" s="63">
        <v>175</v>
      </c>
      <c r="H114" s="62" t="s">
        <v>49</v>
      </c>
      <c r="I114" s="63" t="s">
        <v>153</v>
      </c>
      <c r="J114" s="63" t="s">
        <v>110</v>
      </c>
      <c r="K114" s="57"/>
      <c r="L114" s="129"/>
      <c r="M114" s="129"/>
    </row>
    <row r="115" spans="1:16" s="37" customFormat="1" ht="14.45" customHeight="1" x14ac:dyDescent="0.2">
      <c r="A115" s="62" t="s">
        <v>142</v>
      </c>
      <c r="B115" s="62" t="s">
        <v>49</v>
      </c>
      <c r="C115" s="62" t="s">
        <v>147</v>
      </c>
      <c r="D115" s="187" t="s">
        <v>180</v>
      </c>
      <c r="E115" s="188"/>
      <c r="F115" s="189"/>
      <c r="G115" s="63">
        <v>40</v>
      </c>
      <c r="H115" s="62" t="s">
        <v>181</v>
      </c>
      <c r="I115" s="63" t="s">
        <v>153</v>
      </c>
      <c r="J115" s="63" t="s">
        <v>110</v>
      </c>
      <c r="K115" s="57"/>
      <c r="L115" s="129"/>
      <c r="M115" s="129"/>
    </row>
    <row r="116" spans="1:16" s="37" customFormat="1" ht="14.45" hidden="1" customHeight="1" x14ac:dyDescent="0.2">
      <c r="A116" s="62" t="s">
        <v>173</v>
      </c>
      <c r="B116" s="62" t="s">
        <v>146</v>
      </c>
      <c r="C116" s="62" t="s">
        <v>147</v>
      </c>
      <c r="D116" s="187" t="s">
        <v>182</v>
      </c>
      <c r="E116" s="188"/>
      <c r="F116" s="189"/>
      <c r="G116" s="63">
        <v>7.5</v>
      </c>
      <c r="H116" s="62" t="s">
        <v>152</v>
      </c>
      <c r="I116" s="63">
        <v>75</v>
      </c>
      <c r="J116" s="63" t="s">
        <v>110</v>
      </c>
      <c r="K116" s="57"/>
      <c r="L116" s="129"/>
      <c r="M116" s="129"/>
    </row>
    <row r="117" spans="1:16" s="37" customFormat="1" ht="14.45" hidden="1" customHeight="1" x14ac:dyDescent="0.2">
      <c r="A117" s="62" t="s">
        <v>142</v>
      </c>
      <c r="B117" s="62" t="s">
        <v>146</v>
      </c>
      <c r="C117" s="62" t="s">
        <v>147</v>
      </c>
      <c r="D117" s="187" t="s">
        <v>183</v>
      </c>
      <c r="E117" s="188"/>
      <c r="F117" s="189"/>
      <c r="G117" s="63">
        <v>20</v>
      </c>
      <c r="H117" s="62" t="s">
        <v>184</v>
      </c>
      <c r="I117" s="63" t="s">
        <v>153</v>
      </c>
      <c r="J117" s="63" t="s">
        <v>110</v>
      </c>
      <c r="K117" s="57"/>
      <c r="L117" s="129"/>
      <c r="M117" s="129"/>
    </row>
    <row r="118" spans="1:16" s="37" customFormat="1" ht="14.45" hidden="1" customHeight="1" x14ac:dyDescent="0.2">
      <c r="A118" s="62" t="s">
        <v>142</v>
      </c>
      <c r="B118" s="62" t="s">
        <v>146</v>
      </c>
      <c r="C118" s="62" t="s">
        <v>147</v>
      </c>
      <c r="D118" s="187" t="s">
        <v>185</v>
      </c>
      <c r="E118" s="188"/>
      <c r="F118" s="189"/>
      <c r="G118" s="63">
        <v>25</v>
      </c>
      <c r="H118" s="62" t="s">
        <v>184</v>
      </c>
      <c r="I118" s="63" t="s">
        <v>153</v>
      </c>
      <c r="J118" s="63" t="s">
        <v>110</v>
      </c>
      <c r="K118" s="57"/>
      <c r="L118" s="129"/>
      <c r="M118" s="129"/>
    </row>
    <row r="119" spans="1:16" s="37" customFormat="1" ht="14.45" customHeight="1" x14ac:dyDescent="0.2">
      <c r="A119" s="62" t="s">
        <v>142</v>
      </c>
      <c r="B119" s="62" t="s">
        <v>142</v>
      </c>
      <c r="C119" s="62" t="s">
        <v>147</v>
      </c>
      <c r="D119" s="187" t="s">
        <v>186</v>
      </c>
      <c r="E119" s="188"/>
      <c r="F119" s="189"/>
      <c r="G119" s="68">
        <v>75</v>
      </c>
      <c r="H119" s="62" t="s">
        <v>181</v>
      </c>
      <c r="I119" s="63" t="s">
        <v>153</v>
      </c>
      <c r="J119" s="63" t="s">
        <v>110</v>
      </c>
      <c r="K119" s="57"/>
      <c r="L119" s="129"/>
      <c r="M119" s="129"/>
    </row>
    <row r="120" spans="1:16" s="37" customFormat="1" ht="14.45" customHeight="1" x14ac:dyDescent="0.2">
      <c r="A120" s="62" t="s">
        <v>142</v>
      </c>
      <c r="B120" s="62" t="s">
        <v>142</v>
      </c>
      <c r="C120" s="62" t="s">
        <v>147</v>
      </c>
      <c r="D120" s="187" t="s">
        <v>187</v>
      </c>
      <c r="E120" s="188"/>
      <c r="F120" s="189"/>
      <c r="G120" s="63">
        <v>35</v>
      </c>
      <c r="H120" s="62" t="s">
        <v>181</v>
      </c>
      <c r="I120" s="63" t="s">
        <v>153</v>
      </c>
      <c r="J120" s="63" t="s">
        <v>110</v>
      </c>
      <c r="K120" s="57"/>
      <c r="L120" s="129"/>
      <c r="M120" s="129"/>
    </row>
    <row r="121" spans="1:16" s="37" customFormat="1" ht="14.45" hidden="1" customHeight="1" x14ac:dyDescent="0.2">
      <c r="A121" s="62" t="s">
        <v>142</v>
      </c>
      <c r="B121" s="62" t="s">
        <v>146</v>
      </c>
      <c r="C121" s="62" t="s">
        <v>143</v>
      </c>
      <c r="D121" s="187" t="s">
        <v>188</v>
      </c>
      <c r="E121" s="188"/>
      <c r="F121" s="189"/>
      <c r="G121" s="63">
        <v>100</v>
      </c>
      <c r="H121" s="62" t="s">
        <v>181</v>
      </c>
      <c r="I121" s="63" t="s">
        <v>153</v>
      </c>
      <c r="J121" s="63" t="s">
        <v>110</v>
      </c>
      <c r="K121" s="57"/>
      <c r="L121" s="129"/>
      <c r="M121" s="129"/>
    </row>
    <row r="122" spans="1:16" s="37" customFormat="1" ht="14.45" hidden="1" customHeight="1" x14ac:dyDescent="0.2">
      <c r="A122" s="62" t="s">
        <v>142</v>
      </c>
      <c r="B122" s="62" t="s">
        <v>146</v>
      </c>
      <c r="C122" s="62" t="s">
        <v>143</v>
      </c>
      <c r="D122" s="187" t="s">
        <v>189</v>
      </c>
      <c r="E122" s="188"/>
      <c r="F122" s="189"/>
      <c r="G122" s="63">
        <v>100</v>
      </c>
      <c r="H122" s="62" t="s">
        <v>190</v>
      </c>
      <c r="I122" s="63" t="s">
        <v>153</v>
      </c>
      <c r="J122" s="63" t="s">
        <v>110</v>
      </c>
      <c r="K122" s="57"/>
      <c r="O122" s="38"/>
      <c r="P122" s="38"/>
    </row>
    <row r="123" spans="1:16" s="37" customFormat="1" ht="14.45" hidden="1" customHeight="1" x14ac:dyDescent="0.2">
      <c r="A123" s="62" t="s">
        <v>142</v>
      </c>
      <c r="B123" s="62" t="s">
        <v>146</v>
      </c>
      <c r="C123" s="62" t="s">
        <v>143</v>
      </c>
      <c r="D123" s="187" t="s">
        <v>191</v>
      </c>
      <c r="E123" s="188"/>
      <c r="F123" s="189"/>
      <c r="G123" s="63">
        <v>100</v>
      </c>
      <c r="H123" s="62" t="s">
        <v>181</v>
      </c>
      <c r="I123" s="63" t="s">
        <v>153</v>
      </c>
      <c r="J123" s="63" t="s">
        <v>110</v>
      </c>
      <c r="K123" s="57"/>
      <c r="O123" s="39"/>
      <c r="P123" s="39"/>
    </row>
    <row r="124" spans="1:16" s="37" customFormat="1" ht="14.45" hidden="1" customHeight="1" x14ac:dyDescent="0.2">
      <c r="A124" s="62" t="s">
        <v>173</v>
      </c>
      <c r="B124" s="62" t="s">
        <v>146</v>
      </c>
      <c r="C124" s="62" t="s">
        <v>143</v>
      </c>
      <c r="D124" s="187" t="s">
        <v>189</v>
      </c>
      <c r="E124" s="188"/>
      <c r="F124" s="189"/>
      <c r="G124" s="63">
        <v>50</v>
      </c>
      <c r="H124" s="62" t="s">
        <v>192</v>
      </c>
      <c r="I124" s="63" t="s">
        <v>153</v>
      </c>
      <c r="J124" s="63" t="s">
        <v>110</v>
      </c>
      <c r="K124" s="57"/>
      <c r="O124" s="39"/>
      <c r="P124" s="39"/>
    </row>
    <row r="125" spans="1:16" s="37" customFormat="1" ht="14.45" hidden="1" customHeight="1" x14ac:dyDescent="0.2">
      <c r="A125" s="62" t="s">
        <v>173</v>
      </c>
      <c r="B125" s="62" t="s">
        <v>146</v>
      </c>
      <c r="C125" s="62" t="s">
        <v>143</v>
      </c>
      <c r="D125" s="187" t="s">
        <v>191</v>
      </c>
      <c r="E125" s="188"/>
      <c r="F125" s="189"/>
      <c r="G125" s="63">
        <v>50</v>
      </c>
      <c r="H125" s="62" t="s">
        <v>181</v>
      </c>
      <c r="I125" s="63" t="s">
        <v>153</v>
      </c>
      <c r="J125" s="63" t="s">
        <v>110</v>
      </c>
      <c r="K125" s="57"/>
      <c r="O125" s="38"/>
      <c r="P125" s="38"/>
    </row>
    <row r="126" spans="1:16" s="37" customFormat="1" ht="14.45" hidden="1" customHeight="1" x14ac:dyDescent="0.25">
      <c r="A126" s="62" t="s">
        <v>142</v>
      </c>
      <c r="B126" s="62" t="s">
        <v>146</v>
      </c>
      <c r="C126" s="62" t="s">
        <v>143</v>
      </c>
      <c r="D126" s="187" t="s">
        <v>193</v>
      </c>
      <c r="E126" s="188"/>
      <c r="F126" s="189"/>
      <c r="G126" s="63">
        <v>85</v>
      </c>
      <c r="H126" s="62" t="s">
        <v>194</v>
      </c>
      <c r="I126" s="63" t="s">
        <v>153</v>
      </c>
      <c r="J126" s="63" t="s">
        <v>110</v>
      </c>
      <c r="K126" s="57"/>
      <c r="O126" s="36"/>
      <c r="P126" s="36"/>
    </row>
    <row r="127" spans="1:16" s="37" customFormat="1" ht="14.45" hidden="1" customHeight="1" x14ac:dyDescent="0.25">
      <c r="A127" s="62" t="s">
        <v>173</v>
      </c>
      <c r="B127" s="62" t="s">
        <v>146</v>
      </c>
      <c r="C127" s="62" t="s">
        <v>195</v>
      </c>
      <c r="D127" s="187" t="s">
        <v>196</v>
      </c>
      <c r="E127" s="188"/>
      <c r="F127" s="189"/>
      <c r="G127" s="63">
        <v>0.1</v>
      </c>
      <c r="H127" s="62" t="s">
        <v>197</v>
      </c>
      <c r="I127" s="63">
        <v>150</v>
      </c>
      <c r="J127" s="63" t="s">
        <v>110</v>
      </c>
      <c r="K127" s="57"/>
      <c r="O127" s="36"/>
      <c r="P127" s="36"/>
    </row>
    <row r="128" spans="1:16" s="37" customFormat="1" ht="14.45" customHeight="1" x14ac:dyDescent="0.25">
      <c r="A128" s="62" t="s">
        <v>142</v>
      </c>
      <c r="B128" s="62" t="s">
        <v>49</v>
      </c>
      <c r="C128" s="62" t="s">
        <v>198</v>
      </c>
      <c r="D128" s="187" t="s">
        <v>199</v>
      </c>
      <c r="E128" s="188"/>
      <c r="F128" s="189"/>
      <c r="G128" s="63">
        <v>35</v>
      </c>
      <c r="H128" s="62" t="s">
        <v>181</v>
      </c>
      <c r="I128" s="63" t="s">
        <v>153</v>
      </c>
      <c r="J128" s="63" t="s">
        <v>110</v>
      </c>
      <c r="K128" s="57"/>
      <c r="O128" s="36"/>
      <c r="P128" s="36"/>
    </row>
    <row r="129" spans="1:29" s="37" customFormat="1" ht="14.45" hidden="1" customHeight="1" x14ac:dyDescent="0.25">
      <c r="A129" s="62" t="s">
        <v>142</v>
      </c>
      <c r="B129" s="62" t="s">
        <v>146</v>
      </c>
      <c r="C129" s="62" t="s">
        <v>198</v>
      </c>
      <c r="D129" s="187" t="s">
        <v>200</v>
      </c>
      <c r="E129" s="188"/>
      <c r="F129" s="189"/>
      <c r="G129" s="63">
        <v>7</v>
      </c>
      <c r="H129" s="62" t="s">
        <v>152</v>
      </c>
      <c r="I129" s="63">
        <v>7</v>
      </c>
      <c r="J129" s="63" t="s">
        <v>110</v>
      </c>
      <c r="K129" s="57"/>
      <c r="O129" s="36"/>
      <c r="P129" s="36"/>
    </row>
    <row r="130" spans="1:29" s="37" customFormat="1" ht="14.1" customHeight="1" x14ac:dyDescent="0.25">
      <c r="A130" s="62" t="s">
        <v>142</v>
      </c>
      <c r="B130" s="62" t="s">
        <v>142</v>
      </c>
      <c r="C130" s="62" t="s">
        <v>201</v>
      </c>
      <c r="D130" s="187" t="s">
        <v>202</v>
      </c>
      <c r="E130" s="188"/>
      <c r="F130" s="189"/>
      <c r="G130" s="63">
        <v>40</v>
      </c>
      <c r="H130" s="62" t="s">
        <v>203</v>
      </c>
      <c r="I130" s="63" t="s">
        <v>153</v>
      </c>
      <c r="J130" s="63" t="s">
        <v>110</v>
      </c>
      <c r="K130" s="57"/>
      <c r="O130" s="36"/>
      <c r="P130" s="36"/>
    </row>
    <row r="131" spans="1:29" s="37" customFormat="1" ht="14.1" customHeight="1" x14ac:dyDescent="0.25">
      <c r="A131" s="62" t="s">
        <v>142</v>
      </c>
      <c r="B131" s="62" t="s">
        <v>49</v>
      </c>
      <c r="C131" s="62" t="s">
        <v>143</v>
      </c>
      <c r="D131" s="187" t="s">
        <v>204</v>
      </c>
      <c r="E131" s="188"/>
      <c r="F131" s="189"/>
      <c r="G131" s="63">
        <v>50</v>
      </c>
      <c r="H131" s="62" t="s">
        <v>49</v>
      </c>
      <c r="I131" s="63" t="s">
        <v>153</v>
      </c>
      <c r="J131" s="63" t="s">
        <v>110</v>
      </c>
      <c r="K131" s="57"/>
      <c r="L131" s="38"/>
      <c r="M131" s="38"/>
      <c r="N131" s="38"/>
      <c r="O131" s="36"/>
      <c r="P131" s="36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 spans="1:29" s="39" customFormat="1" ht="14.1" customHeight="1" x14ac:dyDescent="0.25">
      <c r="A132" s="62" t="s">
        <v>142</v>
      </c>
      <c r="B132" s="62" t="s">
        <v>49</v>
      </c>
      <c r="C132" s="62" t="s">
        <v>143</v>
      </c>
      <c r="D132" s="187" t="s">
        <v>205</v>
      </c>
      <c r="E132" s="188"/>
      <c r="F132" s="189"/>
      <c r="G132" s="63">
        <v>200</v>
      </c>
      <c r="H132" s="62" t="s">
        <v>206</v>
      </c>
      <c r="I132" s="63" t="s">
        <v>153</v>
      </c>
      <c r="J132" s="63" t="s">
        <v>110</v>
      </c>
      <c r="K132" s="57"/>
      <c r="O132" s="36"/>
      <c r="P132" s="36"/>
    </row>
    <row r="133" spans="1:29" s="39" customFormat="1" ht="14.1" customHeight="1" x14ac:dyDescent="0.25">
      <c r="A133" s="62" t="s">
        <v>142</v>
      </c>
      <c r="B133" s="62" t="s">
        <v>49</v>
      </c>
      <c r="C133" s="62" t="s">
        <v>143</v>
      </c>
      <c r="D133" s="187" t="s">
        <v>207</v>
      </c>
      <c r="E133" s="188"/>
      <c r="F133" s="189"/>
      <c r="G133" s="63">
        <v>250</v>
      </c>
      <c r="H133" s="62" t="s">
        <v>208</v>
      </c>
      <c r="I133" s="63">
        <v>100</v>
      </c>
      <c r="J133" s="63" t="s">
        <v>110</v>
      </c>
      <c r="K133" s="57"/>
      <c r="L133" s="38"/>
      <c r="M133" s="38"/>
      <c r="N133" s="38"/>
      <c r="O133" s="36"/>
      <c r="P133" s="36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 spans="1:29" s="38" customFormat="1" ht="14.1" customHeight="1" x14ac:dyDescent="0.25">
      <c r="A134" s="62" t="s">
        <v>142</v>
      </c>
      <c r="B134" s="62" t="s">
        <v>49</v>
      </c>
      <c r="C134" s="62" t="s">
        <v>201</v>
      </c>
      <c r="D134" s="187" t="s">
        <v>209</v>
      </c>
      <c r="E134" s="188"/>
      <c r="F134" s="189"/>
      <c r="G134" s="63" t="s">
        <v>210</v>
      </c>
      <c r="H134" s="62"/>
      <c r="I134" s="63" t="s">
        <v>153</v>
      </c>
      <c r="J134" s="63" t="s">
        <v>110</v>
      </c>
      <c r="K134" s="57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:29" s="36" customFormat="1" x14ac:dyDescent="0.25">
      <c r="A135" s="62" t="s">
        <v>142</v>
      </c>
      <c r="B135" s="62" t="s">
        <v>49</v>
      </c>
      <c r="C135" s="62" t="s">
        <v>201</v>
      </c>
      <c r="D135" s="187" t="s">
        <v>211</v>
      </c>
      <c r="E135" s="188"/>
      <c r="F135" s="189"/>
      <c r="G135" s="63" t="s">
        <v>212</v>
      </c>
      <c r="H135" s="62"/>
      <c r="I135" s="63" t="s">
        <v>153</v>
      </c>
      <c r="J135" s="63" t="s">
        <v>110</v>
      </c>
      <c r="K135" s="72"/>
    </row>
    <row r="136" spans="1:29" s="36" customFormat="1" x14ac:dyDescent="0.25">
      <c r="A136" s="62" t="s">
        <v>213</v>
      </c>
      <c r="B136" s="62" t="s">
        <v>49</v>
      </c>
      <c r="C136" s="62" t="s">
        <v>214</v>
      </c>
      <c r="D136" s="187" t="s">
        <v>215</v>
      </c>
      <c r="E136" s="188"/>
      <c r="F136" s="189"/>
      <c r="G136" s="63">
        <v>100</v>
      </c>
      <c r="H136" s="62" t="s">
        <v>49</v>
      </c>
      <c r="I136" s="63">
        <v>100</v>
      </c>
      <c r="J136" s="63" t="s">
        <v>110</v>
      </c>
      <c r="K136" s="72"/>
    </row>
    <row r="137" spans="1:29" s="36" customFormat="1" x14ac:dyDescent="0.25">
      <c r="A137" s="62" t="s">
        <v>213</v>
      </c>
      <c r="B137" s="62" t="s">
        <v>216</v>
      </c>
      <c r="C137" s="62" t="s">
        <v>147</v>
      </c>
      <c r="D137" s="187" t="s">
        <v>217</v>
      </c>
      <c r="E137" s="188"/>
      <c r="F137" s="189"/>
      <c r="G137" s="63">
        <v>50</v>
      </c>
      <c r="H137" s="62"/>
      <c r="I137" s="63">
        <v>50</v>
      </c>
      <c r="J137" s="63" t="s">
        <v>110</v>
      </c>
      <c r="K137" s="72"/>
    </row>
    <row r="138" spans="1:29" s="36" customFormat="1" x14ac:dyDescent="0.25">
      <c r="A138" s="62" t="s">
        <v>150</v>
      </c>
      <c r="B138" s="62" t="s">
        <v>49</v>
      </c>
      <c r="C138" s="62" t="s">
        <v>218</v>
      </c>
      <c r="D138" s="187" t="s">
        <v>219</v>
      </c>
      <c r="E138" s="188"/>
      <c r="F138" s="189"/>
      <c r="G138" s="69" t="s">
        <v>220</v>
      </c>
      <c r="H138" s="67" t="s">
        <v>49</v>
      </c>
      <c r="I138" s="69" t="s">
        <v>153</v>
      </c>
      <c r="J138" s="63" t="s">
        <v>110</v>
      </c>
      <c r="K138" s="72"/>
    </row>
    <row r="139" spans="1:29" s="36" customFormat="1" x14ac:dyDescent="0.25">
      <c r="A139" s="62" t="s">
        <v>221</v>
      </c>
      <c r="B139" s="62" t="s">
        <v>49</v>
      </c>
      <c r="C139" s="62" t="s">
        <v>201</v>
      </c>
      <c r="D139" s="187" t="s">
        <v>222</v>
      </c>
      <c r="E139" s="188"/>
      <c r="F139" s="189"/>
      <c r="G139" s="69" t="s">
        <v>220</v>
      </c>
      <c r="H139" s="67" t="s">
        <v>49</v>
      </c>
      <c r="I139" s="69" t="s">
        <v>153</v>
      </c>
      <c r="J139" s="63" t="s">
        <v>110</v>
      </c>
      <c r="K139" s="72"/>
    </row>
    <row r="140" spans="1:29" s="36" customFormat="1" x14ac:dyDescent="0.25">
      <c r="A140" s="62" t="s">
        <v>142</v>
      </c>
      <c r="B140" s="62" t="s">
        <v>49</v>
      </c>
      <c r="C140" s="62" t="s">
        <v>223</v>
      </c>
      <c r="D140" s="187" t="s">
        <v>224</v>
      </c>
      <c r="E140" s="188"/>
      <c r="F140" s="189"/>
      <c r="G140" s="63" t="s">
        <v>225</v>
      </c>
      <c r="H140" s="62"/>
      <c r="I140" s="63" t="s">
        <v>153</v>
      </c>
      <c r="J140" s="63" t="s">
        <v>110</v>
      </c>
      <c r="K140" s="72"/>
    </row>
    <row r="141" spans="1:29" s="36" customFormat="1" x14ac:dyDescent="0.25">
      <c r="A141" s="62" t="s">
        <v>142</v>
      </c>
      <c r="B141" s="62" t="s">
        <v>49</v>
      </c>
      <c r="C141" s="62" t="s">
        <v>226</v>
      </c>
      <c r="D141" s="187" t="s">
        <v>227</v>
      </c>
      <c r="E141" s="188"/>
      <c r="F141" s="189"/>
      <c r="G141" s="66">
        <v>150</v>
      </c>
      <c r="H141" s="62" t="s">
        <v>49</v>
      </c>
      <c r="I141" s="66">
        <v>150</v>
      </c>
      <c r="J141" s="63" t="s">
        <v>110</v>
      </c>
      <c r="K141" s="72"/>
    </row>
    <row r="142" spans="1:29" s="36" customFormat="1" x14ac:dyDescent="0.25">
      <c r="A142" s="62" t="s">
        <v>142</v>
      </c>
      <c r="B142" s="62" t="s">
        <v>49</v>
      </c>
      <c r="C142" s="62" t="s">
        <v>228</v>
      </c>
      <c r="D142" s="187" t="s">
        <v>229</v>
      </c>
      <c r="E142" s="188"/>
      <c r="F142" s="189"/>
      <c r="G142" s="66">
        <v>25</v>
      </c>
      <c r="H142" s="62" t="s">
        <v>230</v>
      </c>
      <c r="I142" s="66">
        <v>25</v>
      </c>
      <c r="J142" s="63" t="s">
        <v>110</v>
      </c>
      <c r="K142" s="72"/>
    </row>
    <row r="143" spans="1:29" s="36" customFormat="1" hidden="1" x14ac:dyDescent="0.25">
      <c r="A143" s="62" t="s">
        <v>142</v>
      </c>
      <c r="B143" s="62" t="s">
        <v>146</v>
      </c>
      <c r="C143" s="62" t="s">
        <v>198</v>
      </c>
      <c r="D143" s="187" t="s">
        <v>231</v>
      </c>
      <c r="E143" s="188"/>
      <c r="F143" s="189"/>
      <c r="G143" s="66" t="s">
        <v>232</v>
      </c>
      <c r="H143" s="62" t="s">
        <v>149</v>
      </c>
      <c r="I143" s="66" t="s">
        <v>153</v>
      </c>
      <c r="J143" s="63" t="s">
        <v>110</v>
      </c>
      <c r="K143" s="72"/>
    </row>
    <row r="144" spans="1:29" s="36" customFormat="1" hidden="1" x14ac:dyDescent="0.25">
      <c r="A144" s="62" t="s">
        <v>173</v>
      </c>
      <c r="B144" s="62" t="s">
        <v>146</v>
      </c>
      <c r="C144" s="62" t="s">
        <v>233</v>
      </c>
      <c r="D144" s="187" t="s">
        <v>234</v>
      </c>
      <c r="E144" s="188"/>
      <c r="F144" s="189"/>
      <c r="G144" s="66">
        <v>0.5</v>
      </c>
      <c r="H144" s="62" t="s">
        <v>235</v>
      </c>
      <c r="I144" s="66">
        <v>50</v>
      </c>
      <c r="J144" s="63" t="s">
        <v>110</v>
      </c>
      <c r="K144" s="72"/>
    </row>
    <row r="145" spans="1:11" s="36" customFormat="1" hidden="1" x14ac:dyDescent="0.25">
      <c r="A145" s="62" t="s">
        <v>173</v>
      </c>
      <c r="B145" s="62" t="s">
        <v>146</v>
      </c>
      <c r="C145" s="62" t="s">
        <v>201</v>
      </c>
      <c r="D145" s="187" t="s">
        <v>237</v>
      </c>
      <c r="E145" s="188"/>
      <c r="F145" s="189"/>
      <c r="G145" s="66" t="s">
        <v>238</v>
      </c>
      <c r="H145" s="62" t="s">
        <v>235</v>
      </c>
      <c r="I145" s="66">
        <v>50</v>
      </c>
      <c r="J145" s="63" t="s">
        <v>110</v>
      </c>
      <c r="K145" s="72"/>
    </row>
    <row r="146" spans="1:11" s="36" customFormat="1" x14ac:dyDescent="0.25">
      <c r="A146" s="62" t="s">
        <v>239</v>
      </c>
      <c r="B146" s="62" t="s">
        <v>49</v>
      </c>
      <c r="C146" s="62" t="s">
        <v>143</v>
      </c>
      <c r="D146" s="187" t="s">
        <v>240</v>
      </c>
      <c r="E146" s="188"/>
      <c r="F146" s="189"/>
      <c r="G146" s="69" t="s">
        <v>220</v>
      </c>
      <c r="H146" s="67" t="s">
        <v>49</v>
      </c>
      <c r="I146" s="69" t="s">
        <v>153</v>
      </c>
      <c r="J146" s="63" t="s">
        <v>110</v>
      </c>
      <c r="K146" s="72"/>
    </row>
    <row r="147" spans="1:11" s="36" customFormat="1" x14ac:dyDescent="0.25">
      <c r="A147" s="62" t="s">
        <v>142</v>
      </c>
      <c r="B147" s="62" t="s">
        <v>142</v>
      </c>
      <c r="C147" s="62" t="s">
        <v>147</v>
      </c>
      <c r="D147" s="187" t="s">
        <v>241</v>
      </c>
      <c r="E147" s="188"/>
      <c r="F147" s="189"/>
      <c r="G147" s="66" t="s">
        <v>242</v>
      </c>
      <c r="H147" s="62"/>
      <c r="I147" s="66">
        <v>15</v>
      </c>
      <c r="J147" s="63" t="s">
        <v>110</v>
      </c>
      <c r="K147" s="72"/>
    </row>
    <row r="148" spans="1:11" s="36" customFormat="1" x14ac:dyDescent="0.25">
      <c r="A148" s="62" t="s">
        <v>243</v>
      </c>
      <c r="B148" s="62" t="s">
        <v>49</v>
      </c>
      <c r="C148" s="62" t="s">
        <v>143</v>
      </c>
      <c r="D148" s="187" t="s">
        <v>244</v>
      </c>
      <c r="E148" s="188"/>
      <c r="F148" s="189"/>
      <c r="G148" s="66">
        <v>200</v>
      </c>
      <c r="H148" s="62" t="s">
        <v>49</v>
      </c>
      <c r="I148" s="63">
        <v>200</v>
      </c>
      <c r="J148" s="63" t="s">
        <v>110</v>
      </c>
      <c r="K148" s="72"/>
    </row>
    <row r="149" spans="1:11" s="36" customFormat="1" x14ac:dyDescent="0.25">
      <c r="A149" s="62" t="s">
        <v>245</v>
      </c>
      <c r="B149" s="62" t="s">
        <v>49</v>
      </c>
      <c r="C149" s="62" t="s">
        <v>143</v>
      </c>
      <c r="D149" s="187" t="s">
        <v>246</v>
      </c>
      <c r="E149" s="188"/>
      <c r="F149" s="189"/>
      <c r="G149" s="66">
        <v>250</v>
      </c>
      <c r="H149" s="62" t="s">
        <v>49</v>
      </c>
      <c r="I149" s="63">
        <v>100</v>
      </c>
      <c r="J149" s="63" t="s">
        <v>110</v>
      </c>
      <c r="K149" s="72"/>
    </row>
    <row r="150" spans="1:11" s="36" customFormat="1" x14ac:dyDescent="0.25">
      <c r="A150" s="62" t="s">
        <v>247</v>
      </c>
      <c r="B150" s="62" t="s">
        <v>49</v>
      </c>
      <c r="C150" s="62" t="s">
        <v>143</v>
      </c>
      <c r="D150" s="187" t="s">
        <v>248</v>
      </c>
      <c r="E150" s="188"/>
      <c r="F150" s="189"/>
      <c r="G150" s="63">
        <v>250</v>
      </c>
      <c r="H150" s="62" t="s">
        <v>49</v>
      </c>
      <c r="I150" s="63">
        <v>200</v>
      </c>
      <c r="J150" s="63" t="s">
        <v>110</v>
      </c>
      <c r="K150" s="72"/>
    </row>
    <row r="151" spans="1:11" s="36" customFormat="1" x14ac:dyDescent="0.25">
      <c r="A151" s="62" t="s">
        <v>142</v>
      </c>
      <c r="B151" s="62" t="s">
        <v>49</v>
      </c>
      <c r="C151" s="62" t="s">
        <v>143</v>
      </c>
      <c r="D151" s="187" t="s">
        <v>249</v>
      </c>
      <c r="E151" s="188"/>
      <c r="F151" s="189"/>
      <c r="G151" s="63"/>
      <c r="H151" s="62" t="s">
        <v>49</v>
      </c>
      <c r="I151" s="63" t="s">
        <v>153</v>
      </c>
      <c r="J151" s="63" t="s">
        <v>110</v>
      </c>
      <c r="K151" s="72"/>
    </row>
    <row r="152" spans="1:11" s="36" customFormat="1" x14ac:dyDescent="0.25">
      <c r="A152" s="62" t="s">
        <v>250</v>
      </c>
      <c r="B152" s="62" t="s">
        <v>49</v>
      </c>
      <c r="C152" s="62" t="s">
        <v>143</v>
      </c>
      <c r="D152" s="187" t="s">
        <v>251</v>
      </c>
      <c r="E152" s="188"/>
      <c r="F152" s="189"/>
      <c r="G152" s="66">
        <v>350</v>
      </c>
      <c r="H152" s="62" t="s">
        <v>49</v>
      </c>
      <c r="I152" s="63">
        <v>350</v>
      </c>
      <c r="J152" s="63" t="s">
        <v>110</v>
      </c>
      <c r="K152" s="72"/>
    </row>
    <row r="153" spans="1:11" s="36" customFormat="1" x14ac:dyDescent="0.25">
      <c r="A153" s="118"/>
      <c r="B153" s="118"/>
      <c r="C153" s="118"/>
      <c r="D153" s="119"/>
      <c r="E153" s="119"/>
      <c r="F153" s="119"/>
      <c r="G153" s="120"/>
      <c r="H153" s="118"/>
      <c r="I153" s="121"/>
      <c r="J153" s="121"/>
      <c r="K153" s="72"/>
    </row>
    <row r="154" spans="1:11" s="36" customFormat="1" x14ac:dyDescent="0.25">
      <c r="A154" s="180" t="s">
        <v>72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72"/>
    </row>
    <row r="155" spans="1:11" s="36" customFormat="1" x14ac:dyDescent="0.25">
      <c r="A155" s="186" t="s">
        <v>67</v>
      </c>
      <c r="B155" s="186"/>
      <c r="C155" s="186"/>
      <c r="D155" s="186"/>
      <c r="E155" s="186" t="s">
        <v>68</v>
      </c>
      <c r="F155" s="186"/>
      <c r="G155" s="186"/>
      <c r="H155" s="186"/>
      <c r="I155" s="186"/>
      <c r="J155" s="186"/>
      <c r="K155" s="72"/>
    </row>
    <row r="156" spans="1:11" s="36" customFormat="1" x14ac:dyDescent="0.25">
      <c r="A156" s="185" t="s">
        <v>73</v>
      </c>
      <c r="B156" s="185"/>
      <c r="C156" s="185"/>
      <c r="D156" s="185"/>
      <c r="E156" s="185" t="s">
        <v>254</v>
      </c>
      <c r="F156" s="185"/>
      <c r="G156" s="185"/>
      <c r="H156" s="185"/>
      <c r="I156" s="185"/>
      <c r="J156" s="185"/>
      <c r="K156" s="72"/>
    </row>
    <row r="157" spans="1:11" s="36" customFormat="1" ht="15" customHeight="1" x14ac:dyDescent="0.25">
      <c r="A157" s="185" t="s">
        <v>252</v>
      </c>
      <c r="B157" s="185"/>
      <c r="C157" s="185"/>
      <c r="D157" s="185"/>
      <c r="E157" s="185" t="s">
        <v>253</v>
      </c>
      <c r="F157" s="185"/>
      <c r="G157" s="185"/>
      <c r="H157" s="185"/>
      <c r="I157" s="185"/>
      <c r="J157" s="185"/>
      <c r="K157" s="72"/>
    </row>
    <row r="158" spans="1:11" s="36" customFormat="1" ht="15" customHeight="1" x14ac:dyDescent="0.25">
      <c r="A158" s="185" t="s">
        <v>74</v>
      </c>
      <c r="B158" s="185"/>
      <c r="C158" s="185"/>
      <c r="D158" s="185"/>
      <c r="E158" s="185" t="s">
        <v>75</v>
      </c>
      <c r="F158" s="185"/>
      <c r="G158" s="185"/>
      <c r="H158" s="185"/>
      <c r="I158" s="185"/>
      <c r="J158" s="185"/>
      <c r="K158" s="72"/>
    </row>
    <row r="159" spans="1:11" s="36" customFormat="1" x14ac:dyDescent="0.25">
      <c r="A159" s="185" t="s">
        <v>76</v>
      </c>
      <c r="B159" s="185"/>
      <c r="C159" s="185"/>
      <c r="D159" s="185"/>
      <c r="E159" s="185" t="s">
        <v>77</v>
      </c>
      <c r="F159" s="185"/>
      <c r="G159" s="185"/>
      <c r="H159" s="185"/>
      <c r="I159" s="185"/>
      <c r="J159" s="185"/>
      <c r="K159" s="72"/>
    </row>
    <row r="160" spans="1:11" s="36" customFormat="1" ht="15" customHeight="1" x14ac:dyDescent="0.25">
      <c r="A160" s="185" t="s">
        <v>78</v>
      </c>
      <c r="B160" s="185"/>
      <c r="C160" s="185"/>
      <c r="D160" s="185"/>
      <c r="E160" s="185" t="s">
        <v>79</v>
      </c>
      <c r="F160" s="185"/>
      <c r="G160" s="185"/>
      <c r="H160" s="185"/>
      <c r="I160" s="185"/>
      <c r="J160" s="185"/>
      <c r="K160" s="72"/>
    </row>
    <row r="161" spans="1:11" s="36" customFormat="1" ht="15" customHeight="1" x14ac:dyDescent="0.25">
      <c r="A161" s="180" t="s">
        <v>89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72"/>
    </row>
    <row r="162" spans="1:11" s="36" customFormat="1" x14ac:dyDescent="0.25">
      <c r="A162" s="181" t="s">
        <v>80</v>
      </c>
      <c r="B162" s="181"/>
      <c r="C162" s="181"/>
      <c r="D162" s="181"/>
      <c r="E162" s="181"/>
      <c r="F162" s="181"/>
      <c r="G162" s="181"/>
      <c r="H162" s="181"/>
      <c r="I162" s="181"/>
      <c r="J162" s="181"/>
      <c r="K162" s="72"/>
    </row>
    <row r="163" spans="1:11" s="36" customFormat="1" ht="15" customHeight="1" x14ac:dyDescent="0.25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72"/>
    </row>
    <row r="164" spans="1:11" s="36" customFormat="1" x14ac:dyDescent="0.25">
      <c r="A164" s="182" t="s">
        <v>90</v>
      </c>
      <c r="B164" s="182"/>
      <c r="C164" s="182"/>
      <c r="D164" s="182"/>
      <c r="E164" s="182"/>
      <c r="F164" s="182"/>
      <c r="G164" s="182"/>
      <c r="H164" s="182"/>
      <c r="I164" s="182"/>
      <c r="J164" s="182"/>
      <c r="K164" s="72"/>
    </row>
    <row r="165" spans="1:11" s="36" customFormat="1" ht="15" customHeight="1" x14ac:dyDescent="0.25">
      <c r="A165" s="182"/>
      <c r="B165" s="182"/>
      <c r="C165" s="182"/>
      <c r="D165" s="182"/>
      <c r="E165" s="182"/>
      <c r="F165" s="182"/>
      <c r="G165" s="182"/>
      <c r="H165" s="182"/>
      <c r="I165" s="182"/>
      <c r="J165" s="182"/>
      <c r="K165" s="72"/>
    </row>
    <row r="166" spans="1:11" s="42" customFormat="1" ht="13.9" customHeight="1" x14ac:dyDescent="0.25">
      <c r="A166" s="183" t="s">
        <v>353</v>
      </c>
      <c r="B166" s="183"/>
      <c r="C166" s="183"/>
      <c r="D166" s="183"/>
      <c r="E166" s="183"/>
      <c r="F166" s="183"/>
      <c r="G166" s="183"/>
      <c r="H166" s="183"/>
      <c r="I166" s="183"/>
      <c r="J166" s="48"/>
    </row>
    <row r="167" spans="1:11" s="49" customFormat="1" ht="13.9" customHeight="1" x14ac:dyDescent="0.25">
      <c r="A167" s="184" t="s">
        <v>354</v>
      </c>
      <c r="B167" s="184"/>
      <c r="C167" s="184"/>
      <c r="D167" s="184"/>
      <c r="E167" s="184"/>
      <c r="F167" s="184"/>
      <c r="G167" s="184"/>
      <c r="H167" s="184"/>
      <c r="I167" s="184"/>
      <c r="J167" s="48"/>
    </row>
    <row r="168" spans="1:11" x14ac:dyDescent="0.25">
      <c r="J168" s="48"/>
    </row>
    <row r="169" spans="1:11" x14ac:dyDescent="0.25">
      <c r="J169" s="48"/>
    </row>
    <row r="170" spans="1:11" x14ac:dyDescent="0.25">
      <c r="J170" s="48"/>
    </row>
  </sheetData>
  <protectedRanges>
    <protectedRange algorithmName="SHA-512" hashValue="VF6HSW3Iy4xJ9rvYE/9xGHEoimGCygSu8D4FeqmdsD954MzAHwkkxLcwSP9Q5ui8KTGpWBzFAFpp2yGVfuii3Q==" saltValue="Ht0jMOW+8eakbuvlYpVr7Q==" spinCount="100000" sqref="G54:J59 G29:J31 G33:J35 G37:J42 G61:J68 G13:J27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3:J43 G45:J48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0:J52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88:WWE152" xr:uid="{FA694B6A-433F-4FA4-84BF-050781CB5F76}">
    <filterColumn colId="1">
      <filters>
        <filter val="ALL"/>
        <filter val="CY"/>
      </filters>
    </filterColumn>
    <filterColumn colId="3" showButton="0"/>
    <filterColumn colId="4" showButton="0"/>
  </autoFilter>
  <mergeCells count="151"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  <mergeCell ref="E12:F12"/>
    <mergeCell ref="E28:F28"/>
    <mergeCell ref="E32:F32"/>
    <mergeCell ref="E36:F36"/>
    <mergeCell ref="B6:C6"/>
    <mergeCell ref="G6:I6"/>
    <mergeCell ref="E8:I8"/>
    <mergeCell ref="A10:J10"/>
    <mergeCell ref="N10:R10"/>
    <mergeCell ref="A71:J71"/>
    <mergeCell ref="A72:D72"/>
    <mergeCell ref="E72:J72"/>
    <mergeCell ref="L72:Q72"/>
    <mergeCell ref="A73:D73"/>
    <mergeCell ref="F73:J73"/>
    <mergeCell ref="L73:Q73"/>
    <mergeCell ref="E44:F44"/>
    <mergeCell ref="E49:F49"/>
    <mergeCell ref="E53:F53"/>
    <mergeCell ref="E60:F60"/>
    <mergeCell ref="A68:J68"/>
    <mergeCell ref="A70:J70"/>
    <mergeCell ref="A77:D77"/>
    <mergeCell ref="F77:J77"/>
    <mergeCell ref="A78:D78"/>
    <mergeCell ref="F78:J78"/>
    <mergeCell ref="A79:D79"/>
    <mergeCell ref="F79:J79"/>
    <mergeCell ref="A74:D74"/>
    <mergeCell ref="F74:J74"/>
    <mergeCell ref="L74:Q74"/>
    <mergeCell ref="A75:D75"/>
    <mergeCell ref="F75:J75"/>
    <mergeCell ref="A76:D76"/>
    <mergeCell ref="F76:J76"/>
    <mergeCell ref="A82:D82"/>
    <mergeCell ref="F82:J82"/>
    <mergeCell ref="L82:Q82"/>
    <mergeCell ref="A83:D83"/>
    <mergeCell ref="G83:J83"/>
    <mergeCell ref="L83:Q83"/>
    <mergeCell ref="L79:Q79"/>
    <mergeCell ref="A80:D80"/>
    <mergeCell ref="F80:J80"/>
    <mergeCell ref="L80:Q80"/>
    <mergeCell ref="A81:D81"/>
    <mergeCell ref="F81:J81"/>
    <mergeCell ref="L81:Q81"/>
    <mergeCell ref="A86:D86"/>
    <mergeCell ref="E86:J86"/>
    <mergeCell ref="L86:Q86"/>
    <mergeCell ref="A87:J87"/>
    <mergeCell ref="D88:F88"/>
    <mergeCell ref="D89:F89"/>
    <mergeCell ref="A84:D84"/>
    <mergeCell ref="G84:J84"/>
    <mergeCell ref="L84:Q84"/>
    <mergeCell ref="A85:D85"/>
    <mergeCell ref="G85:J85"/>
    <mergeCell ref="L85:Q85"/>
    <mergeCell ref="D96:F96"/>
    <mergeCell ref="D97:F97"/>
    <mergeCell ref="D98:F98"/>
    <mergeCell ref="D99:F99"/>
    <mergeCell ref="D100:F100"/>
    <mergeCell ref="D101:F101"/>
    <mergeCell ref="D90:F90"/>
    <mergeCell ref="D91:F91"/>
    <mergeCell ref="D92:F92"/>
    <mergeCell ref="D93:F93"/>
    <mergeCell ref="D94:F94"/>
    <mergeCell ref="D95:F95"/>
    <mergeCell ref="D108:F108"/>
    <mergeCell ref="D109:F109"/>
    <mergeCell ref="D110:F110"/>
    <mergeCell ref="D111:F111"/>
    <mergeCell ref="D112:F112"/>
    <mergeCell ref="D113:F113"/>
    <mergeCell ref="D102:F102"/>
    <mergeCell ref="D103:F103"/>
    <mergeCell ref="D104:F104"/>
    <mergeCell ref="D105:F105"/>
    <mergeCell ref="D106:F106"/>
    <mergeCell ref="D107:F107"/>
    <mergeCell ref="D120:F120"/>
    <mergeCell ref="D121:F121"/>
    <mergeCell ref="D122:F122"/>
    <mergeCell ref="D123:F123"/>
    <mergeCell ref="D124:F124"/>
    <mergeCell ref="D125:F125"/>
    <mergeCell ref="D114:F114"/>
    <mergeCell ref="D115:F115"/>
    <mergeCell ref="D116:F116"/>
    <mergeCell ref="D117:F117"/>
    <mergeCell ref="D118:F118"/>
    <mergeCell ref="D119:F119"/>
    <mergeCell ref="D132:F132"/>
    <mergeCell ref="D133:F133"/>
    <mergeCell ref="D134:F134"/>
    <mergeCell ref="D135:F135"/>
    <mergeCell ref="D136:F136"/>
    <mergeCell ref="D137:F137"/>
    <mergeCell ref="D126:F126"/>
    <mergeCell ref="D127:F127"/>
    <mergeCell ref="D128:F128"/>
    <mergeCell ref="D129:F129"/>
    <mergeCell ref="D130:F130"/>
    <mergeCell ref="D131:F131"/>
    <mergeCell ref="D144:F144"/>
    <mergeCell ref="D145:F145"/>
    <mergeCell ref="D146:F146"/>
    <mergeCell ref="D147:F147"/>
    <mergeCell ref="D148:F148"/>
    <mergeCell ref="D149:F149"/>
    <mergeCell ref="D138:F138"/>
    <mergeCell ref="D139:F139"/>
    <mergeCell ref="D140:F140"/>
    <mergeCell ref="D141:F141"/>
    <mergeCell ref="D142:F142"/>
    <mergeCell ref="D143:F143"/>
    <mergeCell ref="A156:D156"/>
    <mergeCell ref="E156:J156"/>
    <mergeCell ref="A157:D157"/>
    <mergeCell ref="E157:J157"/>
    <mergeCell ref="A158:D158"/>
    <mergeCell ref="E158:J158"/>
    <mergeCell ref="D150:F150"/>
    <mergeCell ref="D151:F151"/>
    <mergeCell ref="D152:F152"/>
    <mergeCell ref="A154:J154"/>
    <mergeCell ref="A155:D155"/>
    <mergeCell ref="E155:J155"/>
    <mergeCell ref="A164:J165"/>
    <mergeCell ref="A166:I166"/>
    <mergeCell ref="A167:I167"/>
    <mergeCell ref="A159:D159"/>
    <mergeCell ref="E159:J159"/>
    <mergeCell ref="A160:D160"/>
    <mergeCell ref="E160:J160"/>
    <mergeCell ref="A161:J161"/>
    <mergeCell ref="A162:J163"/>
  </mergeCells>
  <hyperlinks>
    <hyperlink ref="G6" r:id="rId1" xr:uid="{A952C667-901D-4398-A08B-BAB4C6752740}"/>
    <hyperlink ref="G4" r:id="rId2" display="jchang.lax@oecgroup.com" xr:uid="{A1458B83-9B02-423F-83E8-9D65BE77BE58}"/>
  </hyperlinks>
  <pageMargins left="0.35" right="0.35" top="0.35" bottom="0.35" header="0.3" footer="0.3"/>
  <pageSetup scale="47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198BF2-244B-4A00-A227-1374A3B57455}">
          <x14:formula1>
            <xm:f>'C:\Users\twang\AppData\Local\Microsoft\Windows\Temporary Internet Files\Content.Outlook\U7WJNCNV\[QUOTE TEMPLATE 05-01-21.xltx]Sheet1'!#REF!</xm:f>
          </x14:formula1>
          <xm:sqref>E79:E80 E54:E59 E61:E67 E33:E35 E29:E31 E82:E85 E45:E48 E37:E43 E73:E76</xm:sqref>
        </x14:dataValidation>
        <x14:dataValidation type="list" allowBlank="1" showInputMessage="1" showErrorMessage="1" xr:uid="{B4AD2025-2332-4838-B78F-934AC81EDD7A}">
          <x14:formula1>
            <xm:f>'C:\Users\twang\AppData\Local\Microsoft\Windows\Temporary Internet Files\Content.Outlook\U7WJNCNV\[QUOTE TEMPLATE 05-01-21.xltx]Sheet1'!#REF!</xm:f>
          </x14:formula1>
          <xm:sqref>C61:C67 C33:C35 C29:C31 C45:C48 C37:C43 C54:C59 Q13:Q14 C13:C27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87BF-4BF9-410B-AD07-9962B9E8DAC6}">
  <sheetPr filterMode="1">
    <pageSetUpPr fitToPage="1"/>
  </sheetPr>
  <dimension ref="A1:AC179"/>
  <sheetViews>
    <sheetView topLeftCell="A20" zoomScale="85" zoomScaleNormal="85" zoomScaleSheetLayoutView="82" workbookViewId="0">
      <pane xSplit="4" topLeftCell="P1" activePane="topRight" state="frozen"/>
      <selection activeCell="A19" sqref="A19"/>
      <selection pane="topRight" activeCell="T64" sqref="T64"/>
    </sheetView>
  </sheetViews>
  <sheetFormatPr defaultColWidth="8.85546875" defaultRowHeight="15" x14ac:dyDescent="0.25"/>
  <cols>
    <col min="1" max="1" width="27.5703125" style="50" customWidth="1"/>
    <col min="2" max="2" width="55.28515625" style="50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15.7109375" style="50" customWidth="1"/>
    <col min="13" max="13" width="11.140625" style="50" customWidth="1"/>
    <col min="14" max="14" width="9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44757</v>
      </c>
      <c r="C8" s="45" t="s">
        <v>91</v>
      </c>
      <c r="D8" s="44">
        <v>44773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383</v>
      </c>
      <c r="E13" s="95" t="s">
        <v>127</v>
      </c>
      <c r="F13" s="97" t="s">
        <v>417</v>
      </c>
      <c r="G13" s="98">
        <f>CEILING(S13+W13+X13+O13+N13+Y13,10)</f>
        <v>8450</v>
      </c>
      <c r="H13" s="99">
        <f>CEILING(T13+W13+X13+O13+N13+Z13,10)</f>
        <v>9160</v>
      </c>
      <c r="I13" s="99">
        <f>CEILING(U13+W13+X13+O13+N13+AA13,10)</f>
        <v>9160</v>
      </c>
      <c r="J13" s="99">
        <f>CEILING(V13+W13+X13+O13+N13+AB13,10)</f>
        <v>11050</v>
      </c>
      <c r="K13" s="57"/>
      <c r="L13" s="156" t="s">
        <v>384</v>
      </c>
      <c r="M13" s="52" t="s">
        <v>292</v>
      </c>
      <c r="N13" s="40">
        <f>75*10</f>
        <v>750</v>
      </c>
      <c r="O13" s="53">
        <f>VLOOKUP(B13,DRAYAGE!$A$1:$C$107,3,FALSE)</f>
        <v>1310</v>
      </c>
      <c r="P13" s="40" t="s">
        <v>347</v>
      </c>
      <c r="S13" s="101">
        <f t="shared" ref="S13:S36" si="0">0.9*T13</f>
        <v>6390</v>
      </c>
      <c r="T13" s="54">
        <v>7100</v>
      </c>
      <c r="U13" s="103">
        <f>T13</f>
        <v>7100</v>
      </c>
      <c r="V13" s="104">
        <f>U13*1.266</f>
        <v>8988.6</v>
      </c>
      <c r="X13" s="40">
        <v>0</v>
      </c>
    </row>
    <row r="14" spans="1:29" s="40" customFormat="1" ht="18.75" x14ac:dyDescent="0.25">
      <c r="A14" s="133" t="s">
        <v>55</v>
      </c>
      <c r="B14" s="51" t="s">
        <v>338</v>
      </c>
      <c r="C14" s="94" t="s">
        <v>54</v>
      </c>
      <c r="D14" s="95" t="s">
        <v>383</v>
      </c>
      <c r="E14" s="95" t="s">
        <v>127</v>
      </c>
      <c r="F14" s="97" t="s">
        <v>417</v>
      </c>
      <c r="G14" s="98">
        <f t="shared" ref="G14:G36" si="1">CEILING(S14+W14+X14+O14+N14+Y14,10)</f>
        <v>8180</v>
      </c>
      <c r="H14" s="99">
        <f t="shared" ref="H14:H36" si="2">CEILING(T14+W14+X14+O14+N14+Z14,10)</f>
        <v>8860</v>
      </c>
      <c r="I14" s="99">
        <f t="shared" ref="I14:I36" si="3">CEILING(U14+W14+X14+O14+N14+AA14,10)</f>
        <v>8860</v>
      </c>
      <c r="J14" s="99">
        <f t="shared" ref="J14:J36" si="4">CEILING(V14+W14+X14+O14+N14+AB14,10)</f>
        <v>10670</v>
      </c>
      <c r="K14" s="57"/>
      <c r="L14" s="156" t="s">
        <v>384</v>
      </c>
      <c r="M14" s="52" t="s">
        <v>292</v>
      </c>
      <c r="N14" s="40">
        <f t="shared" ref="N14:N36" si="5">75*10</f>
        <v>750</v>
      </c>
      <c r="O14" s="53">
        <f>VLOOKUP(B14,DRAYAGE!$A$1:$C$107,3,FALSE)</f>
        <v>1310</v>
      </c>
      <c r="P14" s="40" t="s">
        <v>347</v>
      </c>
      <c r="S14" s="101">
        <f t="shared" si="0"/>
        <v>6120</v>
      </c>
      <c r="T14" s="54">
        <v>6800</v>
      </c>
      <c r="U14" s="103">
        <f t="shared" ref="U14:U68" si="6">T14</f>
        <v>6800</v>
      </c>
      <c r="V14" s="104">
        <f t="shared" ref="V14:V23" si="7">U14*1.266</f>
        <v>8608.7999999999993</v>
      </c>
      <c r="X14" s="40">
        <v>0</v>
      </c>
    </row>
    <row r="15" spans="1:29" s="40" customFormat="1" ht="25.5" x14ac:dyDescent="0.25">
      <c r="A15" s="133" t="s">
        <v>55</v>
      </c>
      <c r="B15" s="51" t="s">
        <v>338</v>
      </c>
      <c r="C15" s="94" t="s">
        <v>54</v>
      </c>
      <c r="D15" s="165" t="s">
        <v>404</v>
      </c>
      <c r="E15" s="95" t="s">
        <v>127</v>
      </c>
      <c r="F15" s="97" t="s">
        <v>417</v>
      </c>
      <c r="G15" s="163">
        <f t="shared" si="1"/>
        <v>8190</v>
      </c>
      <c r="H15" s="164">
        <f t="shared" si="2"/>
        <v>8860</v>
      </c>
      <c r="I15" s="164">
        <f t="shared" si="3"/>
        <v>8860</v>
      </c>
      <c r="J15" s="164">
        <f t="shared" si="4"/>
        <v>10640</v>
      </c>
      <c r="K15" s="57"/>
      <c r="L15" s="161" t="s">
        <v>405</v>
      </c>
      <c r="M15" s="52" t="s">
        <v>292</v>
      </c>
      <c r="N15" s="40">
        <f t="shared" si="5"/>
        <v>750</v>
      </c>
      <c r="O15" s="53">
        <v>1430</v>
      </c>
      <c r="P15" s="40" t="s">
        <v>347</v>
      </c>
      <c r="R15" s="101">
        <v>6570</v>
      </c>
      <c r="S15" s="101">
        <f t="shared" si="0"/>
        <v>6007.5</v>
      </c>
      <c r="T15" s="162">
        <f>6500+175</f>
        <v>6675</v>
      </c>
      <c r="U15" s="103">
        <f t="shared" si="6"/>
        <v>6675</v>
      </c>
      <c r="V15" s="104">
        <f t="shared" si="7"/>
        <v>8450.5499999999993</v>
      </c>
      <c r="X15" s="40">
        <v>0</v>
      </c>
    </row>
    <row r="16" spans="1:29" s="40" customFormat="1" ht="18.75" x14ac:dyDescent="0.25">
      <c r="A16" s="133" t="s">
        <v>56</v>
      </c>
      <c r="B16" s="51" t="s">
        <v>338</v>
      </c>
      <c r="C16" s="94" t="s">
        <v>54</v>
      </c>
      <c r="D16" s="95" t="s">
        <v>383</v>
      </c>
      <c r="E16" s="95" t="s">
        <v>127</v>
      </c>
      <c r="F16" s="97" t="s">
        <v>417</v>
      </c>
      <c r="G16" s="98">
        <f t="shared" si="1"/>
        <v>8360</v>
      </c>
      <c r="H16" s="99">
        <f t="shared" si="2"/>
        <v>9060</v>
      </c>
      <c r="I16" s="99">
        <f t="shared" si="3"/>
        <v>9060</v>
      </c>
      <c r="J16" s="99">
        <f t="shared" si="4"/>
        <v>10930</v>
      </c>
      <c r="K16" s="57"/>
      <c r="L16" s="156" t="s">
        <v>384</v>
      </c>
      <c r="M16" s="52" t="s">
        <v>292</v>
      </c>
      <c r="N16" s="40">
        <f t="shared" si="5"/>
        <v>750</v>
      </c>
      <c r="O16" s="53">
        <f>VLOOKUP(B16,DRAYAGE!$A$1:$C$107,3,FALSE)</f>
        <v>1310</v>
      </c>
      <c r="P16" s="40" t="s">
        <v>347</v>
      </c>
      <c r="S16" s="101">
        <f t="shared" si="0"/>
        <v>6300</v>
      </c>
      <c r="T16" s="54">
        <v>7000</v>
      </c>
      <c r="U16" s="103">
        <f t="shared" si="6"/>
        <v>7000</v>
      </c>
      <c r="V16" s="104">
        <f t="shared" si="7"/>
        <v>8862</v>
      </c>
      <c r="X16" s="40">
        <v>0</v>
      </c>
    </row>
    <row r="17" spans="1:28" s="40" customFormat="1" ht="18.75" x14ac:dyDescent="0.25">
      <c r="A17" s="133" t="s">
        <v>57</v>
      </c>
      <c r="B17" s="51" t="s">
        <v>338</v>
      </c>
      <c r="C17" s="94" t="s">
        <v>54</v>
      </c>
      <c r="D17" s="95" t="s">
        <v>383</v>
      </c>
      <c r="E17" s="95" t="s">
        <v>127</v>
      </c>
      <c r="F17" s="97" t="s">
        <v>417</v>
      </c>
      <c r="G17" s="98">
        <f t="shared" si="1"/>
        <v>8810</v>
      </c>
      <c r="H17" s="99">
        <f t="shared" si="2"/>
        <v>9560</v>
      </c>
      <c r="I17" s="99">
        <f t="shared" si="3"/>
        <v>9560</v>
      </c>
      <c r="J17" s="99">
        <f t="shared" si="4"/>
        <v>11560</v>
      </c>
      <c r="K17" s="57"/>
      <c r="L17" s="156" t="s">
        <v>384</v>
      </c>
      <c r="M17" s="52" t="s">
        <v>292</v>
      </c>
      <c r="N17" s="40">
        <f t="shared" si="5"/>
        <v>750</v>
      </c>
      <c r="O17" s="53">
        <f>VLOOKUP(B17,DRAYAGE!$A$1:$C$107,3,FALSE)</f>
        <v>1310</v>
      </c>
      <c r="P17" s="40" t="s">
        <v>347</v>
      </c>
      <c r="S17" s="101">
        <f t="shared" si="0"/>
        <v>6750</v>
      </c>
      <c r="T17" s="54">
        <v>7500</v>
      </c>
      <c r="U17" s="103">
        <f t="shared" si="6"/>
        <v>7500</v>
      </c>
      <c r="V17" s="104">
        <f t="shared" si="7"/>
        <v>9495</v>
      </c>
      <c r="X17" s="40">
        <v>0</v>
      </c>
    </row>
    <row r="18" spans="1:28" s="40" customFormat="1" ht="18.75" x14ac:dyDescent="0.25">
      <c r="A18" s="133" t="s">
        <v>57</v>
      </c>
      <c r="B18" s="51" t="s">
        <v>338</v>
      </c>
      <c r="C18" s="94" t="s">
        <v>54</v>
      </c>
      <c r="D18" s="153" t="s">
        <v>403</v>
      </c>
      <c r="E18" s="95" t="s">
        <v>127</v>
      </c>
      <c r="F18" s="97" t="s">
        <v>417</v>
      </c>
      <c r="G18" s="163">
        <f t="shared" si="1"/>
        <v>8840</v>
      </c>
      <c r="H18" s="164">
        <f t="shared" si="2"/>
        <v>9580</v>
      </c>
      <c r="I18" s="164">
        <f t="shared" si="3"/>
        <v>9580</v>
      </c>
      <c r="J18" s="164">
        <f t="shared" si="4"/>
        <v>11550</v>
      </c>
      <c r="K18" s="57"/>
      <c r="L18" s="161" t="s">
        <v>403</v>
      </c>
      <c r="M18" s="52" t="s">
        <v>292</v>
      </c>
      <c r="N18" s="40">
        <f t="shared" si="5"/>
        <v>750</v>
      </c>
      <c r="O18" s="53">
        <v>1430</v>
      </c>
      <c r="P18" s="40" t="s">
        <v>347</v>
      </c>
      <c r="R18" s="101">
        <v>6750</v>
      </c>
      <c r="S18" s="101">
        <f t="shared" si="0"/>
        <v>6660</v>
      </c>
      <c r="T18" s="162">
        <f>7200+200</f>
        <v>7400</v>
      </c>
      <c r="U18" s="103">
        <f t="shared" si="6"/>
        <v>7400</v>
      </c>
      <c r="V18" s="104">
        <f t="shared" si="7"/>
        <v>9368.4</v>
      </c>
      <c r="X18" s="40">
        <v>0</v>
      </c>
    </row>
    <row r="19" spans="1:28" s="40" customFormat="1" ht="18.75" x14ac:dyDescent="0.25">
      <c r="A19" s="133" t="s">
        <v>64</v>
      </c>
      <c r="B19" s="51" t="s">
        <v>338</v>
      </c>
      <c r="C19" s="94" t="s">
        <v>54</v>
      </c>
      <c r="D19" s="95" t="s">
        <v>383</v>
      </c>
      <c r="E19" s="95" t="s">
        <v>127</v>
      </c>
      <c r="F19" s="97" t="s">
        <v>417</v>
      </c>
      <c r="G19" s="98">
        <f t="shared" si="1"/>
        <v>8950</v>
      </c>
      <c r="H19" s="99">
        <f t="shared" si="2"/>
        <v>9710</v>
      </c>
      <c r="I19" s="99">
        <f t="shared" si="3"/>
        <v>9710</v>
      </c>
      <c r="J19" s="99">
        <f t="shared" si="4"/>
        <v>11750</v>
      </c>
      <c r="K19" s="57"/>
      <c r="L19" s="156" t="s">
        <v>384</v>
      </c>
      <c r="M19" s="52" t="s">
        <v>292</v>
      </c>
      <c r="N19" s="40">
        <f t="shared" si="5"/>
        <v>750</v>
      </c>
      <c r="O19" s="53">
        <f>VLOOKUP(B19,DRAYAGE!$A$1:$C$107,3,FALSE)</f>
        <v>1310</v>
      </c>
      <c r="P19" s="40" t="s">
        <v>347</v>
      </c>
      <c r="S19" s="101">
        <f>0.9*T19</f>
        <v>6885</v>
      </c>
      <c r="T19" s="54">
        <f>T17+150</f>
        <v>7650</v>
      </c>
      <c r="U19" s="103">
        <f>T19</f>
        <v>7650</v>
      </c>
      <c r="V19" s="104">
        <f>U19*1.266</f>
        <v>9684.9</v>
      </c>
      <c r="X19" s="40">
        <v>0</v>
      </c>
    </row>
    <row r="20" spans="1:28" s="40" customFormat="1" ht="18.75" x14ac:dyDescent="0.25">
      <c r="A20" s="133" t="s">
        <v>366</v>
      </c>
      <c r="B20" s="51" t="s">
        <v>338</v>
      </c>
      <c r="C20" s="94" t="s">
        <v>54</v>
      </c>
      <c r="D20" s="95" t="s">
        <v>383</v>
      </c>
      <c r="E20" s="95" t="s">
        <v>127</v>
      </c>
      <c r="F20" s="97" t="s">
        <v>417</v>
      </c>
      <c r="G20" s="98">
        <f t="shared" si="1"/>
        <v>9310</v>
      </c>
      <c r="H20" s="99">
        <f t="shared" si="2"/>
        <v>10110</v>
      </c>
      <c r="I20" s="99">
        <f t="shared" si="3"/>
        <v>10110</v>
      </c>
      <c r="J20" s="99">
        <f t="shared" si="4"/>
        <v>12260</v>
      </c>
      <c r="K20" s="57"/>
      <c r="L20" s="156" t="s">
        <v>384</v>
      </c>
      <c r="M20" s="52" t="s">
        <v>292</v>
      </c>
      <c r="N20" s="40">
        <f t="shared" si="5"/>
        <v>750</v>
      </c>
      <c r="O20" s="53">
        <f>VLOOKUP(B20,DRAYAGE!$A$1:$C$107,3,FALSE)</f>
        <v>1310</v>
      </c>
      <c r="P20" s="40" t="s">
        <v>347</v>
      </c>
      <c r="S20" s="101">
        <f>0.9*T20</f>
        <v>7245</v>
      </c>
      <c r="T20" s="54">
        <f>T17+550</f>
        <v>8050</v>
      </c>
      <c r="U20" s="103">
        <f>T20</f>
        <v>8050</v>
      </c>
      <c r="V20" s="104">
        <f>U20*1.266</f>
        <v>10191.299999999999</v>
      </c>
      <c r="X20" s="40">
        <v>0</v>
      </c>
    </row>
    <row r="21" spans="1:28" s="40" customFormat="1" ht="18.75" x14ac:dyDescent="0.25">
      <c r="A21" s="133" t="s">
        <v>366</v>
      </c>
      <c r="B21" s="51" t="s">
        <v>338</v>
      </c>
      <c r="C21" s="94" t="s">
        <v>54</v>
      </c>
      <c r="D21" s="153" t="s">
        <v>403</v>
      </c>
      <c r="E21" s="95" t="s">
        <v>127</v>
      </c>
      <c r="F21" s="97" t="s">
        <v>417</v>
      </c>
      <c r="G21" s="163">
        <f t="shared" si="1"/>
        <v>8890</v>
      </c>
      <c r="H21" s="164">
        <f t="shared" si="2"/>
        <v>9630</v>
      </c>
      <c r="I21" s="164">
        <f t="shared" si="3"/>
        <v>9630</v>
      </c>
      <c r="J21" s="164">
        <f t="shared" si="4"/>
        <v>11620</v>
      </c>
      <c r="K21" s="57"/>
      <c r="L21" s="161" t="s">
        <v>403</v>
      </c>
      <c r="M21" s="52" t="s">
        <v>292</v>
      </c>
      <c r="N21" s="40">
        <f t="shared" si="5"/>
        <v>750</v>
      </c>
      <c r="O21" s="53">
        <v>1430</v>
      </c>
      <c r="P21" s="40" t="s">
        <v>347</v>
      </c>
      <c r="R21" s="101">
        <v>7245</v>
      </c>
      <c r="S21" s="101">
        <f>0.9*T21</f>
        <v>6705</v>
      </c>
      <c r="T21" s="162">
        <f>7200+250</f>
        <v>7450</v>
      </c>
      <c r="U21" s="103">
        <f>T21</f>
        <v>7450</v>
      </c>
      <c r="V21" s="104">
        <f>U21*1.266</f>
        <v>9431.7000000000007</v>
      </c>
      <c r="X21" s="40">
        <v>0</v>
      </c>
    </row>
    <row r="22" spans="1:28" s="40" customFormat="1" ht="18.75" x14ac:dyDescent="0.25">
      <c r="A22" s="133" t="s">
        <v>59</v>
      </c>
      <c r="B22" s="51" t="s">
        <v>338</v>
      </c>
      <c r="C22" s="94" t="s">
        <v>54</v>
      </c>
      <c r="D22" s="95" t="s">
        <v>383</v>
      </c>
      <c r="E22" s="95" t="s">
        <v>127</v>
      </c>
      <c r="F22" s="97" t="s">
        <v>417</v>
      </c>
      <c r="G22" s="98">
        <f t="shared" si="1"/>
        <v>8180</v>
      </c>
      <c r="H22" s="99">
        <f t="shared" si="2"/>
        <v>8860</v>
      </c>
      <c r="I22" s="99">
        <f t="shared" si="3"/>
        <v>8860</v>
      </c>
      <c r="J22" s="99">
        <f t="shared" si="4"/>
        <v>10670</v>
      </c>
      <c r="K22" s="57"/>
      <c r="L22" s="156" t="s">
        <v>384</v>
      </c>
      <c r="M22" s="52" t="s">
        <v>292</v>
      </c>
      <c r="N22" s="40">
        <f t="shared" si="5"/>
        <v>750</v>
      </c>
      <c r="O22" s="53">
        <f>VLOOKUP(B22,DRAYAGE!$A$1:$C$107,3,FALSE)</f>
        <v>1310</v>
      </c>
      <c r="P22" s="40" t="s">
        <v>347</v>
      </c>
      <c r="S22" s="101">
        <f t="shared" si="0"/>
        <v>6120</v>
      </c>
      <c r="T22" s="54">
        <v>6800</v>
      </c>
      <c r="U22" s="103">
        <f t="shared" si="6"/>
        <v>6800</v>
      </c>
      <c r="V22" s="104">
        <f t="shared" si="7"/>
        <v>8608.7999999999993</v>
      </c>
      <c r="X22" s="40">
        <v>0</v>
      </c>
    </row>
    <row r="23" spans="1:28" s="40" customFormat="1" ht="18.75" x14ac:dyDescent="0.25">
      <c r="A23" s="133" t="s">
        <v>59</v>
      </c>
      <c r="B23" s="51" t="s">
        <v>338</v>
      </c>
      <c r="C23" s="94" t="s">
        <v>54</v>
      </c>
      <c r="D23" s="153" t="s">
        <v>403</v>
      </c>
      <c r="E23" s="95" t="s">
        <v>127</v>
      </c>
      <c r="F23" s="97" t="s">
        <v>417</v>
      </c>
      <c r="G23" s="163">
        <f t="shared" si="1"/>
        <v>8660</v>
      </c>
      <c r="H23" s="164">
        <f t="shared" si="2"/>
        <v>9380</v>
      </c>
      <c r="I23" s="164">
        <f t="shared" si="3"/>
        <v>9380</v>
      </c>
      <c r="J23" s="164">
        <f t="shared" si="4"/>
        <v>11300</v>
      </c>
      <c r="K23" s="57"/>
      <c r="L23" s="161" t="s">
        <v>403</v>
      </c>
      <c r="M23" s="52" t="s">
        <v>292</v>
      </c>
      <c r="N23" s="40">
        <f t="shared" si="5"/>
        <v>750</v>
      </c>
      <c r="O23" s="53">
        <v>1430</v>
      </c>
      <c r="P23" s="40" t="s">
        <v>347</v>
      </c>
      <c r="R23" s="101">
        <v>6570</v>
      </c>
      <c r="S23" s="101">
        <f t="shared" si="0"/>
        <v>6480</v>
      </c>
      <c r="T23" s="162">
        <f>7000+200</f>
        <v>7200</v>
      </c>
      <c r="U23" s="103">
        <f t="shared" si="6"/>
        <v>7200</v>
      </c>
      <c r="V23" s="104">
        <f t="shared" si="7"/>
        <v>9115.2000000000007</v>
      </c>
      <c r="X23" s="40">
        <v>0</v>
      </c>
    </row>
    <row r="24" spans="1:28" s="40" customFormat="1" ht="18.75" x14ac:dyDescent="0.25">
      <c r="A24" s="133" t="s">
        <v>60</v>
      </c>
      <c r="B24" s="51" t="s">
        <v>338</v>
      </c>
      <c r="C24" s="94" t="s">
        <v>54</v>
      </c>
      <c r="D24" s="95" t="s">
        <v>383</v>
      </c>
      <c r="E24" s="95" t="s">
        <v>127</v>
      </c>
      <c r="F24" s="97" t="s">
        <v>417</v>
      </c>
      <c r="G24" s="98">
        <f t="shared" si="1"/>
        <v>8270</v>
      </c>
      <c r="H24" s="99">
        <f t="shared" si="2"/>
        <v>8960</v>
      </c>
      <c r="I24" s="99">
        <f t="shared" si="3"/>
        <v>8960</v>
      </c>
      <c r="J24" s="99">
        <f t="shared" si="4"/>
        <v>10800</v>
      </c>
      <c r="K24" s="57"/>
      <c r="L24" s="156" t="s">
        <v>384</v>
      </c>
      <c r="M24" s="52" t="s">
        <v>292</v>
      </c>
      <c r="N24" s="40">
        <f t="shared" si="5"/>
        <v>750</v>
      </c>
      <c r="O24" s="53">
        <f>VLOOKUP(B24,DRAYAGE!$A$1:$C$107,3,FALSE)</f>
        <v>1310</v>
      </c>
      <c r="P24" s="40" t="s">
        <v>347</v>
      </c>
      <c r="S24" s="101">
        <f t="shared" si="0"/>
        <v>6210</v>
      </c>
      <c r="T24" s="54">
        <v>6900</v>
      </c>
      <c r="U24" s="103">
        <f t="shared" si="6"/>
        <v>6900</v>
      </c>
      <c r="V24" s="104">
        <f>U24*1.266</f>
        <v>8735.4</v>
      </c>
      <c r="X24" s="40">
        <v>0</v>
      </c>
    </row>
    <row r="25" spans="1:28" s="40" customFormat="1" ht="18.75" x14ac:dyDescent="0.25">
      <c r="A25" s="133" t="s">
        <v>376</v>
      </c>
      <c r="B25" s="51" t="s">
        <v>338</v>
      </c>
      <c r="C25" s="94" t="s">
        <v>54</v>
      </c>
      <c r="D25" s="95" t="s">
        <v>383</v>
      </c>
      <c r="E25" s="95" t="s">
        <v>127</v>
      </c>
      <c r="F25" s="97" t="s">
        <v>417</v>
      </c>
      <c r="G25" s="98">
        <f t="shared" si="1"/>
        <v>8180</v>
      </c>
      <c r="H25" s="99">
        <f t="shared" si="2"/>
        <v>8860</v>
      </c>
      <c r="I25" s="99">
        <f t="shared" si="3"/>
        <v>8860</v>
      </c>
      <c r="J25" s="99">
        <f t="shared" si="4"/>
        <v>10670</v>
      </c>
      <c r="K25" s="57"/>
      <c r="L25" s="156" t="s">
        <v>384</v>
      </c>
      <c r="M25" s="52" t="s">
        <v>292</v>
      </c>
      <c r="N25" s="40">
        <f t="shared" si="5"/>
        <v>750</v>
      </c>
      <c r="O25" s="53">
        <f>VLOOKUP(B25,DRAYAGE!$A$1:$C$107,3,FALSE)</f>
        <v>1310</v>
      </c>
      <c r="P25" s="40" t="s">
        <v>347</v>
      </c>
      <c r="S25" s="101">
        <f t="shared" si="0"/>
        <v>6120</v>
      </c>
      <c r="T25" s="54">
        <v>6800</v>
      </c>
      <c r="U25" s="103">
        <f t="shared" si="6"/>
        <v>6800</v>
      </c>
      <c r="V25" s="104">
        <f t="shared" ref="V25:V36" si="8">U25*1.266</f>
        <v>8608.7999999999993</v>
      </c>
      <c r="X25" s="40">
        <v>0</v>
      </c>
    </row>
    <row r="26" spans="1:28" s="40" customFormat="1" ht="18.75" x14ac:dyDescent="0.25">
      <c r="A26" s="133" t="s">
        <v>376</v>
      </c>
      <c r="B26" s="51" t="s">
        <v>338</v>
      </c>
      <c r="C26" s="94" t="s">
        <v>54</v>
      </c>
      <c r="D26" s="153" t="s">
        <v>403</v>
      </c>
      <c r="E26" s="95" t="s">
        <v>127</v>
      </c>
      <c r="F26" s="97" t="s">
        <v>417</v>
      </c>
      <c r="G26" s="163">
        <f t="shared" si="1"/>
        <v>8660</v>
      </c>
      <c r="H26" s="164">
        <f t="shared" si="2"/>
        <v>9380</v>
      </c>
      <c r="I26" s="164">
        <f t="shared" si="3"/>
        <v>9380</v>
      </c>
      <c r="J26" s="164">
        <f t="shared" si="4"/>
        <v>11300</v>
      </c>
      <c r="K26" s="57"/>
      <c r="L26" s="161" t="s">
        <v>403</v>
      </c>
      <c r="M26" s="52" t="s">
        <v>292</v>
      </c>
      <c r="N26" s="40">
        <f t="shared" si="5"/>
        <v>750</v>
      </c>
      <c r="O26" s="53">
        <v>1430</v>
      </c>
      <c r="P26" s="40" t="s">
        <v>347</v>
      </c>
      <c r="R26" s="101">
        <v>6570</v>
      </c>
      <c r="S26" s="101">
        <f t="shared" si="0"/>
        <v>6480</v>
      </c>
      <c r="T26" s="162">
        <f>7000+200</f>
        <v>7200</v>
      </c>
      <c r="U26" s="103">
        <f t="shared" si="6"/>
        <v>7200</v>
      </c>
      <c r="V26" s="104">
        <f t="shared" si="8"/>
        <v>9115.2000000000007</v>
      </c>
      <c r="X26" s="40">
        <v>0</v>
      </c>
    </row>
    <row r="27" spans="1:28" s="40" customFormat="1" ht="18.75" x14ac:dyDescent="0.25">
      <c r="A27" s="133" t="s">
        <v>108</v>
      </c>
      <c r="B27" s="51" t="s">
        <v>338</v>
      </c>
      <c r="C27" s="94" t="s">
        <v>54</v>
      </c>
      <c r="D27" s="95" t="s">
        <v>383</v>
      </c>
      <c r="E27" s="95" t="s">
        <v>127</v>
      </c>
      <c r="F27" s="97" t="s">
        <v>417</v>
      </c>
      <c r="G27" s="98">
        <f t="shared" si="1"/>
        <v>8360</v>
      </c>
      <c r="H27" s="99">
        <f t="shared" si="2"/>
        <v>9060</v>
      </c>
      <c r="I27" s="99">
        <f t="shared" si="3"/>
        <v>9060</v>
      </c>
      <c r="J27" s="99">
        <f t="shared" si="4"/>
        <v>10930</v>
      </c>
      <c r="K27" s="57"/>
      <c r="L27" s="156" t="s">
        <v>384</v>
      </c>
      <c r="M27" s="52" t="s">
        <v>292</v>
      </c>
      <c r="N27" s="40">
        <f t="shared" si="5"/>
        <v>750</v>
      </c>
      <c r="O27" s="53">
        <f>VLOOKUP(B27,DRAYAGE!$A$1:$C$107,3,FALSE)</f>
        <v>1310</v>
      </c>
      <c r="P27" s="40" t="s">
        <v>347</v>
      </c>
      <c r="S27" s="101">
        <f t="shared" si="0"/>
        <v>6300</v>
      </c>
      <c r="T27" s="54">
        <v>7000</v>
      </c>
      <c r="U27" s="103">
        <f t="shared" si="6"/>
        <v>7000</v>
      </c>
      <c r="V27" s="104">
        <f t="shared" si="8"/>
        <v>8862</v>
      </c>
      <c r="X27" s="40">
        <v>0</v>
      </c>
    </row>
    <row r="28" spans="1:28" s="40" customFormat="1" ht="18.75" x14ac:dyDescent="0.25">
      <c r="A28" s="133" t="s">
        <v>108</v>
      </c>
      <c r="B28" s="51" t="s">
        <v>338</v>
      </c>
      <c r="C28" s="94" t="s">
        <v>54</v>
      </c>
      <c r="D28" s="153" t="s">
        <v>403</v>
      </c>
      <c r="E28" s="95" t="s">
        <v>127</v>
      </c>
      <c r="F28" s="97" t="s">
        <v>417</v>
      </c>
      <c r="G28" s="163">
        <f t="shared" si="1"/>
        <v>8300</v>
      </c>
      <c r="H28" s="164">
        <f t="shared" si="2"/>
        <v>8980</v>
      </c>
      <c r="I28" s="164">
        <f t="shared" si="3"/>
        <v>8980</v>
      </c>
      <c r="J28" s="164">
        <f t="shared" si="4"/>
        <v>10790</v>
      </c>
      <c r="K28" s="57"/>
      <c r="L28" s="161" t="s">
        <v>403</v>
      </c>
      <c r="M28" s="52" t="s">
        <v>292</v>
      </c>
      <c r="N28" s="40">
        <f t="shared" si="5"/>
        <v>750</v>
      </c>
      <c r="O28" s="53">
        <v>1430</v>
      </c>
      <c r="P28" s="40" t="s">
        <v>347</v>
      </c>
      <c r="R28" s="101">
        <v>6660</v>
      </c>
      <c r="S28" s="101">
        <f t="shared" si="0"/>
        <v>6120</v>
      </c>
      <c r="T28" s="162">
        <f>6500+300</f>
        <v>6800</v>
      </c>
      <c r="U28" s="103">
        <f t="shared" si="6"/>
        <v>6800</v>
      </c>
      <c r="V28" s="104">
        <f t="shared" si="8"/>
        <v>8608.7999999999993</v>
      </c>
      <c r="X28" s="40">
        <v>0</v>
      </c>
    </row>
    <row r="29" spans="1:28" s="40" customFormat="1" ht="18.75" x14ac:dyDescent="0.25">
      <c r="A29" s="133" t="s">
        <v>62</v>
      </c>
      <c r="B29" s="51" t="s">
        <v>338</v>
      </c>
      <c r="C29" s="94" t="s">
        <v>54</v>
      </c>
      <c r="D29" s="95" t="s">
        <v>383</v>
      </c>
      <c r="E29" s="95" t="s">
        <v>127</v>
      </c>
      <c r="F29" s="97" t="s">
        <v>417</v>
      </c>
      <c r="G29" s="98">
        <f t="shared" si="1"/>
        <v>8720</v>
      </c>
      <c r="H29" s="99">
        <f t="shared" si="2"/>
        <v>9460</v>
      </c>
      <c r="I29" s="99">
        <f t="shared" si="3"/>
        <v>9460</v>
      </c>
      <c r="J29" s="99">
        <f t="shared" si="4"/>
        <v>11430</v>
      </c>
      <c r="K29" s="57"/>
      <c r="L29" s="156" t="s">
        <v>384</v>
      </c>
      <c r="M29" s="52" t="s">
        <v>292</v>
      </c>
      <c r="N29" s="40">
        <f t="shared" si="5"/>
        <v>750</v>
      </c>
      <c r="O29" s="53">
        <f>VLOOKUP(B29,DRAYAGE!$A$1:$C$107,3,FALSE)</f>
        <v>1310</v>
      </c>
      <c r="P29" s="40" t="s">
        <v>347</v>
      </c>
      <c r="S29" s="101">
        <f t="shared" si="0"/>
        <v>6660</v>
      </c>
      <c r="T29" s="54">
        <v>7400</v>
      </c>
      <c r="U29" s="103">
        <f t="shared" si="6"/>
        <v>7400</v>
      </c>
      <c r="V29" s="104">
        <f t="shared" si="8"/>
        <v>9368.4</v>
      </c>
      <c r="X29" s="40">
        <v>0</v>
      </c>
      <c r="Y29" s="40">
        <f t="shared" ref="Y29:Y34" si="9">0.9*Z29</f>
        <v>0</v>
      </c>
      <c r="AA29" s="40">
        <f t="shared" ref="AA29:AA34" si="10">Z29</f>
        <v>0</v>
      </c>
      <c r="AB29" s="40">
        <f t="shared" ref="AB29:AB34" si="11">Z29*1.266</f>
        <v>0</v>
      </c>
    </row>
    <row r="30" spans="1:28" s="40" customFormat="1" ht="18.75" x14ac:dyDescent="0.25">
      <c r="A30" s="133" t="s">
        <v>66</v>
      </c>
      <c r="B30" s="51" t="s">
        <v>338</v>
      </c>
      <c r="C30" s="94" t="s">
        <v>54</v>
      </c>
      <c r="D30" s="95" t="s">
        <v>383</v>
      </c>
      <c r="E30" s="95" t="s">
        <v>127</v>
      </c>
      <c r="F30" s="97" t="s">
        <v>417</v>
      </c>
      <c r="G30" s="98">
        <f t="shared" si="1"/>
        <v>8590</v>
      </c>
      <c r="H30" s="99">
        <f t="shared" si="2"/>
        <v>9310</v>
      </c>
      <c r="I30" s="99">
        <f t="shared" si="3"/>
        <v>9310</v>
      </c>
      <c r="J30" s="99">
        <f t="shared" si="4"/>
        <v>11240</v>
      </c>
      <c r="K30" s="57"/>
      <c r="L30" s="156" t="s">
        <v>384</v>
      </c>
      <c r="M30" s="52" t="s">
        <v>292</v>
      </c>
      <c r="N30" s="40">
        <f t="shared" si="5"/>
        <v>750</v>
      </c>
      <c r="O30" s="53">
        <f>VLOOKUP(B30,DRAYAGE!$A$1:$C$107,3,FALSE)</f>
        <v>1310</v>
      </c>
      <c r="P30" s="40" t="s">
        <v>347</v>
      </c>
      <c r="S30" s="101">
        <f t="shared" si="0"/>
        <v>6525</v>
      </c>
      <c r="T30" s="54">
        <f>T24+350</f>
        <v>7250</v>
      </c>
      <c r="U30" s="103">
        <f t="shared" si="6"/>
        <v>7250</v>
      </c>
      <c r="V30" s="104">
        <f t="shared" si="8"/>
        <v>9178.5</v>
      </c>
      <c r="X30" s="40">
        <v>0</v>
      </c>
    </row>
    <row r="31" spans="1:28" s="40" customFormat="1" ht="18.75" x14ac:dyDescent="0.25">
      <c r="A31" s="133" t="s">
        <v>65</v>
      </c>
      <c r="B31" s="51" t="s">
        <v>338</v>
      </c>
      <c r="C31" s="94" t="s">
        <v>54</v>
      </c>
      <c r="D31" s="95" t="s">
        <v>383</v>
      </c>
      <c r="E31" s="95" t="s">
        <v>127</v>
      </c>
      <c r="F31" s="97" t="s">
        <v>417</v>
      </c>
      <c r="G31" s="98">
        <f t="shared" si="1"/>
        <v>8570</v>
      </c>
      <c r="H31" s="99">
        <f t="shared" si="2"/>
        <v>9290</v>
      </c>
      <c r="I31" s="99">
        <f t="shared" si="3"/>
        <v>9290</v>
      </c>
      <c r="J31" s="99">
        <f t="shared" si="4"/>
        <v>11210</v>
      </c>
      <c r="K31" s="57"/>
      <c r="L31" s="156" t="s">
        <v>384</v>
      </c>
      <c r="M31" s="52" t="s">
        <v>292</v>
      </c>
      <c r="N31" s="40">
        <f t="shared" si="5"/>
        <v>750</v>
      </c>
      <c r="O31" s="53">
        <f>VLOOKUP(B31,DRAYAGE!$A$1:$C$107,3,FALSE)</f>
        <v>1310</v>
      </c>
      <c r="P31" s="40" t="s">
        <v>347</v>
      </c>
      <c r="S31" s="101">
        <f t="shared" si="0"/>
        <v>6502.5</v>
      </c>
      <c r="T31" s="54">
        <f>T24+325</f>
        <v>7225</v>
      </c>
      <c r="U31" s="103">
        <f t="shared" si="6"/>
        <v>7225</v>
      </c>
      <c r="V31" s="104">
        <f t="shared" si="8"/>
        <v>9146.85</v>
      </c>
      <c r="X31" s="40">
        <v>0</v>
      </c>
      <c r="Y31" s="40">
        <f t="shared" si="9"/>
        <v>0</v>
      </c>
      <c r="AA31" s="40">
        <f t="shared" si="10"/>
        <v>0</v>
      </c>
      <c r="AB31" s="40">
        <f t="shared" si="11"/>
        <v>0</v>
      </c>
    </row>
    <row r="32" spans="1:28" s="40" customFormat="1" ht="18.75" x14ac:dyDescent="0.25">
      <c r="A32" s="133" t="s">
        <v>65</v>
      </c>
      <c r="B32" s="51" t="s">
        <v>338</v>
      </c>
      <c r="C32" s="94" t="s">
        <v>54</v>
      </c>
      <c r="D32" s="165" t="s">
        <v>408</v>
      </c>
      <c r="E32" s="95" t="s">
        <v>127</v>
      </c>
      <c r="F32" s="97" t="s">
        <v>417</v>
      </c>
      <c r="G32" s="163">
        <f t="shared" si="1"/>
        <v>8990</v>
      </c>
      <c r="H32" s="164">
        <f t="shared" si="2"/>
        <v>9750</v>
      </c>
      <c r="I32" s="164">
        <f t="shared" si="3"/>
        <v>9750</v>
      </c>
      <c r="J32" s="164">
        <f t="shared" si="4"/>
        <v>11760</v>
      </c>
      <c r="K32" s="57"/>
      <c r="L32" s="161" t="s">
        <v>408</v>
      </c>
      <c r="M32" s="52" t="s">
        <v>292</v>
      </c>
      <c r="N32" s="40">
        <f t="shared" si="5"/>
        <v>750</v>
      </c>
      <c r="O32" s="53">
        <v>1430</v>
      </c>
      <c r="P32" s="40" t="s">
        <v>347</v>
      </c>
      <c r="R32" s="101">
        <v>6975</v>
      </c>
      <c r="S32" s="101">
        <f t="shared" si="0"/>
        <v>6808.5</v>
      </c>
      <c r="T32" s="162">
        <f>7365+200</f>
        <v>7565</v>
      </c>
      <c r="U32" s="103">
        <f t="shared" si="6"/>
        <v>7565</v>
      </c>
      <c r="V32" s="104">
        <f t="shared" si="8"/>
        <v>9577.2900000000009</v>
      </c>
      <c r="X32" s="40">
        <v>0</v>
      </c>
      <c r="Z32" s="40">
        <v>0</v>
      </c>
      <c r="AA32" s="40">
        <v>0</v>
      </c>
    </row>
    <row r="33" spans="1:29" s="40" customFormat="1" ht="18.75" x14ac:dyDescent="0.25">
      <c r="A33" s="133" t="s">
        <v>63</v>
      </c>
      <c r="B33" s="51" t="s">
        <v>338</v>
      </c>
      <c r="C33" s="94" t="s">
        <v>54</v>
      </c>
      <c r="D33" s="95" t="s">
        <v>383</v>
      </c>
      <c r="E33" s="95" t="s">
        <v>127</v>
      </c>
      <c r="F33" s="97" t="s">
        <v>417</v>
      </c>
      <c r="G33" s="98">
        <f t="shared" si="1"/>
        <v>8590</v>
      </c>
      <c r="H33" s="99">
        <f t="shared" si="2"/>
        <v>9310</v>
      </c>
      <c r="I33" s="99">
        <f t="shared" si="3"/>
        <v>9310</v>
      </c>
      <c r="J33" s="99">
        <f t="shared" si="4"/>
        <v>11240</v>
      </c>
      <c r="K33" s="57"/>
      <c r="L33" s="156" t="s">
        <v>384</v>
      </c>
      <c r="M33" s="52" t="s">
        <v>292</v>
      </c>
      <c r="N33" s="40">
        <f t="shared" si="5"/>
        <v>750</v>
      </c>
      <c r="O33" s="53">
        <f>VLOOKUP(B33,DRAYAGE!$A$1:$C$107,3,FALSE)</f>
        <v>1310</v>
      </c>
      <c r="P33" s="40" t="s">
        <v>347</v>
      </c>
      <c r="S33" s="101">
        <f t="shared" si="0"/>
        <v>6525</v>
      </c>
      <c r="T33" s="54">
        <f>T24+350</f>
        <v>7250</v>
      </c>
      <c r="U33" s="103">
        <f t="shared" si="6"/>
        <v>7250</v>
      </c>
      <c r="V33" s="104">
        <f t="shared" si="8"/>
        <v>9178.5</v>
      </c>
      <c r="X33" s="40">
        <v>0</v>
      </c>
      <c r="Y33" s="40">
        <f t="shared" si="9"/>
        <v>0</v>
      </c>
      <c r="AA33" s="40">
        <f t="shared" si="10"/>
        <v>0</v>
      </c>
      <c r="AB33" s="40">
        <f t="shared" si="11"/>
        <v>0</v>
      </c>
    </row>
    <row r="34" spans="1:29" s="45" customFormat="1" ht="18.75" x14ac:dyDescent="0.25">
      <c r="A34" s="133" t="s">
        <v>275</v>
      </c>
      <c r="B34" s="51" t="s">
        <v>338</v>
      </c>
      <c r="C34" s="106" t="s">
        <v>54</v>
      </c>
      <c r="D34" s="95" t="s">
        <v>383</v>
      </c>
      <c r="E34" s="95" t="s">
        <v>127</v>
      </c>
      <c r="F34" s="97" t="s">
        <v>417</v>
      </c>
      <c r="G34" s="98">
        <f t="shared" si="1"/>
        <v>8590</v>
      </c>
      <c r="H34" s="99">
        <f t="shared" si="2"/>
        <v>9310</v>
      </c>
      <c r="I34" s="99">
        <f t="shared" si="3"/>
        <v>9310</v>
      </c>
      <c r="J34" s="99">
        <f t="shared" si="4"/>
        <v>11240</v>
      </c>
      <c r="K34" s="111"/>
      <c r="L34" s="156" t="s">
        <v>384</v>
      </c>
      <c r="M34" s="52" t="s">
        <v>292</v>
      </c>
      <c r="N34" s="40">
        <f t="shared" si="5"/>
        <v>750</v>
      </c>
      <c r="O34" s="53">
        <f>VLOOKUP(B34,DRAYAGE!$A$1:$C$107,3,FALSE)</f>
        <v>1310</v>
      </c>
      <c r="P34" s="40" t="s">
        <v>347</v>
      </c>
      <c r="R34" s="105"/>
      <c r="S34" s="113">
        <f t="shared" si="0"/>
        <v>6525</v>
      </c>
      <c r="T34" s="54">
        <f>T24+350</f>
        <v>7250</v>
      </c>
      <c r="U34" s="103">
        <f t="shared" si="6"/>
        <v>7250</v>
      </c>
      <c r="V34" s="114">
        <f t="shared" si="8"/>
        <v>9178.5</v>
      </c>
      <c r="X34" s="45">
        <v>0</v>
      </c>
      <c r="Y34" s="40">
        <f t="shared" si="9"/>
        <v>0</v>
      </c>
      <c r="AA34" s="40">
        <f t="shared" si="10"/>
        <v>0</v>
      </c>
      <c r="AB34" s="40">
        <f t="shared" si="11"/>
        <v>0</v>
      </c>
    </row>
    <row r="35" spans="1:29" s="45" customFormat="1" ht="18.75" x14ac:dyDescent="0.25">
      <c r="A35" s="133" t="s">
        <v>275</v>
      </c>
      <c r="B35" s="51" t="s">
        <v>338</v>
      </c>
      <c r="C35" s="106" t="s">
        <v>54</v>
      </c>
      <c r="D35" s="153" t="s">
        <v>406</v>
      </c>
      <c r="E35" s="95" t="s">
        <v>127</v>
      </c>
      <c r="F35" s="97" t="s">
        <v>417</v>
      </c>
      <c r="G35" s="163">
        <f t="shared" si="1"/>
        <v>9080</v>
      </c>
      <c r="H35" s="164">
        <f t="shared" si="2"/>
        <v>9840</v>
      </c>
      <c r="I35" s="164">
        <f t="shared" si="3"/>
        <v>9840</v>
      </c>
      <c r="J35" s="164">
        <f t="shared" si="4"/>
        <v>11880</v>
      </c>
      <c r="K35" s="111"/>
      <c r="L35" s="161" t="s">
        <v>406</v>
      </c>
      <c r="M35" s="52" t="s">
        <v>292</v>
      </c>
      <c r="N35" s="40">
        <f t="shared" si="5"/>
        <v>750</v>
      </c>
      <c r="O35" s="53">
        <v>1430</v>
      </c>
      <c r="P35" s="40" t="s">
        <v>347</v>
      </c>
      <c r="R35" s="113">
        <v>6975</v>
      </c>
      <c r="S35" s="101">
        <f t="shared" si="0"/>
        <v>6894</v>
      </c>
      <c r="T35" s="162">
        <f>7510+150</f>
        <v>7660</v>
      </c>
      <c r="U35" s="103">
        <f t="shared" si="6"/>
        <v>7660</v>
      </c>
      <c r="V35" s="104">
        <f t="shared" si="8"/>
        <v>9697.56</v>
      </c>
      <c r="W35" s="40"/>
      <c r="X35" s="40">
        <v>0</v>
      </c>
      <c r="Y35" s="40"/>
      <c r="Z35" s="40"/>
      <c r="AA35" s="40"/>
      <c r="AB35" s="40"/>
      <c r="AC35" s="40"/>
    </row>
    <row r="36" spans="1:29" s="45" customFormat="1" ht="25.5" x14ac:dyDescent="0.25">
      <c r="A36" s="133" t="s">
        <v>275</v>
      </c>
      <c r="B36" s="51" t="s">
        <v>338</v>
      </c>
      <c r="C36" s="106" t="s">
        <v>54</v>
      </c>
      <c r="D36" s="165" t="s">
        <v>407</v>
      </c>
      <c r="E36" s="95" t="s">
        <v>127</v>
      </c>
      <c r="F36" s="97" t="s">
        <v>417</v>
      </c>
      <c r="G36" s="163">
        <f t="shared" si="1"/>
        <v>8810</v>
      </c>
      <c r="H36" s="164">
        <f t="shared" si="2"/>
        <v>9550</v>
      </c>
      <c r="I36" s="164">
        <f t="shared" si="3"/>
        <v>9550</v>
      </c>
      <c r="J36" s="164">
        <f t="shared" si="4"/>
        <v>11510</v>
      </c>
      <c r="K36" s="111"/>
      <c r="L36" s="161" t="s">
        <v>407</v>
      </c>
      <c r="M36" s="52" t="s">
        <v>292</v>
      </c>
      <c r="N36" s="40">
        <f t="shared" si="5"/>
        <v>750</v>
      </c>
      <c r="O36" s="53">
        <v>1430</v>
      </c>
      <c r="P36" s="40" t="s">
        <v>347</v>
      </c>
      <c r="R36" s="101">
        <v>6120</v>
      </c>
      <c r="S36" s="101">
        <f t="shared" si="0"/>
        <v>6628.5</v>
      </c>
      <c r="T36" s="162">
        <f>7165+200</f>
        <v>7365</v>
      </c>
      <c r="U36" s="103">
        <f t="shared" si="6"/>
        <v>7365</v>
      </c>
      <c r="V36" s="104">
        <f t="shared" si="8"/>
        <v>9324.09</v>
      </c>
      <c r="W36" s="40"/>
      <c r="X36" s="40">
        <v>0</v>
      </c>
      <c r="Y36" s="40"/>
      <c r="Z36" s="40"/>
      <c r="AA36" s="40"/>
      <c r="AB36" s="40"/>
    </row>
    <row r="37" spans="1:29" s="40" customFormat="1" ht="14.45" customHeight="1" x14ac:dyDescent="0.25">
      <c r="A37" s="134" t="s">
        <v>333</v>
      </c>
      <c r="B37" s="88"/>
      <c r="C37" s="88"/>
      <c r="D37" s="88"/>
      <c r="E37" s="210"/>
      <c r="F37" s="211"/>
      <c r="G37" s="88"/>
      <c r="H37" s="88"/>
      <c r="I37" s="88"/>
      <c r="J37" s="88"/>
      <c r="K37" s="57"/>
      <c r="L37" s="89" t="s">
        <v>48</v>
      </c>
      <c r="M37" s="89" t="s">
        <v>261</v>
      </c>
      <c r="N37" s="90" t="s">
        <v>51</v>
      </c>
      <c r="O37" s="91" t="s">
        <v>50</v>
      </c>
      <c r="P37" s="91" t="s">
        <v>262</v>
      </c>
      <c r="Q37" s="91" t="s">
        <v>263</v>
      </c>
      <c r="R37" s="91" t="s">
        <v>264</v>
      </c>
      <c r="S37" s="92" t="s">
        <v>52</v>
      </c>
      <c r="T37" s="92" t="s">
        <v>53</v>
      </c>
      <c r="U37" s="92" t="s">
        <v>265</v>
      </c>
      <c r="V37" s="92" t="s">
        <v>266</v>
      </c>
      <c r="W37" s="92" t="s">
        <v>267</v>
      </c>
      <c r="X37" s="92" t="s">
        <v>268</v>
      </c>
      <c r="Y37" s="92" t="s">
        <v>52</v>
      </c>
      <c r="Z37" s="92" t="s">
        <v>53</v>
      </c>
      <c r="AA37" s="92" t="s">
        <v>265</v>
      </c>
      <c r="AB37" s="92" t="s">
        <v>266</v>
      </c>
      <c r="AC37" s="93" t="s">
        <v>269</v>
      </c>
    </row>
    <row r="38" spans="1:29" s="40" customFormat="1" ht="14.45" customHeight="1" x14ac:dyDescent="0.25">
      <c r="A38" s="133" t="s">
        <v>58</v>
      </c>
      <c r="B38" s="51" t="s">
        <v>339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>CEILING(S38+W38+X38+O38+N38+Y38,10)</f>
        <v>11490</v>
      </c>
      <c r="H38" s="99">
        <f>CEILING(T38+W38+X38+O38+N38+Z38,10)</f>
        <v>12470</v>
      </c>
      <c r="I38" s="99">
        <f>CEILING(U38+W38+X38+O38+N38+AA38,10)</f>
        <v>12470</v>
      </c>
      <c r="J38" s="99">
        <f>CEILING(V38+W38+X38+O38+N38+AB38,10)</f>
        <v>15080</v>
      </c>
      <c r="K38" s="57"/>
      <c r="L38" s="156" t="s">
        <v>384</v>
      </c>
      <c r="M38" s="52" t="s">
        <v>293</v>
      </c>
      <c r="N38" s="40">
        <v>0</v>
      </c>
      <c r="O38" s="53">
        <f>VLOOKUP(B38,DRAYAGE!$A$1:$C$107,3,FALSE)</f>
        <v>2665</v>
      </c>
      <c r="P38" s="40" t="s">
        <v>299</v>
      </c>
      <c r="S38" s="101">
        <f>0.9*T38</f>
        <v>8820</v>
      </c>
      <c r="T38" s="54">
        <f>9500+300</f>
        <v>9800</v>
      </c>
      <c r="U38" s="103">
        <f t="shared" si="6"/>
        <v>9800</v>
      </c>
      <c r="V38" s="104">
        <f>U38*1.266</f>
        <v>12406.8</v>
      </c>
    </row>
    <row r="39" spans="1:29" s="40" customFormat="1" ht="14.45" customHeight="1" x14ac:dyDescent="0.25">
      <c r="A39" s="133" t="s">
        <v>55</v>
      </c>
      <c r="B39" s="51" t="s">
        <v>339</v>
      </c>
      <c r="C39" s="94" t="s">
        <v>54</v>
      </c>
      <c r="D39" s="95" t="s">
        <v>383</v>
      </c>
      <c r="E39" s="96" t="s">
        <v>114</v>
      </c>
      <c r="F39" s="97" t="s">
        <v>270</v>
      </c>
      <c r="G39" s="98">
        <f>CEILING(S39+W39+X39+O39+N39+Y39,10)</f>
        <v>11310</v>
      </c>
      <c r="H39" s="99">
        <f>CEILING(T39+W39+X39+O39+N39+Z39,10)</f>
        <v>12270</v>
      </c>
      <c r="I39" s="99">
        <f>CEILING(U39+W39+X39+O39+N39+AA39,10)</f>
        <v>12270</v>
      </c>
      <c r="J39" s="99">
        <f>CEILING(V39+W39+X39+O39+N39+AB39,10)</f>
        <v>14820</v>
      </c>
      <c r="K39" s="57"/>
      <c r="L39" s="156" t="s">
        <v>384</v>
      </c>
      <c r="M39" s="52" t="s">
        <v>293</v>
      </c>
      <c r="N39" s="40">
        <v>0</v>
      </c>
      <c r="O39" s="53">
        <f>VLOOKUP(B39,DRAYAGE!$A$1:$C$107,3,FALSE)</f>
        <v>2665</v>
      </c>
      <c r="P39" s="40" t="s">
        <v>299</v>
      </c>
      <c r="S39" s="101">
        <f>0.9*T39</f>
        <v>8640</v>
      </c>
      <c r="T39" s="54">
        <v>9600</v>
      </c>
      <c r="U39" s="103">
        <f t="shared" si="6"/>
        <v>9600</v>
      </c>
      <c r="V39" s="104">
        <f>U39*1.266</f>
        <v>12153.6</v>
      </c>
    </row>
    <row r="40" spans="1:29" s="40" customFormat="1" ht="14.45" customHeight="1" x14ac:dyDescent="0.25">
      <c r="A40" s="133" t="s">
        <v>61</v>
      </c>
      <c r="B40" s="51" t="s">
        <v>339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>CEILING(S40+W40+X40+O40+N40+Y40,10)</f>
        <v>11310</v>
      </c>
      <c r="H40" s="99">
        <f>CEILING(T40+W40+X40+O40+N40+Z40,10)</f>
        <v>12270</v>
      </c>
      <c r="I40" s="99">
        <f>CEILING(U40+W40+X40+O40+N40+AA40,10)</f>
        <v>12270</v>
      </c>
      <c r="J40" s="99">
        <f>CEILING(V40+W40+X40+O40+N40+AB40,10)</f>
        <v>14820</v>
      </c>
      <c r="K40" s="57"/>
      <c r="L40" s="156" t="s">
        <v>384</v>
      </c>
      <c r="M40" s="52" t="s">
        <v>293</v>
      </c>
      <c r="N40" s="40">
        <v>0</v>
      </c>
      <c r="O40" s="53">
        <f>VLOOKUP(B40,DRAYAGE!$A$1:$C$107,3,FALSE)</f>
        <v>2665</v>
      </c>
      <c r="P40" s="40" t="s">
        <v>299</v>
      </c>
      <c r="S40" s="101">
        <f>0.9*T40</f>
        <v>8640</v>
      </c>
      <c r="T40" s="54">
        <v>9600</v>
      </c>
      <c r="U40" s="103">
        <f t="shared" si="6"/>
        <v>9600</v>
      </c>
      <c r="V40" s="104">
        <f>U40*1.266</f>
        <v>12153.6</v>
      </c>
    </row>
    <row r="41" spans="1:29" s="40" customFormat="1" ht="14.45" customHeight="1" x14ac:dyDescent="0.25">
      <c r="A41" s="134" t="s">
        <v>334</v>
      </c>
      <c r="B41" s="88"/>
      <c r="C41" s="88"/>
      <c r="D41" s="88"/>
      <c r="E41" s="210"/>
      <c r="F41" s="211"/>
      <c r="G41" s="88"/>
      <c r="H41" s="88"/>
      <c r="I41" s="88"/>
      <c r="J41" s="88"/>
      <c r="K41" s="57"/>
      <c r="L41" s="89" t="s">
        <v>48</v>
      </c>
      <c r="M41" s="89" t="s">
        <v>261</v>
      </c>
      <c r="N41" s="90" t="s">
        <v>51</v>
      </c>
      <c r="O41" s="91" t="s">
        <v>50</v>
      </c>
      <c r="P41" s="91" t="s">
        <v>262</v>
      </c>
      <c r="Q41" s="91" t="s">
        <v>263</v>
      </c>
      <c r="R41" s="91" t="s">
        <v>264</v>
      </c>
      <c r="S41" s="92" t="s">
        <v>52</v>
      </c>
      <c r="T41" s="92" t="s">
        <v>53</v>
      </c>
      <c r="U41" s="92" t="s">
        <v>265</v>
      </c>
      <c r="V41" s="92" t="s">
        <v>266</v>
      </c>
      <c r="W41" s="92" t="s">
        <v>267</v>
      </c>
      <c r="X41" s="92" t="s">
        <v>268</v>
      </c>
      <c r="Y41" s="92" t="s">
        <v>52</v>
      </c>
      <c r="Z41" s="92" t="s">
        <v>53</v>
      </c>
      <c r="AA41" s="92" t="s">
        <v>265</v>
      </c>
      <c r="AB41" s="92" t="s">
        <v>266</v>
      </c>
      <c r="AC41" s="93" t="s">
        <v>269</v>
      </c>
    </row>
    <row r="42" spans="1:29" s="40" customFormat="1" ht="14.45" customHeight="1" x14ac:dyDescent="0.25">
      <c r="A42" s="133" t="s">
        <v>58</v>
      </c>
      <c r="B42" s="51" t="s">
        <v>341</v>
      </c>
      <c r="C42" s="94" t="s">
        <v>54</v>
      </c>
      <c r="D42" s="95" t="s">
        <v>383</v>
      </c>
      <c r="E42" s="96" t="s">
        <v>114</v>
      </c>
      <c r="F42" s="97" t="s">
        <v>270</v>
      </c>
      <c r="G42" s="98">
        <f>CEILING(S42+W42+X42+O42+N42+Y42,10)</f>
        <v>10510</v>
      </c>
      <c r="H42" s="99">
        <f>CEILING(T42+W42+X42+O42+N42+Z42,10)</f>
        <v>11490</v>
      </c>
      <c r="I42" s="99">
        <f>CEILING(U42+W42+X42+O42+N42+AA42,10)</f>
        <v>11490</v>
      </c>
      <c r="J42" s="99">
        <f>CEILING(V42+W42+X42+O42+N42+AB42,10)</f>
        <v>14100</v>
      </c>
      <c r="K42" s="57"/>
      <c r="L42" s="156" t="s">
        <v>384</v>
      </c>
      <c r="M42" s="52" t="s">
        <v>293</v>
      </c>
      <c r="N42" s="40">
        <v>0</v>
      </c>
      <c r="O42" s="53">
        <f>VLOOKUP(B42,DRAYAGE!$A$1:$C$107,3,FALSE)</f>
        <v>1690</v>
      </c>
      <c r="P42" s="40" t="s">
        <v>299</v>
      </c>
      <c r="S42" s="101">
        <f>0.9*T42</f>
        <v>8820</v>
      </c>
      <c r="T42" s="54">
        <f>T38</f>
        <v>9800</v>
      </c>
      <c r="U42" s="103">
        <f t="shared" si="6"/>
        <v>9800</v>
      </c>
      <c r="V42" s="104">
        <f>U42*1.266</f>
        <v>12406.8</v>
      </c>
      <c r="X42" s="40">
        <v>0</v>
      </c>
    </row>
    <row r="43" spans="1:29" s="40" customFormat="1" ht="14.45" customHeight="1" x14ac:dyDescent="0.25">
      <c r="A43" s="133" t="s">
        <v>55</v>
      </c>
      <c r="B43" s="51" t="s">
        <v>341</v>
      </c>
      <c r="C43" s="94" t="s">
        <v>54</v>
      </c>
      <c r="D43" s="95" t="s">
        <v>383</v>
      </c>
      <c r="E43" s="96" t="s">
        <v>114</v>
      </c>
      <c r="F43" s="97" t="s">
        <v>270</v>
      </c>
      <c r="G43" s="98">
        <f>CEILING(S43+W43+X43+O43+N43+Y43,10)</f>
        <v>10330</v>
      </c>
      <c r="H43" s="99">
        <f>CEILING(T43+W43+X43+O43+N43+Z43,10)</f>
        <v>11290</v>
      </c>
      <c r="I43" s="99">
        <f>CEILING(U43+W43+X43+O43+N43+AA43,10)</f>
        <v>11290</v>
      </c>
      <c r="J43" s="99">
        <f>CEILING(V43+W43+X43+O43+N43+AB43,10)</f>
        <v>13850</v>
      </c>
      <c r="K43" s="57"/>
      <c r="L43" s="156" t="s">
        <v>384</v>
      </c>
      <c r="M43" s="52" t="s">
        <v>293</v>
      </c>
      <c r="N43" s="40">
        <v>0</v>
      </c>
      <c r="O43" s="53">
        <f>VLOOKUP(B43,DRAYAGE!$A$1:$C$107,3,FALSE)</f>
        <v>1690</v>
      </c>
      <c r="P43" s="40" t="s">
        <v>299</v>
      </c>
      <c r="S43" s="101">
        <f>0.9*T43</f>
        <v>8640</v>
      </c>
      <c r="T43" s="54">
        <f>T39</f>
        <v>9600</v>
      </c>
      <c r="U43" s="103">
        <f t="shared" si="6"/>
        <v>9600</v>
      </c>
      <c r="V43" s="104">
        <f>U43*1.266</f>
        <v>12153.6</v>
      </c>
      <c r="X43" s="40">
        <v>0</v>
      </c>
    </row>
    <row r="44" spans="1:29" s="40" customFormat="1" ht="14.45" customHeight="1" x14ac:dyDescent="0.25">
      <c r="A44" s="133" t="s">
        <v>61</v>
      </c>
      <c r="B44" s="51" t="s">
        <v>341</v>
      </c>
      <c r="C44" s="94" t="s">
        <v>54</v>
      </c>
      <c r="D44" s="95" t="s">
        <v>383</v>
      </c>
      <c r="E44" s="96" t="s">
        <v>114</v>
      </c>
      <c r="F44" s="97" t="s">
        <v>270</v>
      </c>
      <c r="G44" s="98">
        <f>CEILING(S44+W44+X44+O44+N44+Y44,10)</f>
        <v>10330</v>
      </c>
      <c r="H44" s="99">
        <f>CEILING(T44+W44+X44+O44+N44+Z44,10)</f>
        <v>11290</v>
      </c>
      <c r="I44" s="99">
        <f>CEILING(U44+W44+X44+O44+N44+AA44,10)</f>
        <v>11290</v>
      </c>
      <c r="J44" s="99">
        <f>CEILING(V44+W44+X44+O44+N44+AB44,10)</f>
        <v>13850</v>
      </c>
      <c r="K44" s="57"/>
      <c r="L44" s="156" t="s">
        <v>384</v>
      </c>
      <c r="M44" s="52" t="s">
        <v>293</v>
      </c>
      <c r="N44" s="40">
        <v>0</v>
      </c>
      <c r="O44" s="53">
        <f>VLOOKUP(B44,DRAYAGE!$A$1:$C$107,3,FALSE)</f>
        <v>1690</v>
      </c>
      <c r="P44" s="40" t="s">
        <v>299</v>
      </c>
      <c r="S44" s="101">
        <f>0.9*T44</f>
        <v>8640</v>
      </c>
      <c r="T44" s="54">
        <f>T40</f>
        <v>9600</v>
      </c>
      <c r="U44" s="103">
        <f t="shared" si="6"/>
        <v>9600</v>
      </c>
      <c r="V44" s="104">
        <f>U44*1.266</f>
        <v>12153.6</v>
      </c>
      <c r="X44" s="40">
        <v>0</v>
      </c>
    </row>
    <row r="45" spans="1:29" s="40" customFormat="1" ht="14.45" customHeight="1" x14ac:dyDescent="0.25">
      <c r="A45" s="134" t="s">
        <v>335</v>
      </c>
      <c r="B45" s="88"/>
      <c r="C45" s="88"/>
      <c r="D45" s="88"/>
      <c r="E45" s="210"/>
      <c r="F45" s="211"/>
      <c r="G45" s="88"/>
      <c r="H45" s="88"/>
      <c r="I45" s="88"/>
      <c r="J45" s="88"/>
      <c r="K45" s="57"/>
      <c r="L45" s="89" t="s">
        <v>48</v>
      </c>
      <c r="M45" s="89" t="s">
        <v>261</v>
      </c>
      <c r="N45" s="90" t="s">
        <v>51</v>
      </c>
      <c r="O45" s="91" t="s">
        <v>50</v>
      </c>
      <c r="P45" s="91" t="s">
        <v>262</v>
      </c>
      <c r="Q45" s="91" t="s">
        <v>263</v>
      </c>
      <c r="R45" s="91" t="s">
        <v>264</v>
      </c>
      <c r="S45" s="92" t="s">
        <v>52</v>
      </c>
      <c r="T45" s="92" t="s">
        <v>53</v>
      </c>
      <c r="U45" s="92" t="s">
        <v>265</v>
      </c>
      <c r="V45" s="92" t="s">
        <v>266</v>
      </c>
      <c r="W45" s="92" t="s">
        <v>267</v>
      </c>
      <c r="X45" s="92" t="s">
        <v>268</v>
      </c>
      <c r="Y45" s="92" t="s">
        <v>52</v>
      </c>
      <c r="Z45" s="92" t="s">
        <v>53</v>
      </c>
      <c r="AA45" s="92" t="s">
        <v>265</v>
      </c>
      <c r="AB45" s="92" t="s">
        <v>266</v>
      </c>
      <c r="AC45" s="93" t="s">
        <v>269</v>
      </c>
    </row>
    <row r="46" spans="1:29" s="40" customFormat="1" ht="18.75" x14ac:dyDescent="0.25">
      <c r="A46" s="133" t="s">
        <v>81</v>
      </c>
      <c r="B46" s="51" t="s">
        <v>340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 t="shared" ref="G46:G52" si="12">CEILING(S46+W46+X46+O46+N46+Y46,10)</f>
        <v>11440</v>
      </c>
      <c r="H46" s="99">
        <f t="shared" ref="H46:H52" si="13">CEILING(T46+W46+X46+O46+N46+Z46,10)</f>
        <v>12510</v>
      </c>
      <c r="I46" s="99">
        <f t="shared" ref="I46:I52" si="14">CEILING(U46+W46+X46+O46+N46+AA46,10)</f>
        <v>12510</v>
      </c>
      <c r="J46" s="99">
        <f t="shared" ref="J46:J52" si="15">CEILING(V46+W46+X46+O46+N46+AB46,10)</f>
        <v>15360</v>
      </c>
      <c r="K46" s="57"/>
      <c r="L46" s="156" t="s">
        <v>384</v>
      </c>
      <c r="M46" s="52" t="s">
        <v>294</v>
      </c>
      <c r="N46" s="40">
        <v>0</v>
      </c>
      <c r="O46" s="53">
        <f>VLOOKUP(B46,DRAYAGE!$A$1:$C$107,3,FALSE)</f>
        <v>1805</v>
      </c>
      <c r="P46" s="40" t="s">
        <v>300</v>
      </c>
      <c r="S46" s="101">
        <f t="shared" ref="S46:S52" si="16">0.9*T46</f>
        <v>9630</v>
      </c>
      <c r="T46" s="54">
        <v>10700</v>
      </c>
      <c r="U46" s="103">
        <f t="shared" si="6"/>
        <v>10700</v>
      </c>
      <c r="V46" s="104">
        <f t="shared" ref="V46:V52" si="17">U46*1.266</f>
        <v>13546.2</v>
      </c>
      <c r="X46" s="40">
        <v>0</v>
      </c>
    </row>
    <row r="47" spans="1:29" s="40" customFormat="1" ht="27" customHeight="1" x14ac:dyDescent="0.25">
      <c r="A47" s="133" t="s">
        <v>55</v>
      </c>
      <c r="B47" s="51" t="s">
        <v>340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 t="shared" si="12"/>
        <v>11440</v>
      </c>
      <c r="H47" s="99">
        <f t="shared" si="13"/>
        <v>12510</v>
      </c>
      <c r="I47" s="99">
        <f t="shared" si="14"/>
        <v>12510</v>
      </c>
      <c r="J47" s="99">
        <f t="shared" si="15"/>
        <v>15360</v>
      </c>
      <c r="K47" s="57"/>
      <c r="L47" s="156" t="s">
        <v>384</v>
      </c>
      <c r="M47" s="52" t="s">
        <v>294</v>
      </c>
      <c r="N47" s="40">
        <v>0</v>
      </c>
      <c r="O47" s="53">
        <f>VLOOKUP(B47,DRAYAGE!$A$1:$C$107,3,FALSE)</f>
        <v>1805</v>
      </c>
      <c r="P47" s="40" t="s">
        <v>300</v>
      </c>
      <c r="S47" s="101">
        <f t="shared" si="16"/>
        <v>9630</v>
      </c>
      <c r="T47" s="54">
        <v>10700</v>
      </c>
      <c r="U47" s="103">
        <f t="shared" si="6"/>
        <v>10700</v>
      </c>
      <c r="V47" s="104">
        <f t="shared" si="17"/>
        <v>13546.2</v>
      </c>
      <c r="X47" s="40">
        <v>0</v>
      </c>
    </row>
    <row r="48" spans="1:29" s="40" customFormat="1" ht="14.45" customHeight="1" x14ac:dyDescent="0.25">
      <c r="A48" s="133" t="s">
        <v>59</v>
      </c>
      <c r="B48" s="51" t="s">
        <v>340</v>
      </c>
      <c r="C48" s="94" t="s">
        <v>54</v>
      </c>
      <c r="D48" s="95" t="s">
        <v>383</v>
      </c>
      <c r="E48" s="96" t="s">
        <v>114</v>
      </c>
      <c r="F48" s="97" t="s">
        <v>270</v>
      </c>
      <c r="G48" s="98">
        <f t="shared" si="12"/>
        <v>11440</v>
      </c>
      <c r="H48" s="99">
        <f t="shared" si="13"/>
        <v>12510</v>
      </c>
      <c r="I48" s="99">
        <f t="shared" si="14"/>
        <v>12510</v>
      </c>
      <c r="J48" s="99">
        <f t="shared" si="15"/>
        <v>15360</v>
      </c>
      <c r="K48" s="57"/>
      <c r="L48" s="156" t="s">
        <v>384</v>
      </c>
      <c r="M48" s="52" t="s">
        <v>294</v>
      </c>
      <c r="N48" s="40">
        <v>0</v>
      </c>
      <c r="O48" s="53">
        <f>VLOOKUP(B48,DRAYAGE!$A$1:$C$107,3,FALSE)</f>
        <v>1805</v>
      </c>
      <c r="P48" s="40" t="s">
        <v>300</v>
      </c>
      <c r="S48" s="101">
        <f t="shared" si="16"/>
        <v>9630</v>
      </c>
      <c r="T48" s="54">
        <v>10700</v>
      </c>
      <c r="U48" s="103">
        <f t="shared" si="6"/>
        <v>10700</v>
      </c>
      <c r="V48" s="104">
        <f t="shared" si="17"/>
        <v>13546.2</v>
      </c>
      <c r="X48" s="40">
        <v>0</v>
      </c>
    </row>
    <row r="49" spans="1:29" s="40" customFormat="1" ht="18.75" x14ac:dyDescent="0.25">
      <c r="A49" s="133" t="s">
        <v>60</v>
      </c>
      <c r="B49" s="51" t="s">
        <v>340</v>
      </c>
      <c r="C49" s="94" t="s">
        <v>54</v>
      </c>
      <c r="D49" s="95" t="s">
        <v>383</v>
      </c>
      <c r="E49" s="96" t="s">
        <v>114</v>
      </c>
      <c r="F49" s="97" t="s">
        <v>270</v>
      </c>
      <c r="G49" s="98">
        <f t="shared" si="12"/>
        <v>11440</v>
      </c>
      <c r="H49" s="99">
        <f t="shared" si="13"/>
        <v>12510</v>
      </c>
      <c r="I49" s="99">
        <f t="shared" si="14"/>
        <v>12510</v>
      </c>
      <c r="J49" s="99">
        <f t="shared" si="15"/>
        <v>15360</v>
      </c>
      <c r="K49" s="57"/>
      <c r="L49" s="156" t="s">
        <v>384</v>
      </c>
      <c r="M49" s="52" t="s">
        <v>294</v>
      </c>
      <c r="N49" s="40">
        <v>0</v>
      </c>
      <c r="O49" s="53">
        <f>VLOOKUP(B49,DRAYAGE!$A$1:$C$107,3,FALSE)</f>
        <v>1805</v>
      </c>
      <c r="P49" s="40" t="s">
        <v>300</v>
      </c>
      <c r="S49" s="101">
        <f t="shared" si="16"/>
        <v>9630</v>
      </c>
      <c r="T49" s="54">
        <v>10700</v>
      </c>
      <c r="U49" s="103">
        <f t="shared" si="6"/>
        <v>10700</v>
      </c>
      <c r="V49" s="104">
        <f t="shared" si="17"/>
        <v>13546.2</v>
      </c>
      <c r="X49" s="40">
        <v>0</v>
      </c>
    </row>
    <row r="50" spans="1:29" s="45" customFormat="1" ht="14.45" customHeight="1" x14ac:dyDescent="0.25">
      <c r="A50" s="133" t="s">
        <v>61</v>
      </c>
      <c r="B50" s="51" t="s">
        <v>340</v>
      </c>
      <c r="C50" s="106" t="s">
        <v>54</v>
      </c>
      <c r="D50" s="95" t="s">
        <v>383</v>
      </c>
      <c r="E50" s="107" t="s">
        <v>114</v>
      </c>
      <c r="F50" s="108" t="s">
        <v>270</v>
      </c>
      <c r="G50" s="109">
        <f t="shared" si="12"/>
        <v>11440</v>
      </c>
      <c r="H50" s="110">
        <f t="shared" si="13"/>
        <v>12510</v>
      </c>
      <c r="I50" s="110">
        <f t="shared" si="14"/>
        <v>12510</v>
      </c>
      <c r="J50" s="110">
        <f t="shared" si="15"/>
        <v>15360</v>
      </c>
      <c r="K50" s="111"/>
      <c r="L50" s="156" t="s">
        <v>384</v>
      </c>
      <c r="M50" s="52" t="s">
        <v>294</v>
      </c>
      <c r="N50" s="45">
        <v>0</v>
      </c>
      <c r="O50" s="53">
        <f>VLOOKUP(B50,DRAYAGE!$A$1:$C$107,3,FALSE)</f>
        <v>1805</v>
      </c>
      <c r="P50" s="40" t="s">
        <v>300</v>
      </c>
      <c r="R50" s="40"/>
      <c r="S50" s="113">
        <f t="shared" si="16"/>
        <v>9630</v>
      </c>
      <c r="T50" s="54">
        <v>10700</v>
      </c>
      <c r="U50" s="103">
        <f t="shared" si="6"/>
        <v>10700</v>
      </c>
      <c r="V50" s="114">
        <f t="shared" si="17"/>
        <v>13546.2</v>
      </c>
      <c r="X50" s="45">
        <v>0</v>
      </c>
      <c r="Y50" s="40"/>
      <c r="Z50" s="40"/>
      <c r="AA50" s="40"/>
      <c r="AB50" s="40"/>
    </row>
    <row r="51" spans="1:29" s="40" customFormat="1" ht="18.75" x14ac:dyDescent="0.25">
      <c r="A51" s="133" t="s">
        <v>273</v>
      </c>
      <c r="B51" s="51" t="s">
        <v>340</v>
      </c>
      <c r="C51" s="94" t="s">
        <v>54</v>
      </c>
      <c r="D51" s="95" t="s">
        <v>383</v>
      </c>
      <c r="E51" s="96" t="s">
        <v>114</v>
      </c>
      <c r="F51" s="97" t="s">
        <v>270</v>
      </c>
      <c r="G51" s="98">
        <f t="shared" si="12"/>
        <v>12290</v>
      </c>
      <c r="H51" s="99">
        <f t="shared" si="13"/>
        <v>13460</v>
      </c>
      <c r="I51" s="99">
        <f t="shared" si="14"/>
        <v>13460</v>
      </c>
      <c r="J51" s="99">
        <f t="shared" si="15"/>
        <v>16560</v>
      </c>
      <c r="K51" s="57"/>
      <c r="L51" s="156" t="s">
        <v>384</v>
      </c>
      <c r="M51" s="52" t="s">
        <v>294</v>
      </c>
      <c r="N51" s="40">
        <v>0</v>
      </c>
      <c r="O51" s="53">
        <f>VLOOKUP(B51,DRAYAGE!$A$1:$C$107,3,FALSE)</f>
        <v>1805</v>
      </c>
      <c r="P51" s="40" t="s">
        <v>300</v>
      </c>
      <c r="S51" s="101">
        <f t="shared" si="16"/>
        <v>10485</v>
      </c>
      <c r="T51" s="54">
        <f>11500+150</f>
        <v>11650</v>
      </c>
      <c r="U51" s="103">
        <f t="shared" si="6"/>
        <v>11650</v>
      </c>
      <c r="V51" s="104">
        <f t="shared" si="17"/>
        <v>14748.9</v>
      </c>
      <c r="X51" s="40">
        <v>0</v>
      </c>
    </row>
    <row r="52" spans="1:29" s="40" customFormat="1" ht="14.45" customHeight="1" x14ac:dyDescent="0.25">
      <c r="A52" s="133" t="s">
        <v>58</v>
      </c>
      <c r="B52" s="51" t="s">
        <v>340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f t="shared" si="12"/>
        <v>12430</v>
      </c>
      <c r="H52" s="99">
        <f t="shared" si="13"/>
        <v>13610</v>
      </c>
      <c r="I52" s="99">
        <f t="shared" si="14"/>
        <v>13610</v>
      </c>
      <c r="J52" s="99">
        <f t="shared" si="15"/>
        <v>16750</v>
      </c>
      <c r="K52" s="57"/>
      <c r="L52" s="156" t="s">
        <v>384</v>
      </c>
      <c r="M52" s="52" t="s">
        <v>294</v>
      </c>
      <c r="N52" s="40">
        <v>0</v>
      </c>
      <c r="O52" s="53">
        <f>VLOOKUP(B52,DRAYAGE!$A$1:$C$107,3,FALSE)</f>
        <v>1805</v>
      </c>
      <c r="P52" s="40" t="s">
        <v>300</v>
      </c>
      <c r="S52" s="101">
        <f t="shared" si="16"/>
        <v>10620</v>
      </c>
      <c r="T52" s="54">
        <f>11500+300</f>
        <v>11800</v>
      </c>
      <c r="U52" s="103">
        <f t="shared" si="6"/>
        <v>11800</v>
      </c>
      <c r="V52" s="104">
        <f t="shared" si="17"/>
        <v>14938.8</v>
      </c>
      <c r="X52" s="40">
        <v>0</v>
      </c>
    </row>
    <row r="53" spans="1:29" s="40" customFormat="1" ht="14.45" customHeight="1" x14ac:dyDescent="0.25">
      <c r="A53" s="134" t="s">
        <v>98</v>
      </c>
      <c r="B53" s="88"/>
      <c r="C53" s="88"/>
      <c r="D53" s="88"/>
      <c r="E53" s="210"/>
      <c r="F53" s="211"/>
      <c r="G53" s="88"/>
      <c r="H53" s="88"/>
      <c r="I53" s="88"/>
      <c r="J53" s="88"/>
      <c r="K53" s="57"/>
      <c r="L53" s="89" t="s">
        <v>48</v>
      </c>
      <c r="M53" s="89" t="s">
        <v>261</v>
      </c>
      <c r="N53" s="90" t="s">
        <v>51</v>
      </c>
      <c r="O53" s="91" t="s">
        <v>50</v>
      </c>
      <c r="P53" s="91" t="s">
        <v>262</v>
      </c>
      <c r="Q53" s="91" t="s">
        <v>263</v>
      </c>
      <c r="R53" s="92" t="s">
        <v>52</v>
      </c>
      <c r="S53" s="92" t="s">
        <v>52</v>
      </c>
      <c r="T53" s="92" t="s">
        <v>53</v>
      </c>
      <c r="U53" s="92" t="s">
        <v>265</v>
      </c>
      <c r="V53" s="92" t="s">
        <v>266</v>
      </c>
      <c r="W53" s="92" t="s">
        <v>267</v>
      </c>
      <c r="X53" s="92" t="s">
        <v>268</v>
      </c>
      <c r="Y53" s="92" t="s">
        <v>52</v>
      </c>
      <c r="Z53" s="92" t="s">
        <v>53</v>
      </c>
      <c r="AA53" s="92" t="s">
        <v>265</v>
      </c>
      <c r="AB53" s="92" t="s">
        <v>266</v>
      </c>
      <c r="AC53" s="93" t="s">
        <v>269</v>
      </c>
    </row>
    <row r="54" spans="1:29" s="40" customFormat="1" ht="14.45" customHeight="1" x14ac:dyDescent="0.25">
      <c r="A54" s="133" t="s">
        <v>331</v>
      </c>
      <c r="B54" s="51" t="s">
        <v>342</v>
      </c>
      <c r="C54" s="94" t="s">
        <v>54</v>
      </c>
      <c r="D54" s="95" t="s">
        <v>383</v>
      </c>
      <c r="E54" s="96" t="s">
        <v>114</v>
      </c>
      <c r="F54" s="97" t="s">
        <v>270</v>
      </c>
      <c r="G54" s="98">
        <f>CEILING(S54+W54+X54+O54+N54+Y54,10)</f>
        <v>11730</v>
      </c>
      <c r="H54" s="99">
        <f>CEILING(T54+W54+X54+O54+N54+Z54,10)</f>
        <v>12700</v>
      </c>
      <c r="I54" s="99">
        <f>CEILING(U54+W54+X54+O54+N54+AA54,10)</f>
        <v>12700</v>
      </c>
      <c r="J54" s="99">
        <f>CEILING(V54+W54+X54+O54+N54+AB54,10)</f>
        <v>15280</v>
      </c>
      <c r="K54" s="57"/>
      <c r="L54" s="156" t="s">
        <v>384</v>
      </c>
      <c r="M54" s="52" t="s">
        <v>293</v>
      </c>
      <c r="N54" s="40">
        <v>0</v>
      </c>
      <c r="O54" s="53">
        <f>VLOOKUP(B54,DRAYAGE!$A$1:$C$107,3,FALSE)</f>
        <v>2995</v>
      </c>
      <c r="P54" s="40" t="s">
        <v>302</v>
      </c>
      <c r="R54" s="101">
        <v>19800</v>
      </c>
      <c r="S54" s="101">
        <f>0.9*T54</f>
        <v>8730</v>
      </c>
      <c r="T54" s="54">
        <f>9500+200</f>
        <v>9700</v>
      </c>
      <c r="U54" s="103">
        <f>T54</f>
        <v>9700</v>
      </c>
      <c r="V54" s="104">
        <f>U54*1.266</f>
        <v>12280.2</v>
      </c>
      <c r="W54" s="40">
        <v>0</v>
      </c>
    </row>
    <row r="55" spans="1:29" s="40" customFormat="1" ht="14.45" customHeight="1" x14ac:dyDescent="0.25">
      <c r="A55" s="133" t="s">
        <v>328</v>
      </c>
      <c r="B55" s="51" t="s">
        <v>342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>CEILING(S55+W55+X55+O55+N55+Y55,10)</f>
        <v>12000</v>
      </c>
      <c r="H55" s="99">
        <f>CEILING(T55+W55+X55+O55+N55+Z55,10)</f>
        <v>13000</v>
      </c>
      <c r="I55" s="99">
        <f>CEILING(U55+W55+X55+O55+N55+AA55,10)</f>
        <v>13000</v>
      </c>
      <c r="J55" s="99">
        <f>CEILING(V55+W55+X55+O55+N55+AB55,10)</f>
        <v>15660</v>
      </c>
      <c r="K55" s="57"/>
      <c r="L55" s="156" t="s">
        <v>384</v>
      </c>
      <c r="M55" s="52" t="s">
        <v>293</v>
      </c>
      <c r="N55" s="40">
        <v>0</v>
      </c>
      <c r="O55" s="53">
        <f>VLOOKUP(B55,DRAYAGE!$A$1:$C$107,3,FALSE)</f>
        <v>2995</v>
      </c>
      <c r="P55" s="40" t="s">
        <v>302</v>
      </c>
      <c r="R55" s="101">
        <v>19800</v>
      </c>
      <c r="S55" s="101">
        <f>0.9*T55</f>
        <v>9000</v>
      </c>
      <c r="T55" s="54">
        <f>9500+500</f>
        <v>10000</v>
      </c>
      <c r="U55" s="103">
        <f>T55</f>
        <v>10000</v>
      </c>
      <c r="V55" s="104">
        <f>U55*1.266</f>
        <v>12660</v>
      </c>
      <c r="W55" s="40">
        <v>0</v>
      </c>
    </row>
    <row r="56" spans="1:29" s="40" customFormat="1" ht="14.45" customHeight="1" x14ac:dyDescent="0.25">
      <c r="A56" s="133" t="s">
        <v>58</v>
      </c>
      <c r="B56" s="51" t="s">
        <v>342</v>
      </c>
      <c r="C56" s="94" t="s">
        <v>54</v>
      </c>
      <c r="D56" s="95" t="s">
        <v>383</v>
      </c>
      <c r="E56" s="96" t="s">
        <v>114</v>
      </c>
      <c r="F56" s="97" t="s">
        <v>270</v>
      </c>
      <c r="G56" s="98">
        <f>CEILING(S56+W56+X56+O56+N56+Y56,10)</f>
        <v>12450</v>
      </c>
      <c r="H56" s="99">
        <f>CEILING(T56+W56+X56+O56+N56+Z56,10)</f>
        <v>13500</v>
      </c>
      <c r="I56" s="99">
        <f>CEILING(U56+W56+X56+O56+N56+AA56,10)</f>
        <v>13500</v>
      </c>
      <c r="J56" s="99">
        <f>CEILING(V56+W56+X56+O56+N56+AB56,10)</f>
        <v>16290</v>
      </c>
      <c r="K56" s="57"/>
      <c r="L56" s="156" t="s">
        <v>384</v>
      </c>
      <c r="M56" s="52" t="s">
        <v>293</v>
      </c>
      <c r="N56" s="40">
        <v>0</v>
      </c>
      <c r="O56" s="53">
        <f>VLOOKUP(B56,DRAYAGE!$A$1:$C$107,3,FALSE)</f>
        <v>2995</v>
      </c>
      <c r="P56" s="40" t="s">
        <v>302</v>
      </c>
      <c r="R56" s="101">
        <v>19800</v>
      </c>
      <c r="S56" s="101">
        <f>0.9*T56</f>
        <v>9450</v>
      </c>
      <c r="T56" s="54">
        <f>10000+500</f>
        <v>10500</v>
      </c>
      <c r="U56" s="103">
        <f>T56</f>
        <v>10500</v>
      </c>
      <c r="V56" s="104">
        <f>U56*1.266</f>
        <v>13293</v>
      </c>
      <c r="W56" s="40">
        <v>0</v>
      </c>
    </row>
    <row r="57" spans="1:29" s="40" customFormat="1" ht="14.45" customHeight="1" x14ac:dyDescent="0.25">
      <c r="A57" s="133" t="s">
        <v>330</v>
      </c>
      <c r="B57" s="51" t="s">
        <v>342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f>CEILING(S57+W57+X57+O57+N57+Y57,10)</f>
        <v>11730</v>
      </c>
      <c r="H57" s="99">
        <f>CEILING(T57+W57+X57+O57+N57+Z57,10)</f>
        <v>12700</v>
      </c>
      <c r="I57" s="99">
        <f>CEILING(U57+W57+X57+O57+N57+AA57,10)</f>
        <v>12700</v>
      </c>
      <c r="J57" s="99">
        <f>CEILING(V57+W57+X57+O57+N57+AB57,10)</f>
        <v>15280</v>
      </c>
      <c r="K57" s="57"/>
      <c r="L57" s="156" t="s">
        <v>384</v>
      </c>
      <c r="M57" s="52" t="s">
        <v>293</v>
      </c>
      <c r="N57" s="40">
        <v>0</v>
      </c>
      <c r="O57" s="53">
        <f>VLOOKUP(B57,DRAYAGE!$A$1:$C$107,3,FALSE)</f>
        <v>2995</v>
      </c>
      <c r="P57" s="40" t="s">
        <v>302</v>
      </c>
      <c r="R57" s="101">
        <v>19800</v>
      </c>
      <c r="S57" s="101">
        <f>0.9*T57</f>
        <v>8730</v>
      </c>
      <c r="T57" s="54">
        <f>9500+200</f>
        <v>9700</v>
      </c>
      <c r="U57" s="103">
        <f>T57</f>
        <v>9700</v>
      </c>
      <c r="V57" s="104">
        <f>U57*1.266</f>
        <v>12280.2</v>
      </c>
      <c r="W57" s="40">
        <v>0</v>
      </c>
    </row>
    <row r="58" spans="1:29" s="40" customFormat="1" ht="14.45" customHeight="1" x14ac:dyDescent="0.25">
      <c r="A58" s="134" t="s">
        <v>336</v>
      </c>
      <c r="B58" s="88"/>
      <c r="C58" s="88"/>
      <c r="D58" s="88"/>
      <c r="E58" s="210"/>
      <c r="F58" s="211"/>
      <c r="G58" s="88"/>
      <c r="H58" s="88"/>
      <c r="I58" s="88"/>
      <c r="J58" s="88"/>
      <c r="K58" s="57"/>
      <c r="L58" s="89" t="s">
        <v>48</v>
      </c>
      <c r="M58" s="89" t="s">
        <v>261</v>
      </c>
      <c r="N58" s="90" t="s">
        <v>51</v>
      </c>
      <c r="O58" s="91" t="s">
        <v>50</v>
      </c>
      <c r="P58" s="91" t="s">
        <v>262</v>
      </c>
      <c r="Q58" s="91" t="s">
        <v>263</v>
      </c>
      <c r="R58" s="92" t="s">
        <v>52</v>
      </c>
      <c r="S58" s="92" t="s">
        <v>52</v>
      </c>
      <c r="T58" s="92" t="s">
        <v>53</v>
      </c>
      <c r="U58" s="92" t="s">
        <v>265</v>
      </c>
      <c r="V58" s="92" t="s">
        <v>266</v>
      </c>
      <c r="W58" s="92" t="s">
        <v>267</v>
      </c>
      <c r="X58" s="92" t="s">
        <v>268</v>
      </c>
      <c r="Y58" s="92" t="s">
        <v>52</v>
      </c>
      <c r="Z58" s="92" t="s">
        <v>53</v>
      </c>
      <c r="AA58" s="92" t="s">
        <v>265</v>
      </c>
      <c r="AB58" s="92" t="s">
        <v>266</v>
      </c>
      <c r="AC58" s="93" t="s">
        <v>269</v>
      </c>
    </row>
    <row r="59" spans="1:29" s="40" customFormat="1" ht="14.45" customHeight="1" x14ac:dyDescent="0.25">
      <c r="A59" s="133" t="s">
        <v>326</v>
      </c>
      <c r="B59" s="51" t="s">
        <v>343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v>18510</v>
      </c>
      <c r="H59" s="99">
        <v>20510</v>
      </c>
      <c r="I59" s="99">
        <v>20510</v>
      </c>
      <c r="J59" s="99">
        <v>25830</v>
      </c>
      <c r="K59" s="57"/>
      <c r="L59" s="156" t="s">
        <v>384</v>
      </c>
      <c r="M59" s="52" t="s">
        <v>295</v>
      </c>
      <c r="N59" s="40">
        <v>0</v>
      </c>
      <c r="O59" s="53">
        <f>VLOOKUP(B59,DRAYAGE!$A$1:$C$107,3,FALSE)</f>
        <v>1185</v>
      </c>
      <c r="P59" s="40" t="s">
        <v>361</v>
      </c>
      <c r="R59" s="101">
        <v>18000</v>
      </c>
      <c r="S59" s="101">
        <f>0.9*T59</f>
        <v>12285</v>
      </c>
      <c r="T59" s="54">
        <f>13250+400</f>
        <v>13650</v>
      </c>
      <c r="U59" s="103">
        <f>T59</f>
        <v>13650</v>
      </c>
      <c r="V59" s="104">
        <f>U59*1.266</f>
        <v>17280.900000000001</v>
      </c>
      <c r="W59" s="40">
        <v>0</v>
      </c>
    </row>
    <row r="60" spans="1:29" s="40" customFormat="1" ht="14.45" customHeight="1" x14ac:dyDescent="0.25">
      <c r="A60" s="133" t="s">
        <v>327</v>
      </c>
      <c r="B60" s="51" t="s">
        <v>343</v>
      </c>
      <c r="C60" s="94" t="s">
        <v>54</v>
      </c>
      <c r="D60" s="95" t="s">
        <v>383</v>
      </c>
      <c r="E60" s="96" t="s">
        <v>114</v>
      </c>
      <c r="F60" s="97" t="s">
        <v>270</v>
      </c>
      <c r="G60" s="98">
        <v>18510</v>
      </c>
      <c r="H60" s="99">
        <v>20510</v>
      </c>
      <c r="I60" s="99">
        <v>20510</v>
      </c>
      <c r="J60" s="99">
        <v>25830</v>
      </c>
      <c r="K60" s="57"/>
      <c r="L60" s="156" t="s">
        <v>384</v>
      </c>
      <c r="M60" s="52" t="s">
        <v>295</v>
      </c>
      <c r="N60" s="40">
        <v>0</v>
      </c>
      <c r="O60" s="53">
        <f>VLOOKUP(B60,DRAYAGE!$A$1:$C$107,3,FALSE)</f>
        <v>1185</v>
      </c>
      <c r="P60" s="40" t="s">
        <v>361</v>
      </c>
      <c r="R60" s="101">
        <v>18000</v>
      </c>
      <c r="S60" s="101">
        <f>0.9*T60</f>
        <v>12285</v>
      </c>
      <c r="T60" s="54">
        <f>13250+400</f>
        <v>13650</v>
      </c>
      <c r="U60" s="103">
        <f>T60</f>
        <v>13650</v>
      </c>
      <c r="V60" s="104">
        <f>U60*1.266</f>
        <v>17280.900000000001</v>
      </c>
      <c r="W60" s="40">
        <v>0</v>
      </c>
    </row>
    <row r="61" spans="1:29" s="40" customFormat="1" ht="14.45" customHeight="1" x14ac:dyDescent="0.25">
      <c r="A61" s="133" t="s">
        <v>328</v>
      </c>
      <c r="B61" s="51" t="s">
        <v>343</v>
      </c>
      <c r="C61" s="94" t="s">
        <v>54</v>
      </c>
      <c r="D61" s="95" t="s">
        <v>383</v>
      </c>
      <c r="E61" s="96" t="s">
        <v>114</v>
      </c>
      <c r="F61" s="97" t="s">
        <v>270</v>
      </c>
      <c r="G61" s="98">
        <v>18510</v>
      </c>
      <c r="H61" s="99">
        <v>20510</v>
      </c>
      <c r="I61" s="99">
        <v>20510</v>
      </c>
      <c r="J61" s="99">
        <v>25830</v>
      </c>
      <c r="K61" s="57"/>
      <c r="L61" s="156" t="s">
        <v>384</v>
      </c>
      <c r="M61" s="52" t="s">
        <v>295</v>
      </c>
      <c r="N61" s="40">
        <v>0</v>
      </c>
      <c r="O61" s="53">
        <f>VLOOKUP(B61,DRAYAGE!$A$1:$C$107,3,FALSE)</f>
        <v>1185</v>
      </c>
      <c r="P61" s="40" t="s">
        <v>361</v>
      </c>
      <c r="R61" s="101">
        <v>18000</v>
      </c>
      <c r="S61" s="101">
        <f>0.9*T61</f>
        <v>12465</v>
      </c>
      <c r="T61" s="54">
        <f>13250+600</f>
        <v>13850</v>
      </c>
      <c r="U61" s="103">
        <f>T61</f>
        <v>13850</v>
      </c>
      <c r="V61" s="104">
        <f>U61*1.266</f>
        <v>17534.099999999999</v>
      </c>
      <c r="W61" s="40">
        <v>0</v>
      </c>
    </row>
    <row r="62" spans="1:29" s="40" customFormat="1" ht="14.45" customHeight="1" x14ac:dyDescent="0.25">
      <c r="A62" s="134" t="s">
        <v>337</v>
      </c>
      <c r="B62" s="88"/>
      <c r="C62" s="88"/>
      <c r="D62" s="88"/>
      <c r="E62" s="210"/>
      <c r="F62" s="211"/>
      <c r="G62" s="88"/>
      <c r="H62" s="88"/>
      <c r="I62" s="88"/>
      <c r="J62" s="88"/>
      <c r="K62" s="57"/>
      <c r="L62" s="89" t="s">
        <v>48</v>
      </c>
      <c r="M62" s="89" t="s">
        <v>261</v>
      </c>
      <c r="N62" s="90" t="s">
        <v>51</v>
      </c>
      <c r="O62" s="91" t="s">
        <v>50</v>
      </c>
      <c r="P62" s="91" t="s">
        <v>262</v>
      </c>
      <c r="Q62" s="91" t="s">
        <v>263</v>
      </c>
      <c r="R62" s="91" t="s">
        <v>264</v>
      </c>
      <c r="S62" s="92" t="s">
        <v>52</v>
      </c>
      <c r="T62" s="92" t="s">
        <v>53</v>
      </c>
      <c r="U62" s="92" t="s">
        <v>265</v>
      </c>
      <c r="V62" s="92" t="s">
        <v>266</v>
      </c>
      <c r="W62" s="92" t="s">
        <v>267</v>
      </c>
      <c r="X62" s="92" t="s">
        <v>268</v>
      </c>
      <c r="Y62" s="92" t="s">
        <v>52</v>
      </c>
      <c r="Z62" s="92" t="s">
        <v>53</v>
      </c>
      <c r="AA62" s="92" t="s">
        <v>265</v>
      </c>
      <c r="AB62" s="92" t="s">
        <v>266</v>
      </c>
      <c r="AC62" s="93" t="s">
        <v>269</v>
      </c>
    </row>
    <row r="63" spans="1:29" s="40" customFormat="1" ht="18.75" x14ac:dyDescent="0.25">
      <c r="A63" s="133" t="s">
        <v>81</v>
      </c>
      <c r="B63" s="51" t="s">
        <v>344</v>
      </c>
      <c r="C63" s="94" t="s">
        <v>54</v>
      </c>
      <c r="D63" s="95" t="s">
        <v>383</v>
      </c>
      <c r="E63" s="96" t="s">
        <v>114</v>
      </c>
      <c r="F63" s="97" t="s">
        <v>270</v>
      </c>
      <c r="G63" s="98">
        <f t="shared" ref="G63:G68" si="18">CEILING(S63+W63+X63+O63+N63+Y63,10)</f>
        <v>10980</v>
      </c>
      <c r="H63" s="99">
        <f t="shared" ref="H63:H68" si="19">CEILING(T63+W63+X63+O63+N63+Z63,10)</f>
        <v>12050</v>
      </c>
      <c r="I63" s="99">
        <f t="shared" ref="I63:I68" si="20">CEILING(U63+W63+X63+O63+N63+AA63,10)</f>
        <v>12050</v>
      </c>
      <c r="J63" s="99">
        <f t="shared" ref="J63:J68" si="21">CEILING(V63+W63+X63+O63+N63+AB63,10)</f>
        <v>14900</v>
      </c>
      <c r="K63" s="57"/>
      <c r="L63" s="156" t="s">
        <v>384</v>
      </c>
      <c r="M63" s="52" t="s">
        <v>294</v>
      </c>
      <c r="N63" s="40">
        <v>0</v>
      </c>
      <c r="O63" s="53">
        <f>VLOOKUP(B63,DRAYAGE!$A$1:$C$107,3,FALSE)</f>
        <v>1345</v>
      </c>
      <c r="P63" s="40" t="s">
        <v>301</v>
      </c>
      <c r="S63" s="101">
        <f t="shared" ref="S63:S76" si="22">0.9*T63</f>
        <v>9630</v>
      </c>
      <c r="T63" s="54">
        <f t="shared" ref="T63:T68" si="23">T46</f>
        <v>10700</v>
      </c>
      <c r="U63" s="103">
        <f t="shared" si="6"/>
        <v>10700</v>
      </c>
      <c r="V63" s="104">
        <f t="shared" ref="V63:V68" si="24">U63*1.266</f>
        <v>13546.2</v>
      </c>
      <c r="X63" s="40">
        <v>0</v>
      </c>
    </row>
    <row r="64" spans="1:29" s="40" customFormat="1" ht="14.45" customHeight="1" x14ac:dyDescent="0.25">
      <c r="A64" s="133" t="s">
        <v>55</v>
      </c>
      <c r="B64" s="51" t="s">
        <v>344</v>
      </c>
      <c r="C64" s="94" t="s">
        <v>54</v>
      </c>
      <c r="D64" s="95" t="s">
        <v>383</v>
      </c>
      <c r="E64" s="96" t="s">
        <v>114</v>
      </c>
      <c r="F64" s="97" t="s">
        <v>270</v>
      </c>
      <c r="G64" s="98">
        <f t="shared" si="18"/>
        <v>10980</v>
      </c>
      <c r="H64" s="99">
        <f t="shared" si="19"/>
        <v>12050</v>
      </c>
      <c r="I64" s="99">
        <f t="shared" si="20"/>
        <v>12050</v>
      </c>
      <c r="J64" s="99">
        <f t="shared" si="21"/>
        <v>14900</v>
      </c>
      <c r="K64" s="57"/>
      <c r="L64" s="156" t="s">
        <v>384</v>
      </c>
      <c r="M64" s="52" t="s">
        <v>294</v>
      </c>
      <c r="N64" s="40">
        <v>0</v>
      </c>
      <c r="O64" s="53">
        <f>VLOOKUP(B64,DRAYAGE!$A$1:$C$107,3,FALSE)</f>
        <v>1345</v>
      </c>
      <c r="P64" s="40" t="s">
        <v>301</v>
      </c>
      <c r="S64" s="101">
        <f t="shared" si="22"/>
        <v>9630</v>
      </c>
      <c r="T64" s="54">
        <f t="shared" si="23"/>
        <v>10700</v>
      </c>
      <c r="U64" s="103">
        <f t="shared" si="6"/>
        <v>10700</v>
      </c>
      <c r="V64" s="104">
        <f t="shared" si="24"/>
        <v>13546.2</v>
      </c>
      <c r="X64" s="40">
        <v>0</v>
      </c>
    </row>
    <row r="65" spans="1:29" s="40" customFormat="1" ht="14.45" customHeight="1" x14ac:dyDescent="0.25">
      <c r="A65" s="133" t="s">
        <v>59</v>
      </c>
      <c r="B65" s="51" t="s">
        <v>344</v>
      </c>
      <c r="C65" s="94" t="s">
        <v>54</v>
      </c>
      <c r="D65" s="95" t="s">
        <v>383</v>
      </c>
      <c r="E65" s="96" t="s">
        <v>114</v>
      </c>
      <c r="F65" s="97" t="s">
        <v>270</v>
      </c>
      <c r="G65" s="98">
        <f t="shared" si="18"/>
        <v>10980</v>
      </c>
      <c r="H65" s="99">
        <f t="shared" si="19"/>
        <v>12050</v>
      </c>
      <c r="I65" s="99">
        <f t="shared" si="20"/>
        <v>12050</v>
      </c>
      <c r="J65" s="99">
        <f t="shared" si="21"/>
        <v>14900</v>
      </c>
      <c r="K65" s="57"/>
      <c r="L65" s="156" t="s">
        <v>384</v>
      </c>
      <c r="M65" s="52" t="s">
        <v>294</v>
      </c>
      <c r="N65" s="40">
        <v>0</v>
      </c>
      <c r="O65" s="53">
        <f>VLOOKUP(B65,DRAYAGE!$A$1:$C$107,3,FALSE)</f>
        <v>1345</v>
      </c>
      <c r="P65" s="40" t="s">
        <v>301</v>
      </c>
      <c r="S65" s="101">
        <f t="shared" si="22"/>
        <v>9630</v>
      </c>
      <c r="T65" s="54">
        <f t="shared" si="23"/>
        <v>10700</v>
      </c>
      <c r="U65" s="103">
        <f t="shared" si="6"/>
        <v>10700</v>
      </c>
      <c r="V65" s="104">
        <f t="shared" si="24"/>
        <v>13546.2</v>
      </c>
      <c r="X65" s="40">
        <v>0</v>
      </c>
    </row>
    <row r="66" spans="1:29" s="40" customFormat="1" ht="18.75" x14ac:dyDescent="0.25">
      <c r="A66" s="133" t="s">
        <v>60</v>
      </c>
      <c r="B66" s="51" t="s">
        <v>344</v>
      </c>
      <c r="C66" s="94" t="s">
        <v>54</v>
      </c>
      <c r="D66" s="95" t="s">
        <v>383</v>
      </c>
      <c r="E66" s="96" t="s">
        <v>114</v>
      </c>
      <c r="F66" s="97" t="s">
        <v>270</v>
      </c>
      <c r="G66" s="98">
        <f t="shared" si="18"/>
        <v>10980</v>
      </c>
      <c r="H66" s="99">
        <f t="shared" si="19"/>
        <v>12050</v>
      </c>
      <c r="I66" s="99">
        <f t="shared" si="20"/>
        <v>12050</v>
      </c>
      <c r="J66" s="99">
        <f t="shared" si="21"/>
        <v>14900</v>
      </c>
      <c r="K66" s="57"/>
      <c r="L66" s="156" t="s">
        <v>384</v>
      </c>
      <c r="M66" s="52" t="s">
        <v>294</v>
      </c>
      <c r="N66" s="40">
        <v>0</v>
      </c>
      <c r="O66" s="53">
        <f>VLOOKUP(B66,DRAYAGE!$A$1:$C$107,3,FALSE)</f>
        <v>1345</v>
      </c>
      <c r="P66" s="40" t="s">
        <v>301</v>
      </c>
      <c r="S66" s="101">
        <f t="shared" si="22"/>
        <v>9630</v>
      </c>
      <c r="T66" s="54">
        <f t="shared" si="23"/>
        <v>10700</v>
      </c>
      <c r="U66" s="103">
        <f t="shared" si="6"/>
        <v>10700</v>
      </c>
      <c r="V66" s="104">
        <f t="shared" si="24"/>
        <v>13546.2</v>
      </c>
      <c r="X66" s="40">
        <v>0</v>
      </c>
    </row>
    <row r="67" spans="1:29" s="40" customFormat="1" ht="14.45" customHeight="1" x14ac:dyDescent="0.25">
      <c r="A67" s="133" t="s">
        <v>61</v>
      </c>
      <c r="B67" s="51" t="s">
        <v>344</v>
      </c>
      <c r="C67" s="94" t="s">
        <v>54</v>
      </c>
      <c r="D67" s="95" t="s">
        <v>383</v>
      </c>
      <c r="E67" s="96" t="s">
        <v>114</v>
      </c>
      <c r="F67" s="97" t="s">
        <v>270</v>
      </c>
      <c r="G67" s="98">
        <f t="shared" si="18"/>
        <v>10980</v>
      </c>
      <c r="H67" s="99">
        <f t="shared" si="19"/>
        <v>12050</v>
      </c>
      <c r="I67" s="99">
        <f t="shared" si="20"/>
        <v>12050</v>
      </c>
      <c r="J67" s="99">
        <f t="shared" si="21"/>
        <v>14900</v>
      </c>
      <c r="K67" s="57"/>
      <c r="L67" s="156" t="s">
        <v>384</v>
      </c>
      <c r="M67" s="52" t="s">
        <v>294</v>
      </c>
      <c r="N67" s="40">
        <v>0</v>
      </c>
      <c r="O67" s="53">
        <f>VLOOKUP(B67,DRAYAGE!$A$1:$C$107,3,FALSE)</f>
        <v>1345</v>
      </c>
      <c r="P67" s="40" t="s">
        <v>301</v>
      </c>
      <c r="S67" s="101">
        <f t="shared" si="22"/>
        <v>9630</v>
      </c>
      <c r="T67" s="54">
        <f t="shared" si="23"/>
        <v>10700</v>
      </c>
      <c r="U67" s="103">
        <f t="shared" si="6"/>
        <v>10700</v>
      </c>
      <c r="V67" s="104">
        <f t="shared" si="24"/>
        <v>13546.2</v>
      </c>
      <c r="X67" s="40">
        <v>0</v>
      </c>
    </row>
    <row r="68" spans="1:29" s="40" customFormat="1" ht="18.75" x14ac:dyDescent="0.25">
      <c r="A68" s="133" t="s">
        <v>273</v>
      </c>
      <c r="B68" s="51" t="s">
        <v>344</v>
      </c>
      <c r="C68" s="94" t="s">
        <v>54</v>
      </c>
      <c r="D68" s="95" t="s">
        <v>383</v>
      </c>
      <c r="E68" s="96" t="s">
        <v>114</v>
      </c>
      <c r="F68" s="97" t="s">
        <v>270</v>
      </c>
      <c r="G68" s="98">
        <f t="shared" si="18"/>
        <v>11830</v>
      </c>
      <c r="H68" s="99">
        <f t="shared" si="19"/>
        <v>13000</v>
      </c>
      <c r="I68" s="99">
        <f t="shared" si="20"/>
        <v>13000</v>
      </c>
      <c r="J68" s="99">
        <f t="shared" si="21"/>
        <v>16100</v>
      </c>
      <c r="K68" s="57"/>
      <c r="L68" s="156" t="s">
        <v>384</v>
      </c>
      <c r="M68" s="52" t="s">
        <v>294</v>
      </c>
      <c r="N68" s="40">
        <v>0</v>
      </c>
      <c r="O68" s="53">
        <f>VLOOKUP(B68,DRAYAGE!$A$1:$C$107,3,FALSE)</f>
        <v>1345</v>
      </c>
      <c r="P68" s="40" t="s">
        <v>301</v>
      </c>
      <c r="S68" s="101">
        <f t="shared" si="22"/>
        <v>10485</v>
      </c>
      <c r="T68" s="54">
        <f t="shared" si="23"/>
        <v>11650</v>
      </c>
      <c r="U68" s="103">
        <f t="shared" si="6"/>
        <v>11650</v>
      </c>
      <c r="V68" s="104">
        <f t="shared" si="24"/>
        <v>14748.9</v>
      </c>
      <c r="X68" s="40">
        <v>0</v>
      </c>
    </row>
    <row r="69" spans="1:29" s="40" customFormat="1" ht="15.75" x14ac:dyDescent="0.25">
      <c r="A69" s="134" t="s">
        <v>389</v>
      </c>
      <c r="B69" s="88"/>
      <c r="C69" s="88"/>
      <c r="D69" s="88"/>
      <c r="E69" s="210"/>
      <c r="F69" s="211"/>
      <c r="G69" s="88"/>
      <c r="H69" s="88"/>
      <c r="I69" s="88"/>
      <c r="J69" s="88"/>
      <c r="K69" s="57"/>
      <c r="L69" s="89" t="s">
        <v>48</v>
      </c>
      <c r="M69" s="89" t="s">
        <v>261</v>
      </c>
      <c r="N69" s="90" t="s">
        <v>51</v>
      </c>
      <c r="O69" s="91" t="s">
        <v>50</v>
      </c>
      <c r="P69" s="91" t="s">
        <v>262</v>
      </c>
      <c r="Q69" s="91" t="s">
        <v>263</v>
      </c>
      <c r="R69" s="92" t="s">
        <v>52</v>
      </c>
      <c r="S69" s="92" t="s">
        <v>52</v>
      </c>
      <c r="T69" s="92" t="s">
        <v>53</v>
      </c>
      <c r="U69" s="92" t="s">
        <v>265</v>
      </c>
      <c r="V69" s="92" t="s">
        <v>266</v>
      </c>
      <c r="W69" s="92" t="s">
        <v>267</v>
      </c>
      <c r="X69" s="92" t="s">
        <v>268</v>
      </c>
      <c r="Y69" s="92" t="s">
        <v>52</v>
      </c>
      <c r="Z69" s="92" t="s">
        <v>53</v>
      </c>
      <c r="AA69" s="92" t="s">
        <v>265</v>
      </c>
      <c r="AB69" s="92" t="s">
        <v>266</v>
      </c>
      <c r="AC69" s="93" t="s">
        <v>269</v>
      </c>
    </row>
    <row r="70" spans="1:29" s="40" customFormat="1" ht="18.75" x14ac:dyDescent="0.25">
      <c r="A70" s="133" t="s">
        <v>55</v>
      </c>
      <c r="B70" s="51" t="s">
        <v>390</v>
      </c>
      <c r="C70" s="94" t="s">
        <v>54</v>
      </c>
      <c r="D70" s="95" t="s">
        <v>383</v>
      </c>
      <c r="E70" s="96" t="s">
        <v>114</v>
      </c>
      <c r="F70" s="97" t="s">
        <v>270</v>
      </c>
      <c r="G70" s="98">
        <f t="shared" ref="G70:G76" si="25">CEILING(S70+W70+X70+O70+N70+Y70,10)</f>
        <v>15240</v>
      </c>
      <c r="H70" s="99">
        <f t="shared" ref="H70:H76" si="26">CEILING(T70+W70+X70+O70+N70+Z70,10)</f>
        <v>16720</v>
      </c>
      <c r="I70" s="99">
        <f t="shared" ref="I70:I76" si="27">CEILING(U70+W70+X70+O70+N70+AA70,10)</f>
        <v>16720</v>
      </c>
      <c r="J70" s="99">
        <f t="shared" ref="J70:J76" si="28">CEILING(V70+W70+X70+O70+N70+AB70,10)</f>
        <v>20660</v>
      </c>
      <c r="K70" s="57"/>
      <c r="L70" s="156" t="s">
        <v>384</v>
      </c>
      <c r="M70" s="52" t="s">
        <v>397</v>
      </c>
      <c r="N70" s="40">
        <v>0</v>
      </c>
      <c r="O70" s="53">
        <f>VLOOKUP(B70,DRAYAGE!$A$1:$C$107,3,FALSE)</f>
        <v>1915</v>
      </c>
      <c r="P70" s="40" t="str">
        <f>VLOOKUP($B70,DRAYAGE!$A$1:$Q$23,14,FALSE)</f>
        <v>PCF, chassis split, drop fee</v>
      </c>
      <c r="R70" s="54">
        <v>11000</v>
      </c>
      <c r="S70" s="101">
        <f t="shared" si="22"/>
        <v>13320</v>
      </c>
      <c r="T70" s="54">
        <f>14550+250</f>
        <v>14800</v>
      </c>
      <c r="U70" s="103">
        <f t="shared" ref="U70:U76" si="29">T70</f>
        <v>14800</v>
      </c>
      <c r="V70" s="104">
        <f t="shared" ref="V70:V76" si="30">U70*1.266</f>
        <v>18736.8</v>
      </c>
    </row>
    <row r="71" spans="1:29" s="40" customFormat="1" ht="18.75" x14ac:dyDescent="0.25">
      <c r="A71" s="133" t="s">
        <v>55</v>
      </c>
      <c r="B71" s="51" t="s">
        <v>391</v>
      </c>
      <c r="C71" s="94" t="s">
        <v>54</v>
      </c>
      <c r="D71" s="95" t="s">
        <v>383</v>
      </c>
      <c r="E71" s="96" t="s">
        <v>114</v>
      </c>
      <c r="F71" s="97" t="s">
        <v>270</v>
      </c>
      <c r="G71" s="98">
        <f t="shared" si="25"/>
        <v>18100</v>
      </c>
      <c r="H71" s="99">
        <f t="shared" si="26"/>
        <v>19370</v>
      </c>
      <c r="I71" s="99">
        <f t="shared" si="27"/>
        <v>19370</v>
      </c>
      <c r="J71" s="99">
        <f t="shared" si="28"/>
        <v>22770</v>
      </c>
      <c r="K71" s="57"/>
      <c r="L71" s="156" t="s">
        <v>384</v>
      </c>
      <c r="M71" s="52" t="s">
        <v>398</v>
      </c>
      <c r="N71" s="40">
        <v>0</v>
      </c>
      <c r="O71" s="53">
        <f>VLOOKUP(B71,DRAYAGE!$A$1:$C$107,3,FALSE)</f>
        <v>6620</v>
      </c>
      <c r="P71" s="40" t="str">
        <f>VLOOKUP($B71,DRAYAGE!$A$1:$Q$23,14,FALSE)</f>
        <v>Rail fee, toll, drop</v>
      </c>
      <c r="R71" s="54">
        <v>11000</v>
      </c>
      <c r="S71" s="101">
        <f t="shared" si="22"/>
        <v>11475</v>
      </c>
      <c r="T71" s="54">
        <f>12500+250</f>
        <v>12750</v>
      </c>
      <c r="U71" s="103">
        <f t="shared" si="29"/>
        <v>12750</v>
      </c>
      <c r="V71" s="104">
        <f t="shared" si="30"/>
        <v>16141.5</v>
      </c>
    </row>
    <row r="72" spans="1:29" s="40" customFormat="1" ht="18.75" x14ac:dyDescent="0.25">
      <c r="A72" s="133" t="s">
        <v>55</v>
      </c>
      <c r="B72" s="51" t="s">
        <v>396</v>
      </c>
      <c r="C72" s="94" t="s">
        <v>54</v>
      </c>
      <c r="D72" s="95" t="s">
        <v>383</v>
      </c>
      <c r="E72" s="96" t="s">
        <v>114</v>
      </c>
      <c r="F72" s="97" t="s">
        <v>270</v>
      </c>
      <c r="G72" s="98">
        <f t="shared" si="25"/>
        <v>15790</v>
      </c>
      <c r="H72" s="99">
        <f t="shared" si="26"/>
        <v>17170</v>
      </c>
      <c r="I72" s="99">
        <f t="shared" si="27"/>
        <v>17170</v>
      </c>
      <c r="J72" s="99">
        <f t="shared" si="28"/>
        <v>20860</v>
      </c>
      <c r="K72" s="57"/>
      <c r="L72" s="156" t="s">
        <v>384</v>
      </c>
      <c r="M72" s="52" t="s">
        <v>399</v>
      </c>
      <c r="N72" s="40">
        <v>0</v>
      </c>
      <c r="O72" s="53">
        <f>VLOOKUP(B72,DRAYAGE!$A$1:$C$107,3,FALSE)</f>
        <v>3320</v>
      </c>
      <c r="P72" s="40" t="str">
        <f>VLOOKUP($B72,DRAYAGE!$A$1:$Q$23,14,FALSE)</f>
        <v>Rail fee, drop fee, toll fee</v>
      </c>
      <c r="R72" s="103">
        <v>11000</v>
      </c>
      <c r="S72" s="101">
        <f t="shared" si="22"/>
        <v>12465</v>
      </c>
      <c r="T72" s="54">
        <f>13550+300</f>
        <v>13850</v>
      </c>
      <c r="U72" s="103">
        <f t="shared" si="29"/>
        <v>13850</v>
      </c>
      <c r="V72" s="104">
        <f t="shared" si="30"/>
        <v>17534.099999999999</v>
      </c>
    </row>
    <row r="73" spans="1:29" s="40" customFormat="1" ht="18.75" x14ac:dyDescent="0.25">
      <c r="A73" s="133" t="s">
        <v>55</v>
      </c>
      <c r="B73" s="51" t="s">
        <v>392</v>
      </c>
      <c r="C73" s="94" t="s">
        <v>54</v>
      </c>
      <c r="D73" s="95" t="s">
        <v>383</v>
      </c>
      <c r="E73" s="96" t="s">
        <v>114</v>
      </c>
      <c r="F73" s="97" t="s">
        <v>270</v>
      </c>
      <c r="G73" s="98">
        <f t="shared" si="25"/>
        <v>15630</v>
      </c>
      <c r="H73" s="99">
        <f t="shared" si="26"/>
        <v>16910</v>
      </c>
      <c r="I73" s="99">
        <f t="shared" si="27"/>
        <v>16910</v>
      </c>
      <c r="J73" s="99">
        <f t="shared" si="28"/>
        <v>20300</v>
      </c>
      <c r="K73" s="57"/>
      <c r="L73" s="156" t="s">
        <v>384</v>
      </c>
      <c r="M73" s="52" t="s">
        <v>398</v>
      </c>
      <c r="N73" s="40">
        <v>0</v>
      </c>
      <c r="O73" s="53">
        <f>VLOOKUP(B73,DRAYAGE!$A$1:$C$107,3,FALSE)</f>
        <v>4155</v>
      </c>
      <c r="P73" s="40" t="str">
        <f>VLOOKUP($B73,DRAYAGE!$A$1:$Q$23,14,FALSE)</f>
        <v>Rail fee, chassis split, drop, toll</v>
      </c>
      <c r="R73" s="103">
        <v>11000</v>
      </c>
      <c r="S73" s="101">
        <f t="shared" si="22"/>
        <v>11475</v>
      </c>
      <c r="T73" s="54">
        <f>T71</f>
        <v>12750</v>
      </c>
      <c r="U73" s="103">
        <f t="shared" si="29"/>
        <v>12750</v>
      </c>
      <c r="V73" s="104">
        <f t="shared" si="30"/>
        <v>16141.5</v>
      </c>
    </row>
    <row r="74" spans="1:29" s="40" customFormat="1" ht="18.75" x14ac:dyDescent="0.25">
      <c r="A74" s="133" t="s">
        <v>55</v>
      </c>
      <c r="B74" s="51" t="s">
        <v>395</v>
      </c>
      <c r="C74" s="94" t="s">
        <v>54</v>
      </c>
      <c r="D74" s="95" t="s">
        <v>383</v>
      </c>
      <c r="E74" s="96" t="s">
        <v>114</v>
      </c>
      <c r="F74" s="97" t="s">
        <v>270</v>
      </c>
      <c r="G74" s="98">
        <f t="shared" si="25"/>
        <v>14700</v>
      </c>
      <c r="H74" s="99">
        <f t="shared" si="26"/>
        <v>16080</v>
      </c>
      <c r="I74" s="99">
        <f t="shared" si="27"/>
        <v>16080</v>
      </c>
      <c r="J74" s="99">
        <f t="shared" si="28"/>
        <v>19760</v>
      </c>
      <c r="K74" s="57"/>
      <c r="L74" s="156" t="s">
        <v>384</v>
      </c>
      <c r="M74" s="52" t="s">
        <v>400</v>
      </c>
      <c r="N74" s="40">
        <v>0</v>
      </c>
      <c r="O74" s="53">
        <f>VLOOKUP(B74,DRAYAGE!$A$1:$C$107,3,FALSE)</f>
        <v>2280</v>
      </c>
      <c r="P74" s="40" t="str">
        <f>VLOOKUP($B74,DRAYAGE!$A$1:$Q$23,14,FALSE)</f>
        <v>Rail fee, chassis split, drop</v>
      </c>
      <c r="R74" s="54">
        <v>11000</v>
      </c>
      <c r="S74" s="101">
        <f t="shared" si="22"/>
        <v>12420</v>
      </c>
      <c r="T74" s="54">
        <f>13500+300</f>
        <v>13800</v>
      </c>
      <c r="U74" s="103">
        <f t="shared" si="29"/>
        <v>13800</v>
      </c>
      <c r="V74" s="104">
        <f t="shared" si="30"/>
        <v>17470.8</v>
      </c>
    </row>
    <row r="75" spans="1:29" s="40" customFormat="1" ht="18.75" x14ac:dyDescent="0.25">
      <c r="A75" s="133" t="s">
        <v>55</v>
      </c>
      <c r="B75" s="51" t="s">
        <v>393</v>
      </c>
      <c r="C75" s="94" t="s">
        <v>54</v>
      </c>
      <c r="D75" s="95" t="s">
        <v>383</v>
      </c>
      <c r="E75" s="96" t="s">
        <v>114</v>
      </c>
      <c r="F75" s="97" t="s">
        <v>270</v>
      </c>
      <c r="G75" s="98">
        <f t="shared" si="25"/>
        <v>14280</v>
      </c>
      <c r="H75" s="99">
        <f t="shared" si="26"/>
        <v>15560</v>
      </c>
      <c r="I75" s="99">
        <f t="shared" si="27"/>
        <v>15560</v>
      </c>
      <c r="J75" s="99">
        <f t="shared" si="28"/>
        <v>18950</v>
      </c>
      <c r="K75" s="57"/>
      <c r="L75" s="156" t="s">
        <v>384</v>
      </c>
      <c r="M75" s="52" t="s">
        <v>398</v>
      </c>
      <c r="N75" s="40">
        <v>0</v>
      </c>
      <c r="O75" s="53">
        <f>VLOOKUP(B75,DRAYAGE!$A$1:$C$107,3,FALSE)</f>
        <v>2805</v>
      </c>
      <c r="P75" s="40" t="str">
        <f>VLOOKUP($B75,DRAYAGE!$A$1:$Q$23,14,FALSE)</f>
        <v>Rail fee, chassis split, drop, toll</v>
      </c>
      <c r="R75" s="54">
        <v>11000</v>
      </c>
      <c r="S75" s="101">
        <f t="shared" si="22"/>
        <v>11475</v>
      </c>
      <c r="T75" s="54">
        <f>T71</f>
        <v>12750</v>
      </c>
      <c r="U75" s="103">
        <f t="shared" si="29"/>
        <v>12750</v>
      </c>
      <c r="V75" s="104">
        <f t="shared" si="30"/>
        <v>16141.5</v>
      </c>
    </row>
    <row r="76" spans="1:29" s="40" customFormat="1" ht="18.75" x14ac:dyDescent="0.25">
      <c r="A76" s="133" t="s">
        <v>55</v>
      </c>
      <c r="B76" s="51" t="s">
        <v>394</v>
      </c>
      <c r="C76" s="94" t="s">
        <v>54</v>
      </c>
      <c r="D76" s="95" t="s">
        <v>383</v>
      </c>
      <c r="E76" s="96" t="s">
        <v>114</v>
      </c>
      <c r="F76" s="97" t="s">
        <v>270</v>
      </c>
      <c r="G76" s="98">
        <f t="shared" si="25"/>
        <v>13620</v>
      </c>
      <c r="H76" s="99">
        <f t="shared" si="26"/>
        <v>14940</v>
      </c>
      <c r="I76" s="99">
        <f t="shared" si="27"/>
        <v>14940</v>
      </c>
      <c r="J76" s="99">
        <f t="shared" si="28"/>
        <v>18440</v>
      </c>
      <c r="K76" s="57"/>
      <c r="L76" s="156" t="s">
        <v>384</v>
      </c>
      <c r="M76" s="52" t="s">
        <v>401</v>
      </c>
      <c r="N76" s="40">
        <v>0</v>
      </c>
      <c r="O76" s="53">
        <f>VLOOKUP(B76,DRAYAGE!$A$1:$C$107,3,FALSE)</f>
        <v>1785</v>
      </c>
      <c r="P76" s="40" t="str">
        <f>VLOOKUP($B76,DRAYAGE!$A$1:$Q$23,14,FALSE)</f>
        <v>chassis split, drop</v>
      </c>
      <c r="R76" s="101">
        <v>9900</v>
      </c>
      <c r="S76" s="101">
        <f t="shared" si="22"/>
        <v>11835</v>
      </c>
      <c r="T76" s="54">
        <f>12850+300</f>
        <v>13150</v>
      </c>
      <c r="U76" s="103">
        <f t="shared" si="29"/>
        <v>13150</v>
      </c>
      <c r="V76" s="104">
        <f t="shared" si="30"/>
        <v>16647.900000000001</v>
      </c>
    </row>
    <row r="77" spans="1:29" s="40" customFormat="1" ht="14.45" customHeight="1" x14ac:dyDescent="0.25">
      <c r="A77" s="212" t="s">
        <v>271</v>
      </c>
      <c r="B77" s="212"/>
      <c r="C77" s="212"/>
      <c r="D77" s="212"/>
      <c r="E77" s="212"/>
      <c r="F77" s="212"/>
      <c r="G77" s="212"/>
      <c r="H77" s="212"/>
      <c r="I77" s="212"/>
      <c r="J77" s="212"/>
      <c r="K77" s="57"/>
      <c r="L77" s="100"/>
      <c r="M77" s="100"/>
      <c r="S77" s="37"/>
      <c r="T77" s="37"/>
      <c r="U77" s="37"/>
      <c r="V77" s="37"/>
      <c r="W77" s="37"/>
    </row>
    <row r="78" spans="1:29" s="32" customFormat="1" ht="12.75" x14ac:dyDescent="0.2">
      <c r="A78" s="31"/>
      <c r="B78" s="33"/>
      <c r="C78" s="33"/>
      <c r="D78" s="33"/>
      <c r="E78" s="33"/>
      <c r="F78" s="34"/>
      <c r="G78" s="34"/>
      <c r="H78" s="34"/>
      <c r="I78" s="34"/>
      <c r="J78" s="34"/>
      <c r="K78" s="57"/>
      <c r="L78" s="27"/>
      <c r="M78" s="27"/>
      <c r="N78" s="30"/>
      <c r="O78" s="30"/>
      <c r="P78" s="30"/>
      <c r="Q78" s="30"/>
      <c r="R78" s="30"/>
      <c r="S78" s="37"/>
      <c r="T78" s="37"/>
      <c r="U78" s="37"/>
      <c r="V78" s="37"/>
      <c r="W78" s="37"/>
    </row>
    <row r="79" spans="1:29" s="37" customFormat="1" ht="14.45" customHeight="1" x14ac:dyDescent="0.25">
      <c r="A79" s="180" t="s">
        <v>111</v>
      </c>
      <c r="B79" s="180"/>
      <c r="C79" s="180"/>
      <c r="D79" s="180"/>
      <c r="E79" s="180"/>
      <c r="F79" s="180"/>
      <c r="G79" s="180"/>
      <c r="H79" s="180"/>
      <c r="I79" s="180"/>
      <c r="J79" s="180"/>
      <c r="K79" s="57"/>
    </row>
    <row r="80" spans="1:29" s="37" customFormat="1" ht="14.45" customHeight="1" x14ac:dyDescent="0.25">
      <c r="A80" s="208" t="s">
        <v>112</v>
      </c>
      <c r="B80" s="208"/>
      <c r="C80" s="208"/>
      <c r="D80" s="208"/>
      <c r="E80" s="208"/>
      <c r="F80" s="208"/>
      <c r="G80" s="208"/>
      <c r="H80" s="208"/>
      <c r="I80" s="208"/>
      <c r="J80" s="208"/>
      <c r="K80" s="57"/>
    </row>
    <row r="81" spans="1:17" s="37" customFormat="1" ht="14.45" customHeight="1" x14ac:dyDescent="0.25">
      <c r="A81" s="186" t="s">
        <v>67</v>
      </c>
      <c r="B81" s="186"/>
      <c r="C81" s="186"/>
      <c r="D81" s="186"/>
      <c r="E81" s="186" t="s">
        <v>68</v>
      </c>
      <c r="F81" s="186"/>
      <c r="G81" s="186"/>
      <c r="H81" s="186"/>
      <c r="I81" s="186"/>
      <c r="J81" s="186"/>
      <c r="K81" s="57"/>
      <c r="L81" s="209" t="s">
        <v>113</v>
      </c>
      <c r="M81" s="209"/>
      <c r="N81" s="209"/>
      <c r="O81" s="209"/>
      <c r="P81" s="209"/>
      <c r="Q81" s="209"/>
    </row>
    <row r="82" spans="1:17" s="37" customFormat="1" ht="14.45" customHeight="1" x14ac:dyDescent="0.25">
      <c r="A82" s="196" t="s">
        <v>69</v>
      </c>
      <c r="B82" s="196"/>
      <c r="C82" s="196"/>
      <c r="D82" s="196"/>
      <c r="E82" s="58" t="s">
        <v>114</v>
      </c>
      <c r="F82" s="196" t="s">
        <v>70</v>
      </c>
      <c r="G82" s="196"/>
      <c r="H82" s="196"/>
      <c r="I82" s="196"/>
      <c r="J82" s="196"/>
      <c r="K82" s="57"/>
      <c r="L82" s="197" t="s">
        <v>115</v>
      </c>
      <c r="M82" s="197"/>
      <c r="N82" s="197"/>
      <c r="O82" s="197"/>
      <c r="P82" s="197"/>
      <c r="Q82" s="197"/>
    </row>
    <row r="83" spans="1:17" s="37" customFormat="1" ht="14.45" customHeight="1" x14ac:dyDescent="0.25">
      <c r="A83" s="196" t="s">
        <v>71</v>
      </c>
      <c r="B83" s="196"/>
      <c r="C83" s="196"/>
      <c r="D83" s="201"/>
      <c r="E83" s="58" t="s">
        <v>114</v>
      </c>
      <c r="F83" s="196" t="s">
        <v>116</v>
      </c>
      <c r="G83" s="196"/>
      <c r="H83" s="196"/>
      <c r="I83" s="196"/>
      <c r="J83" s="196"/>
      <c r="K83" s="57"/>
      <c r="L83" s="197"/>
      <c r="M83" s="197"/>
      <c r="N83" s="197"/>
      <c r="O83" s="197"/>
      <c r="P83" s="197"/>
      <c r="Q83" s="197"/>
    </row>
    <row r="84" spans="1:17" s="37" customFormat="1" ht="18" customHeight="1" x14ac:dyDescent="0.25">
      <c r="A84" s="196" t="s">
        <v>117</v>
      </c>
      <c r="B84" s="196"/>
      <c r="C84" s="196"/>
      <c r="D84" s="201"/>
      <c r="E84" s="58" t="s">
        <v>114</v>
      </c>
      <c r="F84" s="196" t="s">
        <v>306</v>
      </c>
      <c r="G84" s="196"/>
      <c r="H84" s="196"/>
      <c r="I84" s="196"/>
      <c r="J84" s="196"/>
      <c r="K84" s="57"/>
      <c r="L84" s="59" t="s">
        <v>118</v>
      </c>
      <c r="M84" s="129"/>
      <c r="N84" s="129"/>
      <c r="O84" s="129"/>
      <c r="P84" s="129"/>
      <c r="Q84" s="129"/>
    </row>
    <row r="85" spans="1:17" s="37" customFormat="1" ht="32.65" customHeight="1" x14ac:dyDescent="0.25">
      <c r="A85" s="202" t="s">
        <v>388</v>
      </c>
      <c r="B85" s="202"/>
      <c r="C85" s="202"/>
      <c r="D85" s="203"/>
      <c r="E85" s="58" t="s">
        <v>127</v>
      </c>
      <c r="F85" s="185" t="s">
        <v>418</v>
      </c>
      <c r="G85" s="185"/>
      <c r="H85" s="185"/>
      <c r="I85" s="185"/>
      <c r="J85" s="185"/>
      <c r="K85" s="57"/>
      <c r="L85" s="59" t="s">
        <v>118</v>
      </c>
      <c r="M85" s="129"/>
      <c r="N85" s="129"/>
      <c r="O85" s="129"/>
      <c r="P85" s="129"/>
      <c r="Q85" s="129"/>
    </row>
    <row r="86" spans="1:17" s="37" customFormat="1" ht="36.950000000000003" customHeight="1" x14ac:dyDescent="0.25">
      <c r="A86" s="196" t="s">
        <v>367</v>
      </c>
      <c r="B86" s="196"/>
      <c r="C86" s="196"/>
      <c r="D86" s="201"/>
      <c r="E86" s="58" t="s">
        <v>114</v>
      </c>
      <c r="F86" s="185" t="s">
        <v>368</v>
      </c>
      <c r="G86" s="185"/>
      <c r="H86" s="185"/>
      <c r="I86" s="185"/>
      <c r="J86" s="185"/>
      <c r="K86" s="57"/>
      <c r="L86" s="59" t="s">
        <v>118</v>
      </c>
      <c r="M86" s="129"/>
      <c r="N86" s="129"/>
      <c r="O86" s="129"/>
      <c r="P86" s="129"/>
      <c r="Q86" s="129"/>
    </row>
    <row r="87" spans="1:17" s="37" customFormat="1" ht="40.5" customHeight="1" x14ac:dyDescent="0.25">
      <c r="A87" s="229" t="s">
        <v>309</v>
      </c>
      <c r="B87" s="229"/>
      <c r="C87" s="229"/>
      <c r="D87" s="198"/>
      <c r="E87" s="58" t="s">
        <v>114</v>
      </c>
      <c r="F87" s="229" t="s">
        <v>310</v>
      </c>
      <c r="G87" s="229"/>
      <c r="H87" s="229"/>
      <c r="I87" s="229"/>
      <c r="J87" s="229"/>
      <c r="K87" s="132"/>
      <c r="L87" s="59" t="s">
        <v>118</v>
      </c>
      <c r="M87" s="129"/>
      <c r="N87" s="129"/>
      <c r="O87" s="129"/>
      <c r="P87" s="129"/>
      <c r="Q87" s="129"/>
    </row>
    <row r="88" spans="1:17" s="37" customFormat="1" ht="14.45" customHeight="1" x14ac:dyDescent="0.25">
      <c r="A88" s="196" t="s">
        <v>119</v>
      </c>
      <c r="B88" s="196"/>
      <c r="C88" s="196"/>
      <c r="D88" s="196"/>
      <c r="E88" s="58" t="s">
        <v>114</v>
      </c>
      <c r="F88" s="196" t="s">
        <v>120</v>
      </c>
      <c r="G88" s="196"/>
      <c r="H88" s="196"/>
      <c r="I88" s="196"/>
      <c r="J88" s="196"/>
      <c r="K88" s="132"/>
      <c r="L88" s="197" t="s">
        <v>121</v>
      </c>
      <c r="M88" s="197"/>
      <c r="N88" s="197"/>
      <c r="O88" s="197"/>
      <c r="P88" s="197"/>
      <c r="Q88" s="197"/>
    </row>
    <row r="89" spans="1:17" s="37" customFormat="1" ht="14.45" customHeight="1" x14ac:dyDescent="0.25">
      <c r="A89" s="196" t="s">
        <v>122</v>
      </c>
      <c r="B89" s="196"/>
      <c r="C89" s="196"/>
      <c r="D89" s="196"/>
      <c r="E89" s="58" t="s">
        <v>114</v>
      </c>
      <c r="F89" s="196" t="s">
        <v>123</v>
      </c>
      <c r="G89" s="196"/>
      <c r="H89" s="196"/>
      <c r="I89" s="196"/>
      <c r="J89" s="196"/>
      <c r="K89" s="132"/>
      <c r="L89" s="197"/>
      <c r="M89" s="197"/>
      <c r="N89" s="197"/>
      <c r="O89" s="197"/>
      <c r="P89" s="197"/>
      <c r="Q89" s="197"/>
    </row>
    <row r="90" spans="1:17" s="37" customFormat="1" ht="14.45" customHeight="1" x14ac:dyDescent="0.25">
      <c r="A90" s="196" t="s">
        <v>277</v>
      </c>
      <c r="B90" s="196"/>
      <c r="C90" s="196"/>
      <c r="D90" s="196"/>
      <c r="E90" s="58" t="s">
        <v>114</v>
      </c>
      <c r="F90" s="196" t="s">
        <v>278</v>
      </c>
      <c r="G90" s="196"/>
      <c r="H90" s="196"/>
      <c r="I90" s="196"/>
      <c r="J90" s="196"/>
      <c r="K90" s="132"/>
      <c r="L90" s="197"/>
      <c r="M90" s="197"/>
      <c r="N90" s="197"/>
      <c r="O90" s="197"/>
      <c r="P90" s="197"/>
      <c r="Q90" s="197"/>
    </row>
    <row r="91" spans="1:17" s="37" customFormat="1" ht="14.45" customHeight="1" x14ac:dyDescent="0.25">
      <c r="A91" s="196" t="s">
        <v>124</v>
      </c>
      <c r="B91" s="196"/>
      <c r="C91" s="196"/>
      <c r="D91" s="196"/>
      <c r="E91" s="58" t="s">
        <v>114</v>
      </c>
      <c r="F91" s="196" t="s">
        <v>125</v>
      </c>
      <c r="G91" s="196"/>
      <c r="H91" s="196"/>
      <c r="I91" s="196"/>
      <c r="J91" s="196"/>
      <c r="K91" s="132"/>
      <c r="L91" s="197"/>
      <c r="M91" s="197"/>
      <c r="N91" s="197"/>
      <c r="O91" s="197"/>
      <c r="P91" s="197"/>
      <c r="Q91" s="197"/>
    </row>
    <row r="92" spans="1:17" s="37" customFormat="1" ht="18.95" customHeight="1" x14ac:dyDescent="0.25">
      <c r="A92" s="231" t="s">
        <v>126</v>
      </c>
      <c r="B92" s="231"/>
      <c r="C92" s="231"/>
      <c r="D92" s="232"/>
      <c r="E92" s="145" t="s">
        <v>127</v>
      </c>
      <c r="F92" s="150" t="s">
        <v>409</v>
      </c>
      <c r="G92" s="233" t="s">
        <v>410</v>
      </c>
      <c r="H92" s="233"/>
      <c r="I92" s="233"/>
      <c r="J92" s="233"/>
      <c r="K92" s="132"/>
      <c r="L92" s="197" t="s">
        <v>130</v>
      </c>
      <c r="M92" s="197"/>
      <c r="N92" s="197"/>
      <c r="O92" s="197"/>
      <c r="P92" s="197"/>
      <c r="Q92" s="197"/>
    </row>
    <row r="93" spans="1:17" s="37" customFormat="1" ht="24.95" customHeight="1" x14ac:dyDescent="0.25">
      <c r="A93" s="196" t="s">
        <v>126</v>
      </c>
      <c r="B93" s="196"/>
      <c r="C93" s="196"/>
      <c r="D93" s="196"/>
      <c r="E93" s="58" t="s">
        <v>127</v>
      </c>
      <c r="F93" s="128" t="s">
        <v>131</v>
      </c>
      <c r="G93" s="185" t="s">
        <v>374</v>
      </c>
      <c r="H93" s="185"/>
      <c r="I93" s="185"/>
      <c r="J93" s="185"/>
      <c r="K93" s="132"/>
      <c r="L93" s="197" t="s">
        <v>130</v>
      </c>
      <c r="M93" s="197"/>
      <c r="N93" s="197"/>
      <c r="O93" s="197"/>
      <c r="P93" s="197"/>
      <c r="Q93" s="197"/>
    </row>
    <row r="94" spans="1:17" s="37" customFormat="1" ht="24.95" customHeight="1" x14ac:dyDescent="0.25">
      <c r="A94" s="196" t="s">
        <v>372</v>
      </c>
      <c r="B94" s="196"/>
      <c r="C94" s="196"/>
      <c r="D94" s="196"/>
      <c r="E94" s="58" t="s">
        <v>127</v>
      </c>
      <c r="F94" s="128" t="s">
        <v>131</v>
      </c>
      <c r="G94" s="185" t="s">
        <v>385</v>
      </c>
      <c r="H94" s="185"/>
      <c r="I94" s="185"/>
      <c r="J94" s="185"/>
      <c r="K94" s="132"/>
      <c r="L94" s="197" t="s">
        <v>130</v>
      </c>
      <c r="M94" s="197"/>
      <c r="N94" s="197"/>
      <c r="O94" s="197"/>
      <c r="P94" s="197"/>
      <c r="Q94" s="197"/>
    </row>
    <row r="95" spans="1:17" s="37" customFormat="1" ht="37.5" customHeight="1" x14ac:dyDescent="0.25">
      <c r="A95" s="198" t="s">
        <v>311</v>
      </c>
      <c r="B95" s="199"/>
      <c r="C95" s="199"/>
      <c r="D95" s="200"/>
      <c r="E95" s="198" t="s">
        <v>312</v>
      </c>
      <c r="F95" s="199"/>
      <c r="G95" s="199"/>
      <c r="H95" s="199"/>
      <c r="I95" s="199"/>
      <c r="J95" s="200"/>
      <c r="K95" s="132"/>
      <c r="L95" s="197"/>
      <c r="M95" s="197"/>
      <c r="N95" s="197"/>
      <c r="O95" s="197"/>
      <c r="P95" s="197"/>
      <c r="Q95" s="197"/>
    </row>
    <row r="96" spans="1:17" s="37" customFormat="1" ht="14.45" customHeight="1" x14ac:dyDescent="0.25">
      <c r="A96" s="180" t="s">
        <v>133</v>
      </c>
      <c r="B96" s="180"/>
      <c r="C96" s="180"/>
      <c r="D96" s="180"/>
      <c r="E96" s="180"/>
      <c r="F96" s="180"/>
      <c r="G96" s="180"/>
      <c r="H96" s="180"/>
      <c r="I96" s="180"/>
      <c r="J96" s="180"/>
      <c r="K96" s="57"/>
      <c r="L96" s="129"/>
      <c r="M96" s="129"/>
    </row>
    <row r="97" spans="1:13" s="37" customFormat="1" ht="14.45" customHeight="1" x14ac:dyDescent="0.2">
      <c r="A97" s="60" t="s">
        <v>134</v>
      </c>
      <c r="B97" s="60" t="s">
        <v>135</v>
      </c>
      <c r="C97" s="60" t="s">
        <v>136</v>
      </c>
      <c r="D97" s="193" t="s">
        <v>137</v>
      </c>
      <c r="E97" s="194"/>
      <c r="F97" s="195"/>
      <c r="G97" s="61" t="s">
        <v>138</v>
      </c>
      <c r="H97" s="60" t="s">
        <v>139</v>
      </c>
      <c r="I97" s="61" t="s">
        <v>140</v>
      </c>
      <c r="J97" s="61" t="s">
        <v>141</v>
      </c>
      <c r="K97" s="57"/>
      <c r="L97" s="129"/>
      <c r="M97" s="129"/>
    </row>
    <row r="98" spans="1:13" s="37" customFormat="1" ht="14.45" customHeight="1" x14ac:dyDescent="0.2">
      <c r="A98" s="62" t="s">
        <v>142</v>
      </c>
      <c r="B98" s="62" t="s">
        <v>49</v>
      </c>
      <c r="C98" s="62" t="s">
        <v>143</v>
      </c>
      <c r="D98" s="187" t="s">
        <v>144</v>
      </c>
      <c r="E98" s="188"/>
      <c r="F98" s="189"/>
      <c r="G98" s="63">
        <v>50</v>
      </c>
      <c r="H98" s="62" t="s">
        <v>145</v>
      </c>
      <c r="I98" s="63">
        <v>150</v>
      </c>
      <c r="J98" s="63" t="s">
        <v>110</v>
      </c>
      <c r="K98" s="57"/>
      <c r="L98" s="129"/>
      <c r="M98" s="129"/>
    </row>
    <row r="99" spans="1:13" s="37" customFormat="1" ht="14.45" hidden="1" customHeight="1" x14ac:dyDescent="0.2">
      <c r="A99" s="62" t="s">
        <v>142</v>
      </c>
      <c r="B99" s="62" t="s">
        <v>146</v>
      </c>
      <c r="C99" s="62" t="s">
        <v>147</v>
      </c>
      <c r="D99" s="187" t="s">
        <v>148</v>
      </c>
      <c r="E99" s="188"/>
      <c r="F99" s="189"/>
      <c r="G99" s="63">
        <v>3</v>
      </c>
      <c r="H99" s="62" t="s">
        <v>149</v>
      </c>
      <c r="I99" s="63">
        <v>3</v>
      </c>
      <c r="J99" s="63" t="s">
        <v>110</v>
      </c>
      <c r="K99" s="57"/>
      <c r="L99" s="129"/>
      <c r="M99" s="129"/>
    </row>
    <row r="100" spans="1:13" s="37" customFormat="1" ht="14.45" hidden="1" customHeight="1" x14ac:dyDescent="0.2">
      <c r="A100" s="62" t="s">
        <v>150</v>
      </c>
      <c r="B100" s="62" t="s">
        <v>146</v>
      </c>
      <c r="C100" s="62" t="s">
        <v>147</v>
      </c>
      <c r="D100" s="187" t="s">
        <v>151</v>
      </c>
      <c r="E100" s="188"/>
      <c r="F100" s="189"/>
      <c r="G100" s="63">
        <v>3</v>
      </c>
      <c r="H100" s="62" t="s">
        <v>152</v>
      </c>
      <c r="I100" s="63">
        <v>3</v>
      </c>
      <c r="J100" s="63" t="s">
        <v>110</v>
      </c>
      <c r="K100" s="57"/>
      <c r="L100" s="129"/>
      <c r="M100" s="129"/>
    </row>
    <row r="101" spans="1:13" s="37" customFormat="1" ht="14.45" customHeight="1" x14ac:dyDescent="0.2">
      <c r="A101" s="62" t="s">
        <v>173</v>
      </c>
      <c r="B101" s="62" t="s">
        <v>49</v>
      </c>
      <c r="C101" s="62" t="s">
        <v>143</v>
      </c>
      <c r="D101" s="187" t="s">
        <v>313</v>
      </c>
      <c r="E101" s="188"/>
      <c r="F101" s="189"/>
      <c r="G101" s="66">
        <v>75</v>
      </c>
      <c r="H101" s="62" t="s">
        <v>145</v>
      </c>
      <c r="I101" s="66">
        <f>75*3</f>
        <v>225</v>
      </c>
      <c r="J101" s="66" t="s">
        <v>314</v>
      </c>
      <c r="K101" s="132"/>
      <c r="L101" s="129"/>
      <c r="M101" s="129"/>
    </row>
    <row r="102" spans="1:13" s="37" customFormat="1" ht="14.45" customHeight="1" x14ac:dyDescent="0.2">
      <c r="A102" s="62" t="s">
        <v>142</v>
      </c>
      <c r="B102" s="62" t="s">
        <v>49</v>
      </c>
      <c r="C102" s="62" t="s">
        <v>143</v>
      </c>
      <c r="D102" s="187" t="s">
        <v>279</v>
      </c>
      <c r="E102" s="188"/>
      <c r="F102" s="189"/>
      <c r="G102" s="63">
        <v>150</v>
      </c>
      <c r="H102" s="62" t="s">
        <v>280</v>
      </c>
      <c r="I102" s="63" t="s">
        <v>153</v>
      </c>
      <c r="J102" s="63" t="s">
        <v>110</v>
      </c>
      <c r="K102" s="57"/>
      <c r="L102" s="129"/>
      <c r="M102" s="129"/>
    </row>
    <row r="103" spans="1:13" s="37" customFormat="1" ht="14.45" customHeight="1" x14ac:dyDescent="0.2">
      <c r="A103" s="62" t="s">
        <v>154</v>
      </c>
      <c r="B103" s="62" t="s">
        <v>49</v>
      </c>
      <c r="C103" s="62" t="s">
        <v>143</v>
      </c>
      <c r="D103" s="187" t="s">
        <v>155</v>
      </c>
      <c r="E103" s="188"/>
      <c r="F103" s="189"/>
      <c r="G103" s="63">
        <v>250</v>
      </c>
      <c r="H103" s="62" t="s">
        <v>49</v>
      </c>
      <c r="I103" s="63" t="s">
        <v>153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5" t="s">
        <v>156</v>
      </c>
      <c r="B104" s="65" t="s">
        <v>49</v>
      </c>
      <c r="C104" s="65" t="s">
        <v>143</v>
      </c>
      <c r="D104" s="187" t="s">
        <v>157</v>
      </c>
      <c r="E104" s="188"/>
      <c r="F104" s="189"/>
      <c r="G104" s="63">
        <v>250</v>
      </c>
      <c r="H104" s="62" t="s">
        <v>49</v>
      </c>
      <c r="I104" s="63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142</v>
      </c>
      <c r="B105" s="62" t="s">
        <v>49</v>
      </c>
      <c r="C105" s="62" t="s">
        <v>143</v>
      </c>
      <c r="D105" s="187" t="s">
        <v>281</v>
      </c>
      <c r="E105" s="188"/>
      <c r="F105" s="189"/>
      <c r="G105" s="63">
        <v>200</v>
      </c>
      <c r="H105" s="62" t="s">
        <v>280</v>
      </c>
      <c r="I105" s="63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142</v>
      </c>
      <c r="B106" s="62" t="s">
        <v>49</v>
      </c>
      <c r="C106" s="62" t="s">
        <v>143</v>
      </c>
      <c r="D106" s="187" t="s">
        <v>158</v>
      </c>
      <c r="E106" s="188"/>
      <c r="F106" s="189"/>
      <c r="G106" s="66">
        <v>150</v>
      </c>
      <c r="H106" s="62" t="s">
        <v>49</v>
      </c>
      <c r="I106" s="66" t="s">
        <v>153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150</v>
      </c>
      <c r="B107" s="67" t="s">
        <v>49</v>
      </c>
      <c r="C107" s="62" t="s">
        <v>143</v>
      </c>
      <c r="D107" s="187" t="s">
        <v>159</v>
      </c>
      <c r="E107" s="188"/>
      <c r="F107" s="189"/>
      <c r="G107" s="68">
        <v>180</v>
      </c>
      <c r="H107" s="67" t="s">
        <v>49</v>
      </c>
      <c r="I107" s="68" t="s">
        <v>153</v>
      </c>
      <c r="J107" s="63" t="s">
        <v>110</v>
      </c>
      <c r="K107" s="57"/>
      <c r="L107" s="129"/>
      <c r="M107" s="129"/>
    </row>
    <row r="108" spans="1:13" s="37" customFormat="1" ht="14.45" customHeight="1" x14ac:dyDescent="0.2">
      <c r="A108" s="62" t="s">
        <v>160</v>
      </c>
      <c r="B108" s="67" t="s">
        <v>49</v>
      </c>
      <c r="C108" s="62" t="s">
        <v>143</v>
      </c>
      <c r="D108" s="187" t="s">
        <v>161</v>
      </c>
      <c r="E108" s="188"/>
      <c r="F108" s="189"/>
      <c r="G108" s="69">
        <v>47.9</v>
      </c>
      <c r="H108" s="67" t="s">
        <v>24</v>
      </c>
      <c r="I108" s="69">
        <v>47.9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160</v>
      </c>
      <c r="B109" s="67" t="s">
        <v>49</v>
      </c>
      <c r="C109" s="62" t="s">
        <v>143</v>
      </c>
      <c r="D109" s="187" t="s">
        <v>161</v>
      </c>
      <c r="E109" s="188"/>
      <c r="F109" s="189"/>
      <c r="G109" s="69">
        <v>65.400000000000006</v>
      </c>
      <c r="H109" s="67" t="s">
        <v>162</v>
      </c>
      <c r="I109" s="69">
        <v>65.400000000000006</v>
      </c>
      <c r="J109" s="63" t="s">
        <v>110</v>
      </c>
      <c r="K109" s="57"/>
      <c r="L109" s="129"/>
      <c r="M109" s="129"/>
    </row>
    <row r="110" spans="1:13" s="37" customFormat="1" ht="14.1" customHeight="1" x14ac:dyDescent="0.2">
      <c r="A110" s="62" t="s">
        <v>163</v>
      </c>
      <c r="B110" s="67" t="s">
        <v>49</v>
      </c>
      <c r="C110" s="62" t="s">
        <v>143</v>
      </c>
      <c r="D110" s="187" t="s">
        <v>164</v>
      </c>
      <c r="E110" s="188"/>
      <c r="F110" s="189"/>
      <c r="G110" s="69">
        <v>48</v>
      </c>
      <c r="H110" s="67" t="s">
        <v>49</v>
      </c>
      <c r="I110" s="69">
        <v>48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163</v>
      </c>
      <c r="B111" s="67" t="s">
        <v>49</v>
      </c>
      <c r="C111" s="62" t="s">
        <v>143</v>
      </c>
      <c r="D111" s="187" t="s">
        <v>165</v>
      </c>
      <c r="E111" s="188"/>
      <c r="F111" s="189"/>
      <c r="G111" s="69">
        <v>18</v>
      </c>
      <c r="H111" s="67" t="s">
        <v>49</v>
      </c>
      <c r="I111" s="69">
        <v>18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163</v>
      </c>
      <c r="B112" s="67" t="s">
        <v>49</v>
      </c>
      <c r="C112" s="62" t="s">
        <v>143</v>
      </c>
      <c r="D112" s="187" t="s">
        <v>166</v>
      </c>
      <c r="E112" s="188"/>
      <c r="F112" s="189"/>
      <c r="G112" s="69">
        <v>42</v>
      </c>
      <c r="H112" s="67" t="s">
        <v>49</v>
      </c>
      <c r="I112" s="69">
        <v>42</v>
      </c>
      <c r="J112" s="63" t="s">
        <v>110</v>
      </c>
      <c r="K112" s="57"/>
      <c r="L112" s="129"/>
      <c r="M112" s="129"/>
    </row>
    <row r="113" spans="1:13" s="37" customFormat="1" ht="14.45" customHeight="1" x14ac:dyDescent="0.2">
      <c r="A113" s="62" t="s">
        <v>167</v>
      </c>
      <c r="B113" s="62" t="s">
        <v>49</v>
      </c>
      <c r="C113" s="62" t="s">
        <v>143</v>
      </c>
      <c r="D113" s="187" t="s">
        <v>168</v>
      </c>
      <c r="E113" s="188"/>
      <c r="F113" s="189"/>
      <c r="G113" s="66">
        <v>54</v>
      </c>
      <c r="H113" s="62" t="s">
        <v>49</v>
      </c>
      <c r="I113" s="66">
        <v>54</v>
      </c>
      <c r="J113" s="63" t="s">
        <v>110</v>
      </c>
      <c r="K113" s="57"/>
      <c r="L113" s="129"/>
      <c r="M113" s="129"/>
    </row>
    <row r="114" spans="1:13" s="37" customFormat="1" ht="14.45" customHeight="1" x14ac:dyDescent="0.2">
      <c r="A114" s="67" t="s">
        <v>169</v>
      </c>
      <c r="B114" s="67" t="s">
        <v>49</v>
      </c>
      <c r="C114" s="67" t="s">
        <v>147</v>
      </c>
      <c r="D114" s="187" t="s">
        <v>170</v>
      </c>
      <c r="E114" s="188"/>
      <c r="F114" s="189"/>
      <c r="G114" s="70">
        <v>35</v>
      </c>
      <c r="H114" s="70" t="s">
        <v>280</v>
      </c>
      <c r="I114" s="70">
        <v>35</v>
      </c>
      <c r="J114" s="63" t="s">
        <v>110</v>
      </c>
      <c r="K114" s="57"/>
      <c r="L114" s="129"/>
      <c r="M114" s="129"/>
    </row>
    <row r="115" spans="1:13" s="37" customFormat="1" ht="14.45" customHeight="1" x14ac:dyDescent="0.2">
      <c r="A115" s="62" t="s">
        <v>142</v>
      </c>
      <c r="B115" s="62" t="s">
        <v>49</v>
      </c>
      <c r="C115" s="62" t="s">
        <v>143</v>
      </c>
      <c r="D115" s="187" t="s">
        <v>171</v>
      </c>
      <c r="E115" s="188"/>
      <c r="F115" s="189"/>
      <c r="G115" s="63">
        <v>85</v>
      </c>
      <c r="H115" s="62" t="s">
        <v>172</v>
      </c>
      <c r="I115" s="63" t="s">
        <v>153</v>
      </c>
      <c r="J115" s="63" t="s">
        <v>110</v>
      </c>
      <c r="K115" s="57"/>
      <c r="L115" s="129"/>
      <c r="M115" s="129"/>
    </row>
    <row r="116" spans="1:13" s="37" customFormat="1" ht="14.45" hidden="1" customHeight="1" x14ac:dyDescent="0.2">
      <c r="A116" s="62" t="s">
        <v>173</v>
      </c>
      <c r="B116" s="62" t="s">
        <v>146</v>
      </c>
      <c r="C116" s="62" t="s">
        <v>147</v>
      </c>
      <c r="D116" s="187" t="s">
        <v>174</v>
      </c>
      <c r="E116" s="188"/>
      <c r="F116" s="189"/>
      <c r="G116" s="63">
        <v>4</v>
      </c>
      <c r="H116" s="62" t="s">
        <v>149</v>
      </c>
      <c r="I116" s="63">
        <v>4</v>
      </c>
      <c r="J116" s="63" t="s">
        <v>110</v>
      </c>
      <c r="K116" s="57"/>
      <c r="L116" s="129"/>
      <c r="M116" s="129"/>
    </row>
    <row r="117" spans="1:13" s="37" customFormat="1" ht="24" customHeight="1" x14ac:dyDescent="0.2">
      <c r="A117" s="62" t="s">
        <v>173</v>
      </c>
      <c r="B117" s="62" t="s">
        <v>49</v>
      </c>
      <c r="C117" s="62" t="s">
        <v>143</v>
      </c>
      <c r="D117" s="187" t="s">
        <v>175</v>
      </c>
      <c r="E117" s="188"/>
      <c r="F117" s="189"/>
      <c r="G117" s="137" t="s">
        <v>348</v>
      </c>
      <c r="H117" s="62" t="s">
        <v>24</v>
      </c>
      <c r="I117" s="66" t="s">
        <v>153</v>
      </c>
      <c r="J117" s="63" t="s">
        <v>282</v>
      </c>
      <c r="K117" s="57"/>
      <c r="L117" s="129"/>
      <c r="M117" s="129"/>
    </row>
    <row r="118" spans="1:13" s="37" customFormat="1" ht="27" customHeight="1" x14ac:dyDescent="0.2">
      <c r="A118" s="62" t="s">
        <v>173</v>
      </c>
      <c r="B118" s="62" t="s">
        <v>49</v>
      </c>
      <c r="C118" s="62" t="s">
        <v>143</v>
      </c>
      <c r="D118" s="187" t="s">
        <v>176</v>
      </c>
      <c r="E118" s="188"/>
      <c r="F118" s="189"/>
      <c r="G118" s="137" t="s">
        <v>348</v>
      </c>
      <c r="H118" s="62" t="s">
        <v>162</v>
      </c>
      <c r="I118" s="66" t="s">
        <v>153</v>
      </c>
      <c r="J118" s="63" t="s">
        <v>282</v>
      </c>
      <c r="K118" s="57"/>
      <c r="L118" s="129"/>
      <c r="M118" s="129"/>
    </row>
    <row r="119" spans="1:13" s="152" customFormat="1" ht="52.35" customHeight="1" x14ac:dyDescent="0.2">
      <c r="A119" s="67" t="s">
        <v>142</v>
      </c>
      <c r="B119" s="67" t="s">
        <v>49</v>
      </c>
      <c r="C119" s="147" t="s">
        <v>362</v>
      </c>
      <c r="D119" s="190" t="s">
        <v>363</v>
      </c>
      <c r="E119" s="191"/>
      <c r="F119" s="192"/>
      <c r="G119" s="146" t="s">
        <v>371</v>
      </c>
      <c r="H119" s="148" t="s">
        <v>280</v>
      </c>
      <c r="I119" s="69" t="s">
        <v>153</v>
      </c>
      <c r="J119" s="149" t="s">
        <v>365</v>
      </c>
      <c r="K119" s="111"/>
      <c r="L119" s="151"/>
      <c r="M119" s="151"/>
    </row>
    <row r="120" spans="1:13" s="37" customFormat="1" ht="14.45" hidden="1" customHeight="1" x14ac:dyDescent="0.2">
      <c r="A120" s="62" t="s">
        <v>173</v>
      </c>
      <c r="B120" s="62" t="s">
        <v>146</v>
      </c>
      <c r="C120" s="62" t="s">
        <v>147</v>
      </c>
      <c r="D120" s="187" t="s">
        <v>177</v>
      </c>
      <c r="E120" s="188"/>
      <c r="F120" s="189"/>
      <c r="G120" s="63">
        <v>2</v>
      </c>
      <c r="H120" s="62" t="s">
        <v>149</v>
      </c>
      <c r="I120" s="63">
        <v>2</v>
      </c>
      <c r="J120" s="63" t="s">
        <v>110</v>
      </c>
      <c r="K120" s="57"/>
      <c r="L120" s="129"/>
      <c r="M120" s="129"/>
    </row>
    <row r="121" spans="1:13" s="37" customFormat="1" ht="14.45" hidden="1" customHeight="1" x14ac:dyDescent="0.2">
      <c r="A121" s="62" t="s">
        <v>173</v>
      </c>
      <c r="B121" s="62" t="s">
        <v>146</v>
      </c>
      <c r="C121" s="62" t="s">
        <v>283</v>
      </c>
      <c r="D121" s="187" t="s">
        <v>284</v>
      </c>
      <c r="E121" s="188"/>
      <c r="F121" s="189"/>
      <c r="G121" s="63">
        <v>10</v>
      </c>
      <c r="H121" s="62" t="s">
        <v>285</v>
      </c>
      <c r="I121" s="63" t="s">
        <v>153</v>
      </c>
      <c r="J121" s="63" t="s">
        <v>110</v>
      </c>
      <c r="K121" s="57"/>
      <c r="L121" s="129"/>
      <c r="M121" s="129"/>
    </row>
    <row r="122" spans="1:13" s="37" customFormat="1" ht="14.45" customHeight="1" x14ac:dyDescent="0.2">
      <c r="A122" s="62" t="s">
        <v>142</v>
      </c>
      <c r="B122" s="62" t="s">
        <v>49</v>
      </c>
      <c r="C122" s="62" t="s">
        <v>143</v>
      </c>
      <c r="D122" s="187" t="s">
        <v>178</v>
      </c>
      <c r="E122" s="188"/>
      <c r="F122" s="189"/>
      <c r="G122" s="63">
        <v>50</v>
      </c>
      <c r="H122" s="62" t="s">
        <v>145</v>
      </c>
      <c r="I122" s="63" t="s">
        <v>153</v>
      </c>
      <c r="J122" s="63" t="s">
        <v>110</v>
      </c>
      <c r="K122" s="57"/>
      <c r="L122" s="129"/>
      <c r="M122" s="129"/>
    </row>
    <row r="123" spans="1:13" s="37" customFormat="1" ht="14.45" customHeight="1" x14ac:dyDescent="0.2">
      <c r="A123" s="62" t="s">
        <v>173</v>
      </c>
      <c r="B123" s="62" t="s">
        <v>49</v>
      </c>
      <c r="C123" s="62" t="s">
        <v>143</v>
      </c>
      <c r="D123" s="187" t="s">
        <v>179</v>
      </c>
      <c r="E123" s="188"/>
      <c r="F123" s="189"/>
      <c r="G123" s="63">
        <v>175</v>
      </c>
      <c r="H123" s="62" t="s">
        <v>49</v>
      </c>
      <c r="I123" s="63" t="s">
        <v>153</v>
      </c>
      <c r="J123" s="63" t="s">
        <v>110</v>
      </c>
      <c r="K123" s="57"/>
      <c r="L123" s="129"/>
      <c r="M123" s="129"/>
    </row>
    <row r="124" spans="1:13" s="37" customFormat="1" ht="14.45" customHeight="1" x14ac:dyDescent="0.2">
      <c r="A124" s="62" t="s">
        <v>142</v>
      </c>
      <c r="B124" s="62" t="s">
        <v>49</v>
      </c>
      <c r="C124" s="62" t="s">
        <v>147</v>
      </c>
      <c r="D124" s="187" t="s">
        <v>180</v>
      </c>
      <c r="E124" s="188"/>
      <c r="F124" s="189"/>
      <c r="G124" s="63">
        <v>40</v>
      </c>
      <c r="H124" s="62" t="s">
        <v>181</v>
      </c>
      <c r="I124" s="63" t="s">
        <v>153</v>
      </c>
      <c r="J124" s="63" t="s">
        <v>110</v>
      </c>
      <c r="K124" s="57"/>
      <c r="L124" s="129"/>
      <c r="M124" s="129"/>
    </row>
    <row r="125" spans="1:13" s="37" customFormat="1" ht="14.45" hidden="1" customHeight="1" x14ac:dyDescent="0.2">
      <c r="A125" s="62" t="s">
        <v>173</v>
      </c>
      <c r="B125" s="62" t="s">
        <v>146</v>
      </c>
      <c r="C125" s="62" t="s">
        <v>147</v>
      </c>
      <c r="D125" s="187" t="s">
        <v>182</v>
      </c>
      <c r="E125" s="188"/>
      <c r="F125" s="189"/>
      <c r="G125" s="63">
        <v>7.5</v>
      </c>
      <c r="H125" s="62" t="s">
        <v>152</v>
      </c>
      <c r="I125" s="63">
        <v>75</v>
      </c>
      <c r="J125" s="63" t="s">
        <v>110</v>
      </c>
      <c r="K125" s="57"/>
      <c r="L125" s="129"/>
      <c r="M125" s="129"/>
    </row>
    <row r="126" spans="1:13" s="37" customFormat="1" ht="14.45" hidden="1" customHeight="1" x14ac:dyDescent="0.2">
      <c r="A126" s="62" t="s">
        <v>142</v>
      </c>
      <c r="B126" s="62" t="s">
        <v>146</v>
      </c>
      <c r="C126" s="62" t="s">
        <v>147</v>
      </c>
      <c r="D126" s="187" t="s">
        <v>183</v>
      </c>
      <c r="E126" s="188"/>
      <c r="F126" s="189"/>
      <c r="G126" s="63">
        <v>20</v>
      </c>
      <c r="H126" s="62" t="s">
        <v>184</v>
      </c>
      <c r="I126" s="63" t="s">
        <v>153</v>
      </c>
      <c r="J126" s="63" t="s">
        <v>110</v>
      </c>
      <c r="K126" s="57"/>
      <c r="L126" s="129"/>
      <c r="M126" s="129"/>
    </row>
    <row r="127" spans="1:13" s="37" customFormat="1" ht="14.45" hidden="1" customHeight="1" x14ac:dyDescent="0.2">
      <c r="A127" s="62" t="s">
        <v>142</v>
      </c>
      <c r="B127" s="62" t="s">
        <v>146</v>
      </c>
      <c r="C127" s="62" t="s">
        <v>147</v>
      </c>
      <c r="D127" s="187" t="s">
        <v>185</v>
      </c>
      <c r="E127" s="188"/>
      <c r="F127" s="189"/>
      <c r="G127" s="63">
        <v>25</v>
      </c>
      <c r="H127" s="62" t="s">
        <v>184</v>
      </c>
      <c r="I127" s="63" t="s">
        <v>153</v>
      </c>
      <c r="J127" s="63" t="s">
        <v>110</v>
      </c>
      <c r="K127" s="57"/>
      <c r="L127" s="129"/>
      <c r="M127" s="129"/>
    </row>
    <row r="128" spans="1:13" s="37" customFormat="1" ht="14.45" customHeight="1" x14ac:dyDescent="0.2">
      <c r="A128" s="62" t="s">
        <v>142</v>
      </c>
      <c r="B128" s="62" t="s">
        <v>142</v>
      </c>
      <c r="C128" s="62" t="s">
        <v>147</v>
      </c>
      <c r="D128" s="187" t="s">
        <v>186</v>
      </c>
      <c r="E128" s="188"/>
      <c r="F128" s="189"/>
      <c r="G128" s="68">
        <v>75</v>
      </c>
      <c r="H128" s="62" t="s">
        <v>181</v>
      </c>
      <c r="I128" s="63" t="s">
        <v>153</v>
      </c>
      <c r="J128" s="63" t="s">
        <v>110</v>
      </c>
      <c r="K128" s="57"/>
      <c r="L128" s="129"/>
      <c r="M128" s="129"/>
    </row>
    <row r="129" spans="1:29" s="37" customFormat="1" ht="14.45" customHeight="1" x14ac:dyDescent="0.2">
      <c r="A129" s="62" t="s">
        <v>142</v>
      </c>
      <c r="B129" s="62" t="s">
        <v>142</v>
      </c>
      <c r="C129" s="62" t="s">
        <v>147</v>
      </c>
      <c r="D129" s="187" t="s">
        <v>187</v>
      </c>
      <c r="E129" s="188"/>
      <c r="F129" s="189"/>
      <c r="G129" s="63">
        <v>35</v>
      </c>
      <c r="H129" s="62" t="s">
        <v>181</v>
      </c>
      <c r="I129" s="63" t="s">
        <v>153</v>
      </c>
      <c r="J129" s="63" t="s">
        <v>110</v>
      </c>
      <c r="K129" s="57"/>
      <c r="L129" s="129"/>
      <c r="M129" s="129"/>
    </row>
    <row r="130" spans="1:29" s="37" customFormat="1" ht="14.45" hidden="1" customHeight="1" x14ac:dyDescent="0.2">
      <c r="A130" s="62" t="s">
        <v>142</v>
      </c>
      <c r="B130" s="62" t="s">
        <v>146</v>
      </c>
      <c r="C130" s="62" t="s">
        <v>143</v>
      </c>
      <c r="D130" s="187" t="s">
        <v>188</v>
      </c>
      <c r="E130" s="188"/>
      <c r="F130" s="189"/>
      <c r="G130" s="63">
        <v>100</v>
      </c>
      <c r="H130" s="62" t="s">
        <v>181</v>
      </c>
      <c r="I130" s="63" t="s">
        <v>153</v>
      </c>
      <c r="J130" s="63" t="s">
        <v>110</v>
      </c>
      <c r="K130" s="57"/>
      <c r="L130" s="129"/>
      <c r="M130" s="129"/>
    </row>
    <row r="131" spans="1:29" s="37" customFormat="1" ht="14.45" hidden="1" customHeight="1" x14ac:dyDescent="0.2">
      <c r="A131" s="62" t="s">
        <v>142</v>
      </c>
      <c r="B131" s="62" t="s">
        <v>146</v>
      </c>
      <c r="C131" s="62" t="s">
        <v>143</v>
      </c>
      <c r="D131" s="187" t="s">
        <v>189</v>
      </c>
      <c r="E131" s="188"/>
      <c r="F131" s="189"/>
      <c r="G131" s="63">
        <v>100</v>
      </c>
      <c r="H131" s="62" t="s">
        <v>190</v>
      </c>
      <c r="I131" s="63" t="s">
        <v>153</v>
      </c>
      <c r="J131" s="63" t="s">
        <v>110</v>
      </c>
      <c r="K131" s="57"/>
      <c r="O131" s="38"/>
      <c r="P131" s="38"/>
    </row>
    <row r="132" spans="1:29" s="37" customFormat="1" ht="14.45" hidden="1" customHeight="1" x14ac:dyDescent="0.2">
      <c r="A132" s="62" t="s">
        <v>142</v>
      </c>
      <c r="B132" s="62" t="s">
        <v>146</v>
      </c>
      <c r="C132" s="62" t="s">
        <v>143</v>
      </c>
      <c r="D132" s="187" t="s">
        <v>191</v>
      </c>
      <c r="E132" s="188"/>
      <c r="F132" s="189"/>
      <c r="G132" s="63">
        <v>100</v>
      </c>
      <c r="H132" s="62" t="s">
        <v>181</v>
      </c>
      <c r="I132" s="63" t="s">
        <v>153</v>
      </c>
      <c r="J132" s="63" t="s">
        <v>110</v>
      </c>
      <c r="K132" s="57"/>
      <c r="O132" s="39"/>
      <c r="P132" s="39"/>
    </row>
    <row r="133" spans="1:29" s="37" customFormat="1" ht="14.45" hidden="1" customHeight="1" x14ac:dyDescent="0.2">
      <c r="A133" s="62" t="s">
        <v>173</v>
      </c>
      <c r="B133" s="62" t="s">
        <v>146</v>
      </c>
      <c r="C133" s="62" t="s">
        <v>143</v>
      </c>
      <c r="D133" s="187" t="s">
        <v>189</v>
      </c>
      <c r="E133" s="188"/>
      <c r="F133" s="189"/>
      <c r="G133" s="63">
        <v>50</v>
      </c>
      <c r="H133" s="62" t="s">
        <v>192</v>
      </c>
      <c r="I133" s="63" t="s">
        <v>153</v>
      </c>
      <c r="J133" s="63" t="s">
        <v>110</v>
      </c>
      <c r="K133" s="57"/>
      <c r="O133" s="39"/>
      <c r="P133" s="39"/>
    </row>
    <row r="134" spans="1:29" s="37" customFormat="1" ht="14.45" hidden="1" customHeight="1" x14ac:dyDescent="0.2">
      <c r="A134" s="62" t="s">
        <v>173</v>
      </c>
      <c r="B134" s="62" t="s">
        <v>146</v>
      </c>
      <c r="C134" s="62" t="s">
        <v>143</v>
      </c>
      <c r="D134" s="187" t="s">
        <v>191</v>
      </c>
      <c r="E134" s="188"/>
      <c r="F134" s="189"/>
      <c r="G134" s="63">
        <v>50</v>
      </c>
      <c r="H134" s="62" t="s">
        <v>181</v>
      </c>
      <c r="I134" s="63" t="s">
        <v>153</v>
      </c>
      <c r="J134" s="63" t="s">
        <v>110</v>
      </c>
      <c r="K134" s="57"/>
      <c r="O134" s="38"/>
      <c r="P134" s="38"/>
    </row>
    <row r="135" spans="1:29" s="37" customFormat="1" ht="14.45" hidden="1" customHeight="1" x14ac:dyDescent="0.25">
      <c r="A135" s="62" t="s">
        <v>142</v>
      </c>
      <c r="B135" s="62" t="s">
        <v>146</v>
      </c>
      <c r="C135" s="62" t="s">
        <v>143</v>
      </c>
      <c r="D135" s="187" t="s">
        <v>193</v>
      </c>
      <c r="E135" s="188"/>
      <c r="F135" s="189"/>
      <c r="G135" s="63">
        <v>85</v>
      </c>
      <c r="H135" s="62" t="s">
        <v>194</v>
      </c>
      <c r="I135" s="63" t="s">
        <v>153</v>
      </c>
      <c r="J135" s="63" t="s">
        <v>110</v>
      </c>
      <c r="K135" s="57"/>
      <c r="O135" s="36"/>
      <c r="P135" s="36"/>
    </row>
    <row r="136" spans="1:29" s="37" customFormat="1" ht="14.45" hidden="1" customHeight="1" x14ac:dyDescent="0.25">
      <c r="A136" s="62" t="s">
        <v>173</v>
      </c>
      <c r="B136" s="62" t="s">
        <v>146</v>
      </c>
      <c r="C136" s="62" t="s">
        <v>195</v>
      </c>
      <c r="D136" s="187" t="s">
        <v>196</v>
      </c>
      <c r="E136" s="188"/>
      <c r="F136" s="189"/>
      <c r="G136" s="63">
        <v>0.1</v>
      </c>
      <c r="H136" s="62" t="s">
        <v>197</v>
      </c>
      <c r="I136" s="63">
        <v>150</v>
      </c>
      <c r="J136" s="63" t="s">
        <v>110</v>
      </c>
      <c r="K136" s="57"/>
      <c r="O136" s="36"/>
      <c r="P136" s="36"/>
    </row>
    <row r="137" spans="1:29" s="37" customFormat="1" ht="14.45" customHeight="1" x14ac:dyDescent="0.25">
      <c r="A137" s="62" t="s">
        <v>142</v>
      </c>
      <c r="B137" s="62" t="s">
        <v>49</v>
      </c>
      <c r="C137" s="62" t="s">
        <v>198</v>
      </c>
      <c r="D137" s="187" t="s">
        <v>199</v>
      </c>
      <c r="E137" s="188"/>
      <c r="F137" s="189"/>
      <c r="G137" s="63">
        <v>35</v>
      </c>
      <c r="H137" s="62" t="s">
        <v>181</v>
      </c>
      <c r="I137" s="63" t="s">
        <v>153</v>
      </c>
      <c r="J137" s="63" t="s">
        <v>110</v>
      </c>
      <c r="K137" s="57"/>
      <c r="O137" s="36"/>
      <c r="P137" s="36"/>
    </row>
    <row r="138" spans="1:29" s="37" customFormat="1" ht="14.45" hidden="1" customHeight="1" x14ac:dyDescent="0.25">
      <c r="A138" s="62" t="s">
        <v>142</v>
      </c>
      <c r="B138" s="62" t="s">
        <v>146</v>
      </c>
      <c r="C138" s="62" t="s">
        <v>198</v>
      </c>
      <c r="D138" s="187" t="s">
        <v>200</v>
      </c>
      <c r="E138" s="188"/>
      <c r="F138" s="189"/>
      <c r="G138" s="63">
        <v>7</v>
      </c>
      <c r="H138" s="62" t="s">
        <v>152</v>
      </c>
      <c r="I138" s="63">
        <v>7</v>
      </c>
      <c r="J138" s="63" t="s">
        <v>110</v>
      </c>
      <c r="K138" s="57"/>
      <c r="O138" s="36"/>
      <c r="P138" s="36"/>
    </row>
    <row r="139" spans="1:29" s="37" customFormat="1" ht="14.1" customHeight="1" x14ac:dyDescent="0.25">
      <c r="A139" s="62" t="s">
        <v>142</v>
      </c>
      <c r="B139" s="62" t="s">
        <v>142</v>
      </c>
      <c r="C139" s="62" t="s">
        <v>201</v>
      </c>
      <c r="D139" s="187" t="s">
        <v>202</v>
      </c>
      <c r="E139" s="188"/>
      <c r="F139" s="189"/>
      <c r="G139" s="63">
        <v>40</v>
      </c>
      <c r="H139" s="62" t="s">
        <v>203</v>
      </c>
      <c r="I139" s="63" t="s">
        <v>153</v>
      </c>
      <c r="J139" s="63" t="s">
        <v>110</v>
      </c>
      <c r="K139" s="57"/>
      <c r="O139" s="36"/>
      <c r="P139" s="36"/>
    </row>
    <row r="140" spans="1:29" s="37" customFormat="1" ht="14.1" customHeight="1" x14ac:dyDescent="0.25">
      <c r="A140" s="62" t="s">
        <v>142</v>
      </c>
      <c r="B140" s="62" t="s">
        <v>49</v>
      </c>
      <c r="C140" s="62" t="s">
        <v>143</v>
      </c>
      <c r="D140" s="187" t="s">
        <v>204</v>
      </c>
      <c r="E140" s="188"/>
      <c r="F140" s="189"/>
      <c r="G140" s="63">
        <v>50</v>
      </c>
      <c r="H140" s="62" t="s">
        <v>49</v>
      </c>
      <c r="I140" s="63" t="s">
        <v>153</v>
      </c>
      <c r="J140" s="63" t="s">
        <v>110</v>
      </c>
      <c r="K140" s="57"/>
      <c r="L140" s="38"/>
      <c r="M140" s="38"/>
      <c r="N140" s="38"/>
      <c r="O140" s="36"/>
      <c r="P140" s="36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 spans="1:29" s="39" customFormat="1" ht="14.1" customHeight="1" x14ac:dyDescent="0.25">
      <c r="A141" s="62" t="s">
        <v>142</v>
      </c>
      <c r="B141" s="62" t="s">
        <v>49</v>
      </c>
      <c r="C141" s="62" t="s">
        <v>143</v>
      </c>
      <c r="D141" s="187" t="s">
        <v>205</v>
      </c>
      <c r="E141" s="188"/>
      <c r="F141" s="189"/>
      <c r="G141" s="63">
        <v>200</v>
      </c>
      <c r="H141" s="62" t="s">
        <v>206</v>
      </c>
      <c r="I141" s="63" t="s">
        <v>153</v>
      </c>
      <c r="J141" s="63" t="s">
        <v>110</v>
      </c>
      <c r="K141" s="57"/>
      <c r="O141" s="36"/>
      <c r="P141" s="36"/>
    </row>
    <row r="142" spans="1:29" s="39" customFormat="1" ht="14.1" customHeight="1" x14ac:dyDescent="0.25">
      <c r="A142" s="62" t="s">
        <v>142</v>
      </c>
      <c r="B142" s="62" t="s">
        <v>49</v>
      </c>
      <c r="C142" s="62" t="s">
        <v>143</v>
      </c>
      <c r="D142" s="187" t="s">
        <v>207</v>
      </c>
      <c r="E142" s="188"/>
      <c r="F142" s="189"/>
      <c r="G142" s="63">
        <v>250</v>
      </c>
      <c r="H142" s="62" t="s">
        <v>208</v>
      </c>
      <c r="I142" s="63">
        <v>100</v>
      </c>
      <c r="J142" s="63" t="s">
        <v>110</v>
      </c>
      <c r="K142" s="57"/>
      <c r="L142" s="38"/>
      <c r="M142" s="38"/>
      <c r="N142" s="38"/>
      <c r="O142" s="36"/>
      <c r="P142" s="36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 spans="1:29" s="38" customFormat="1" ht="14.1" customHeight="1" x14ac:dyDescent="0.25">
      <c r="A143" s="62" t="s">
        <v>142</v>
      </c>
      <c r="B143" s="62" t="s">
        <v>49</v>
      </c>
      <c r="C143" s="62" t="s">
        <v>201</v>
      </c>
      <c r="D143" s="187" t="s">
        <v>209</v>
      </c>
      <c r="E143" s="188"/>
      <c r="F143" s="189"/>
      <c r="G143" s="63" t="s">
        <v>210</v>
      </c>
      <c r="H143" s="62"/>
      <c r="I143" s="63" t="s">
        <v>153</v>
      </c>
      <c r="J143" s="63" t="s">
        <v>110</v>
      </c>
      <c r="K143" s="57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:29" s="36" customFormat="1" x14ac:dyDescent="0.25">
      <c r="A144" s="62" t="s">
        <v>142</v>
      </c>
      <c r="B144" s="62" t="s">
        <v>49</v>
      </c>
      <c r="C144" s="62" t="s">
        <v>201</v>
      </c>
      <c r="D144" s="187" t="s">
        <v>211</v>
      </c>
      <c r="E144" s="188"/>
      <c r="F144" s="189"/>
      <c r="G144" s="63" t="s">
        <v>212</v>
      </c>
      <c r="H144" s="62"/>
      <c r="I144" s="63" t="s">
        <v>153</v>
      </c>
      <c r="J144" s="63" t="s">
        <v>110</v>
      </c>
      <c r="K144" s="72"/>
    </row>
    <row r="145" spans="1:11" s="36" customFormat="1" x14ac:dyDescent="0.25">
      <c r="A145" s="62" t="s">
        <v>213</v>
      </c>
      <c r="B145" s="62" t="s">
        <v>49</v>
      </c>
      <c r="C145" s="62" t="s">
        <v>214</v>
      </c>
      <c r="D145" s="187" t="s">
        <v>215</v>
      </c>
      <c r="E145" s="188"/>
      <c r="F145" s="189"/>
      <c r="G145" s="63">
        <v>100</v>
      </c>
      <c r="H145" s="62" t="s">
        <v>49</v>
      </c>
      <c r="I145" s="63">
        <v>100</v>
      </c>
      <c r="J145" s="63" t="s">
        <v>110</v>
      </c>
      <c r="K145" s="72"/>
    </row>
    <row r="146" spans="1:11" s="36" customFormat="1" x14ac:dyDescent="0.25">
      <c r="A146" s="62" t="s">
        <v>213</v>
      </c>
      <c r="B146" s="62" t="s">
        <v>216</v>
      </c>
      <c r="C146" s="62" t="s">
        <v>147</v>
      </c>
      <c r="D146" s="187" t="s">
        <v>217</v>
      </c>
      <c r="E146" s="188"/>
      <c r="F146" s="189"/>
      <c r="G146" s="63">
        <v>50</v>
      </c>
      <c r="H146" s="62"/>
      <c r="I146" s="63">
        <v>50</v>
      </c>
      <c r="J146" s="63" t="s">
        <v>110</v>
      </c>
      <c r="K146" s="72"/>
    </row>
    <row r="147" spans="1:11" s="36" customFormat="1" x14ac:dyDescent="0.25">
      <c r="A147" s="62" t="s">
        <v>150</v>
      </c>
      <c r="B147" s="62" t="s">
        <v>49</v>
      </c>
      <c r="C147" s="62" t="s">
        <v>218</v>
      </c>
      <c r="D147" s="187" t="s">
        <v>219</v>
      </c>
      <c r="E147" s="188"/>
      <c r="F147" s="189"/>
      <c r="G147" s="69" t="s">
        <v>220</v>
      </c>
      <c r="H147" s="67" t="s">
        <v>49</v>
      </c>
      <c r="I147" s="69" t="s">
        <v>153</v>
      </c>
      <c r="J147" s="63" t="s">
        <v>110</v>
      </c>
      <c r="K147" s="72"/>
    </row>
    <row r="148" spans="1:11" s="36" customFormat="1" x14ac:dyDescent="0.25">
      <c r="A148" s="62" t="s">
        <v>221</v>
      </c>
      <c r="B148" s="62" t="s">
        <v>49</v>
      </c>
      <c r="C148" s="62" t="s">
        <v>201</v>
      </c>
      <c r="D148" s="187" t="s">
        <v>222</v>
      </c>
      <c r="E148" s="188"/>
      <c r="F148" s="189"/>
      <c r="G148" s="69" t="s">
        <v>220</v>
      </c>
      <c r="H148" s="67" t="s">
        <v>49</v>
      </c>
      <c r="I148" s="69" t="s">
        <v>153</v>
      </c>
      <c r="J148" s="63" t="s">
        <v>110</v>
      </c>
      <c r="K148" s="72"/>
    </row>
    <row r="149" spans="1:11" s="36" customFormat="1" x14ac:dyDescent="0.25">
      <c r="A149" s="62" t="s">
        <v>142</v>
      </c>
      <c r="B149" s="62" t="s">
        <v>49</v>
      </c>
      <c r="C149" s="62" t="s">
        <v>223</v>
      </c>
      <c r="D149" s="187" t="s">
        <v>224</v>
      </c>
      <c r="E149" s="188"/>
      <c r="F149" s="189"/>
      <c r="G149" s="63" t="s">
        <v>225</v>
      </c>
      <c r="H149" s="62"/>
      <c r="I149" s="63" t="s">
        <v>153</v>
      </c>
      <c r="J149" s="63" t="s">
        <v>110</v>
      </c>
      <c r="K149" s="72"/>
    </row>
    <row r="150" spans="1:11" s="36" customFormat="1" x14ac:dyDescent="0.25">
      <c r="A150" s="62" t="s">
        <v>142</v>
      </c>
      <c r="B150" s="62" t="s">
        <v>49</v>
      </c>
      <c r="C150" s="62" t="s">
        <v>226</v>
      </c>
      <c r="D150" s="187" t="s">
        <v>227</v>
      </c>
      <c r="E150" s="188"/>
      <c r="F150" s="189"/>
      <c r="G150" s="66">
        <v>150</v>
      </c>
      <c r="H150" s="62" t="s">
        <v>49</v>
      </c>
      <c r="I150" s="66">
        <v>150</v>
      </c>
      <c r="J150" s="63" t="s">
        <v>110</v>
      </c>
      <c r="K150" s="72"/>
    </row>
    <row r="151" spans="1:11" s="36" customFormat="1" x14ac:dyDescent="0.25">
      <c r="A151" s="62" t="s">
        <v>142</v>
      </c>
      <c r="B151" s="62" t="s">
        <v>49</v>
      </c>
      <c r="C151" s="62" t="s">
        <v>228</v>
      </c>
      <c r="D151" s="187" t="s">
        <v>229</v>
      </c>
      <c r="E151" s="188"/>
      <c r="F151" s="189"/>
      <c r="G151" s="66">
        <v>25</v>
      </c>
      <c r="H151" s="62" t="s">
        <v>230</v>
      </c>
      <c r="I151" s="66">
        <v>25</v>
      </c>
      <c r="J151" s="63" t="s">
        <v>110</v>
      </c>
      <c r="K151" s="72"/>
    </row>
    <row r="152" spans="1:11" s="36" customFormat="1" hidden="1" x14ac:dyDescent="0.25">
      <c r="A152" s="62" t="s">
        <v>142</v>
      </c>
      <c r="B152" s="62" t="s">
        <v>146</v>
      </c>
      <c r="C152" s="62" t="s">
        <v>198</v>
      </c>
      <c r="D152" s="187" t="s">
        <v>231</v>
      </c>
      <c r="E152" s="188"/>
      <c r="F152" s="189"/>
      <c r="G152" s="66" t="s">
        <v>232</v>
      </c>
      <c r="H152" s="62" t="s">
        <v>149</v>
      </c>
      <c r="I152" s="66" t="s">
        <v>153</v>
      </c>
      <c r="J152" s="63" t="s">
        <v>110</v>
      </c>
      <c r="K152" s="72"/>
    </row>
    <row r="153" spans="1:11" s="36" customFormat="1" hidden="1" x14ac:dyDescent="0.25">
      <c r="A153" s="62" t="s">
        <v>173</v>
      </c>
      <c r="B153" s="62" t="s">
        <v>146</v>
      </c>
      <c r="C153" s="62" t="s">
        <v>233</v>
      </c>
      <c r="D153" s="187" t="s">
        <v>234</v>
      </c>
      <c r="E153" s="188"/>
      <c r="F153" s="189"/>
      <c r="G153" s="66">
        <v>0.5</v>
      </c>
      <c r="H153" s="62" t="s">
        <v>235</v>
      </c>
      <c r="I153" s="66">
        <v>50</v>
      </c>
      <c r="J153" s="63" t="s">
        <v>110</v>
      </c>
      <c r="K153" s="72"/>
    </row>
    <row r="154" spans="1:11" s="36" customFormat="1" hidden="1" x14ac:dyDescent="0.25">
      <c r="A154" s="62" t="s">
        <v>173</v>
      </c>
      <c r="B154" s="62" t="s">
        <v>146</v>
      </c>
      <c r="C154" s="62" t="s">
        <v>201</v>
      </c>
      <c r="D154" s="187" t="s">
        <v>237</v>
      </c>
      <c r="E154" s="188"/>
      <c r="F154" s="189"/>
      <c r="G154" s="66" t="s">
        <v>238</v>
      </c>
      <c r="H154" s="62" t="s">
        <v>235</v>
      </c>
      <c r="I154" s="66">
        <v>50</v>
      </c>
      <c r="J154" s="63" t="s">
        <v>110</v>
      </c>
      <c r="K154" s="72"/>
    </row>
    <row r="155" spans="1:11" s="36" customFormat="1" x14ac:dyDescent="0.25">
      <c r="A155" s="62" t="s">
        <v>239</v>
      </c>
      <c r="B155" s="62" t="s">
        <v>49</v>
      </c>
      <c r="C155" s="62" t="s">
        <v>143</v>
      </c>
      <c r="D155" s="187" t="s">
        <v>240</v>
      </c>
      <c r="E155" s="188"/>
      <c r="F155" s="189"/>
      <c r="G155" s="69" t="s">
        <v>220</v>
      </c>
      <c r="H155" s="67" t="s">
        <v>49</v>
      </c>
      <c r="I155" s="69" t="s">
        <v>153</v>
      </c>
      <c r="J155" s="63" t="s">
        <v>110</v>
      </c>
      <c r="K155" s="72"/>
    </row>
    <row r="156" spans="1:11" s="36" customFormat="1" x14ac:dyDescent="0.25">
      <c r="A156" s="62" t="s">
        <v>142</v>
      </c>
      <c r="B156" s="62" t="s">
        <v>142</v>
      </c>
      <c r="C156" s="62" t="s">
        <v>147</v>
      </c>
      <c r="D156" s="187" t="s">
        <v>241</v>
      </c>
      <c r="E156" s="188"/>
      <c r="F156" s="189"/>
      <c r="G156" s="66" t="s">
        <v>242</v>
      </c>
      <c r="H156" s="62"/>
      <c r="I156" s="66">
        <v>15</v>
      </c>
      <c r="J156" s="63" t="s">
        <v>110</v>
      </c>
      <c r="K156" s="72"/>
    </row>
    <row r="157" spans="1:11" s="36" customFormat="1" x14ac:dyDescent="0.25">
      <c r="A157" s="62" t="s">
        <v>243</v>
      </c>
      <c r="B157" s="62" t="s">
        <v>49</v>
      </c>
      <c r="C157" s="62" t="s">
        <v>143</v>
      </c>
      <c r="D157" s="187" t="s">
        <v>244</v>
      </c>
      <c r="E157" s="188"/>
      <c r="F157" s="189"/>
      <c r="G157" s="66">
        <v>200</v>
      </c>
      <c r="H157" s="62" t="s">
        <v>49</v>
      </c>
      <c r="I157" s="63">
        <v>200</v>
      </c>
      <c r="J157" s="63" t="s">
        <v>110</v>
      </c>
      <c r="K157" s="72"/>
    </row>
    <row r="158" spans="1:11" s="36" customFormat="1" x14ac:dyDescent="0.25">
      <c r="A158" s="62" t="s">
        <v>245</v>
      </c>
      <c r="B158" s="62" t="s">
        <v>49</v>
      </c>
      <c r="C158" s="62" t="s">
        <v>143</v>
      </c>
      <c r="D158" s="187" t="s">
        <v>246</v>
      </c>
      <c r="E158" s="188"/>
      <c r="F158" s="189"/>
      <c r="G158" s="66">
        <v>250</v>
      </c>
      <c r="H158" s="62" t="s">
        <v>49</v>
      </c>
      <c r="I158" s="63">
        <v>100</v>
      </c>
      <c r="J158" s="63" t="s">
        <v>110</v>
      </c>
      <c r="K158" s="72"/>
    </row>
    <row r="159" spans="1:11" s="36" customFormat="1" x14ac:dyDescent="0.25">
      <c r="A159" s="62" t="s">
        <v>247</v>
      </c>
      <c r="B159" s="62" t="s">
        <v>49</v>
      </c>
      <c r="C159" s="62" t="s">
        <v>143</v>
      </c>
      <c r="D159" s="187" t="s">
        <v>248</v>
      </c>
      <c r="E159" s="188"/>
      <c r="F159" s="189"/>
      <c r="G159" s="63">
        <v>250</v>
      </c>
      <c r="H159" s="62" t="s">
        <v>49</v>
      </c>
      <c r="I159" s="63">
        <v>200</v>
      </c>
      <c r="J159" s="63" t="s">
        <v>110</v>
      </c>
      <c r="K159" s="72"/>
    </row>
    <row r="160" spans="1:11" s="36" customFormat="1" x14ac:dyDescent="0.25">
      <c r="A160" s="62" t="s">
        <v>142</v>
      </c>
      <c r="B160" s="62" t="s">
        <v>49</v>
      </c>
      <c r="C160" s="62" t="s">
        <v>143</v>
      </c>
      <c r="D160" s="187" t="s">
        <v>249</v>
      </c>
      <c r="E160" s="188"/>
      <c r="F160" s="189"/>
      <c r="G160" s="63"/>
      <c r="H160" s="62" t="s">
        <v>49</v>
      </c>
      <c r="I160" s="63" t="s">
        <v>153</v>
      </c>
      <c r="J160" s="63" t="s">
        <v>110</v>
      </c>
      <c r="K160" s="72"/>
    </row>
    <row r="161" spans="1:11" s="36" customFormat="1" x14ac:dyDescent="0.25">
      <c r="A161" s="62" t="s">
        <v>250</v>
      </c>
      <c r="B161" s="62" t="s">
        <v>49</v>
      </c>
      <c r="C161" s="62" t="s">
        <v>143</v>
      </c>
      <c r="D161" s="187" t="s">
        <v>251</v>
      </c>
      <c r="E161" s="188"/>
      <c r="F161" s="189"/>
      <c r="G161" s="66">
        <v>350</v>
      </c>
      <c r="H161" s="62" t="s">
        <v>49</v>
      </c>
      <c r="I161" s="63">
        <v>350</v>
      </c>
      <c r="J161" s="63" t="s">
        <v>110</v>
      </c>
      <c r="K161" s="72"/>
    </row>
    <row r="162" spans="1:11" s="36" customFormat="1" x14ac:dyDescent="0.25">
      <c r="A162" s="118"/>
      <c r="B162" s="118"/>
      <c r="C162" s="118"/>
      <c r="D162" s="119"/>
      <c r="E162" s="119"/>
      <c r="F162" s="119"/>
      <c r="G162" s="120"/>
      <c r="H162" s="118"/>
      <c r="I162" s="121"/>
      <c r="J162" s="121"/>
      <c r="K162" s="72"/>
    </row>
    <row r="163" spans="1:11" s="36" customFormat="1" x14ac:dyDescent="0.25">
      <c r="A163" s="180" t="s">
        <v>72</v>
      </c>
      <c r="B163" s="180"/>
      <c r="C163" s="180"/>
      <c r="D163" s="180"/>
      <c r="E163" s="180"/>
      <c r="F163" s="180"/>
      <c r="G163" s="180"/>
      <c r="H163" s="180"/>
      <c r="I163" s="180"/>
      <c r="J163" s="180"/>
      <c r="K163" s="72"/>
    </row>
    <row r="164" spans="1:11" s="36" customFormat="1" x14ac:dyDescent="0.25">
      <c r="A164" s="186" t="s">
        <v>67</v>
      </c>
      <c r="B164" s="186"/>
      <c r="C164" s="186"/>
      <c r="D164" s="186"/>
      <c r="E164" s="186" t="s">
        <v>68</v>
      </c>
      <c r="F164" s="186"/>
      <c r="G164" s="186"/>
      <c r="H164" s="186"/>
      <c r="I164" s="186"/>
      <c r="J164" s="186"/>
      <c r="K164" s="72"/>
    </row>
    <row r="165" spans="1:11" s="36" customFormat="1" x14ac:dyDescent="0.25">
      <c r="A165" s="185" t="s">
        <v>73</v>
      </c>
      <c r="B165" s="185"/>
      <c r="C165" s="185"/>
      <c r="D165" s="185"/>
      <c r="E165" s="185" t="s">
        <v>254</v>
      </c>
      <c r="F165" s="185"/>
      <c r="G165" s="185"/>
      <c r="H165" s="185"/>
      <c r="I165" s="185"/>
      <c r="J165" s="185"/>
      <c r="K165" s="72"/>
    </row>
    <row r="166" spans="1:11" s="36" customFormat="1" ht="15" customHeight="1" x14ac:dyDescent="0.25">
      <c r="A166" s="185" t="s">
        <v>252</v>
      </c>
      <c r="B166" s="185"/>
      <c r="C166" s="185"/>
      <c r="D166" s="185"/>
      <c r="E166" s="185" t="s">
        <v>253</v>
      </c>
      <c r="F166" s="185"/>
      <c r="G166" s="185"/>
      <c r="H166" s="185"/>
      <c r="I166" s="185"/>
      <c r="J166" s="185"/>
      <c r="K166" s="72"/>
    </row>
    <row r="167" spans="1:11" s="36" customFormat="1" ht="15" customHeight="1" x14ac:dyDescent="0.25">
      <c r="A167" s="185" t="s">
        <v>74</v>
      </c>
      <c r="B167" s="185"/>
      <c r="C167" s="185"/>
      <c r="D167" s="185"/>
      <c r="E167" s="185" t="s">
        <v>75</v>
      </c>
      <c r="F167" s="185"/>
      <c r="G167" s="185"/>
      <c r="H167" s="185"/>
      <c r="I167" s="185"/>
      <c r="J167" s="185"/>
      <c r="K167" s="72"/>
    </row>
    <row r="168" spans="1:11" s="36" customFormat="1" x14ac:dyDescent="0.25">
      <c r="A168" s="185" t="s">
        <v>76</v>
      </c>
      <c r="B168" s="185"/>
      <c r="C168" s="185"/>
      <c r="D168" s="185"/>
      <c r="E168" s="185" t="s">
        <v>77</v>
      </c>
      <c r="F168" s="185"/>
      <c r="G168" s="185"/>
      <c r="H168" s="185"/>
      <c r="I168" s="185"/>
      <c r="J168" s="185"/>
      <c r="K168" s="72"/>
    </row>
    <row r="169" spans="1:11" s="36" customFormat="1" ht="15" customHeight="1" x14ac:dyDescent="0.25">
      <c r="A169" s="185" t="s">
        <v>78</v>
      </c>
      <c r="B169" s="185"/>
      <c r="C169" s="185"/>
      <c r="D169" s="185"/>
      <c r="E169" s="185" t="s">
        <v>79</v>
      </c>
      <c r="F169" s="185"/>
      <c r="G169" s="185"/>
      <c r="H169" s="185"/>
      <c r="I169" s="185"/>
      <c r="J169" s="185"/>
      <c r="K169" s="72"/>
    </row>
    <row r="170" spans="1:11" s="36" customFormat="1" ht="15" customHeight="1" x14ac:dyDescent="0.25">
      <c r="A170" s="180" t="s">
        <v>89</v>
      </c>
      <c r="B170" s="180"/>
      <c r="C170" s="180"/>
      <c r="D170" s="180"/>
      <c r="E170" s="180"/>
      <c r="F170" s="180"/>
      <c r="G170" s="180"/>
      <c r="H170" s="180"/>
      <c r="I170" s="180"/>
      <c r="J170" s="180"/>
      <c r="K170" s="72"/>
    </row>
    <row r="171" spans="1:11" s="36" customFormat="1" x14ac:dyDescent="0.25">
      <c r="A171" s="181" t="s">
        <v>80</v>
      </c>
      <c r="B171" s="181"/>
      <c r="C171" s="181"/>
      <c r="D171" s="181"/>
      <c r="E171" s="181"/>
      <c r="F171" s="181"/>
      <c r="G171" s="181"/>
      <c r="H171" s="181"/>
      <c r="I171" s="181"/>
      <c r="J171" s="181"/>
      <c r="K171" s="72"/>
    </row>
    <row r="172" spans="1:11" s="36" customFormat="1" ht="15" customHeight="1" x14ac:dyDescent="0.2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72"/>
    </row>
    <row r="173" spans="1:11" s="36" customFormat="1" x14ac:dyDescent="0.25">
      <c r="A173" s="182" t="s">
        <v>90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72"/>
    </row>
    <row r="174" spans="1:11" s="36" customFormat="1" ht="15" customHeight="1" x14ac:dyDescent="0.25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72"/>
    </row>
    <row r="175" spans="1:11" s="42" customFormat="1" ht="13.9" customHeight="1" x14ac:dyDescent="0.25">
      <c r="A175" s="183" t="s">
        <v>353</v>
      </c>
      <c r="B175" s="183"/>
      <c r="C175" s="183"/>
      <c r="D175" s="183"/>
      <c r="E175" s="183"/>
      <c r="F175" s="183"/>
      <c r="G175" s="183"/>
      <c r="H175" s="183"/>
      <c r="I175" s="183"/>
      <c r="J175" s="48"/>
    </row>
    <row r="176" spans="1:11" s="49" customFormat="1" ht="13.9" customHeight="1" x14ac:dyDescent="0.25">
      <c r="A176" s="184" t="s">
        <v>354</v>
      </c>
      <c r="B176" s="184"/>
      <c r="C176" s="184"/>
      <c r="D176" s="184"/>
      <c r="E176" s="184"/>
      <c r="F176" s="184"/>
      <c r="G176" s="184"/>
      <c r="H176" s="184"/>
      <c r="I176" s="184"/>
      <c r="J176" s="48"/>
    </row>
    <row r="177" spans="10:10" x14ac:dyDescent="0.25">
      <c r="J177" s="48"/>
    </row>
    <row r="178" spans="10:10" x14ac:dyDescent="0.25">
      <c r="J178" s="48"/>
    </row>
    <row r="179" spans="10:10" x14ac:dyDescent="0.25">
      <c r="J179" s="48"/>
    </row>
  </sheetData>
  <protectedRanges>
    <protectedRange algorithmName="SHA-512" hashValue="VF6HSW3Iy4xJ9rvYE/9xGHEoimGCygSu8D4FeqmdsD954MzAHwkkxLcwSP9Q5ui8KTGpWBzFAFpp2yGVfuii3Q==" saltValue="Ht0jMOW+8eakbuvlYpVr7Q==" spinCount="100000" sqref="G63:J68 G38:J40 G42:J44 G46:J51 G13:J36 G70:J77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2:J52 G54:J57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9:J61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97:WWE161" xr:uid="{FA694B6A-433F-4FA4-84BF-050781CB5F76}">
    <filterColumn colId="1">
      <filters>
        <filter val="ALL"/>
        <filter val="CY"/>
      </filters>
    </filterColumn>
    <filterColumn colId="3" showButton="0"/>
    <filterColumn colId="4" showButton="0"/>
  </autoFilter>
  <mergeCells count="151">
    <mergeCell ref="A173:J174"/>
    <mergeCell ref="A175:I175"/>
    <mergeCell ref="A176:I176"/>
    <mergeCell ref="A168:D168"/>
    <mergeCell ref="E168:J168"/>
    <mergeCell ref="A169:D169"/>
    <mergeCell ref="E169:J169"/>
    <mergeCell ref="A170:J170"/>
    <mergeCell ref="A171:J172"/>
    <mergeCell ref="A165:D165"/>
    <mergeCell ref="E165:J165"/>
    <mergeCell ref="A166:D166"/>
    <mergeCell ref="E166:J166"/>
    <mergeCell ref="A167:D167"/>
    <mergeCell ref="E167:J167"/>
    <mergeCell ref="D159:F159"/>
    <mergeCell ref="D160:F160"/>
    <mergeCell ref="D161:F161"/>
    <mergeCell ref="A163:J163"/>
    <mergeCell ref="A164:D164"/>
    <mergeCell ref="E164:J164"/>
    <mergeCell ref="D153:F153"/>
    <mergeCell ref="D154:F154"/>
    <mergeCell ref="D155:F155"/>
    <mergeCell ref="D156:F156"/>
    <mergeCell ref="D157:F157"/>
    <mergeCell ref="D158:F158"/>
    <mergeCell ref="D147:F147"/>
    <mergeCell ref="D148:F148"/>
    <mergeCell ref="D149:F149"/>
    <mergeCell ref="D150:F150"/>
    <mergeCell ref="D151:F151"/>
    <mergeCell ref="D152:F152"/>
    <mergeCell ref="D141:F141"/>
    <mergeCell ref="D142:F142"/>
    <mergeCell ref="D143:F143"/>
    <mergeCell ref="D144:F144"/>
    <mergeCell ref="D145:F145"/>
    <mergeCell ref="D146:F146"/>
    <mergeCell ref="D135:F135"/>
    <mergeCell ref="D136:F136"/>
    <mergeCell ref="D137:F137"/>
    <mergeCell ref="D138:F138"/>
    <mergeCell ref="D139:F139"/>
    <mergeCell ref="D140:F140"/>
    <mergeCell ref="D129:F129"/>
    <mergeCell ref="D130:F130"/>
    <mergeCell ref="D131:F131"/>
    <mergeCell ref="D132:F132"/>
    <mergeCell ref="D133:F133"/>
    <mergeCell ref="D134:F134"/>
    <mergeCell ref="D123:F123"/>
    <mergeCell ref="D124:F124"/>
    <mergeCell ref="D125:F125"/>
    <mergeCell ref="D126:F126"/>
    <mergeCell ref="D127:F127"/>
    <mergeCell ref="D128:F128"/>
    <mergeCell ref="D117:F117"/>
    <mergeCell ref="D118:F118"/>
    <mergeCell ref="D119:F119"/>
    <mergeCell ref="D120:F120"/>
    <mergeCell ref="D121:F121"/>
    <mergeCell ref="D122:F122"/>
    <mergeCell ref="D111:F111"/>
    <mergeCell ref="D112:F112"/>
    <mergeCell ref="D113:F113"/>
    <mergeCell ref="D114:F114"/>
    <mergeCell ref="D115:F115"/>
    <mergeCell ref="D116:F116"/>
    <mergeCell ref="D105:F105"/>
    <mergeCell ref="D106:F106"/>
    <mergeCell ref="D107:F107"/>
    <mergeCell ref="D108:F108"/>
    <mergeCell ref="D109:F109"/>
    <mergeCell ref="D110:F110"/>
    <mergeCell ref="D99:F99"/>
    <mergeCell ref="D100:F100"/>
    <mergeCell ref="D101:F101"/>
    <mergeCell ref="D102:F102"/>
    <mergeCell ref="D103:F103"/>
    <mergeCell ref="D104:F104"/>
    <mergeCell ref="A95:D95"/>
    <mergeCell ref="E95:J95"/>
    <mergeCell ref="L95:Q95"/>
    <mergeCell ref="A96:J96"/>
    <mergeCell ref="D97:F97"/>
    <mergeCell ref="D98:F98"/>
    <mergeCell ref="A93:D93"/>
    <mergeCell ref="G93:J93"/>
    <mergeCell ref="L93:Q93"/>
    <mergeCell ref="A94:D94"/>
    <mergeCell ref="G94:J94"/>
    <mergeCell ref="L94:Q94"/>
    <mergeCell ref="A91:D91"/>
    <mergeCell ref="F91:J91"/>
    <mergeCell ref="L91:Q91"/>
    <mergeCell ref="A92:D92"/>
    <mergeCell ref="G92:J92"/>
    <mergeCell ref="L92:Q92"/>
    <mergeCell ref="L88:Q88"/>
    <mergeCell ref="A89:D89"/>
    <mergeCell ref="F89:J89"/>
    <mergeCell ref="L89:Q89"/>
    <mergeCell ref="A90:D90"/>
    <mergeCell ref="F90:J90"/>
    <mergeCell ref="L90:Q90"/>
    <mergeCell ref="A86:D86"/>
    <mergeCell ref="F86:J86"/>
    <mergeCell ref="A87:D87"/>
    <mergeCell ref="F87:J87"/>
    <mergeCell ref="A88:D88"/>
    <mergeCell ref="F88:J88"/>
    <mergeCell ref="A83:D83"/>
    <mergeCell ref="F83:J83"/>
    <mergeCell ref="L83:Q83"/>
    <mergeCell ref="A84:D84"/>
    <mergeCell ref="F84:J84"/>
    <mergeCell ref="A85:D85"/>
    <mergeCell ref="F85:J85"/>
    <mergeCell ref="A80:J80"/>
    <mergeCell ref="A81:D81"/>
    <mergeCell ref="E81:J81"/>
    <mergeCell ref="L81:Q81"/>
    <mergeCell ref="A82:D82"/>
    <mergeCell ref="F82:J82"/>
    <mergeCell ref="L82:Q82"/>
    <mergeCell ref="E53:F53"/>
    <mergeCell ref="E58:F58"/>
    <mergeCell ref="E62:F62"/>
    <mergeCell ref="E69:F69"/>
    <mergeCell ref="A77:J77"/>
    <mergeCell ref="A79:J79"/>
    <mergeCell ref="E12:F12"/>
    <mergeCell ref="E37:F37"/>
    <mergeCell ref="E41:F41"/>
    <mergeCell ref="E45:F45"/>
    <mergeCell ref="B6:C6"/>
    <mergeCell ref="G6:I6"/>
    <mergeCell ref="E8:I8"/>
    <mergeCell ref="A10:J10"/>
    <mergeCell ref="N10:R10"/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</mergeCells>
  <hyperlinks>
    <hyperlink ref="G6" r:id="rId1" xr:uid="{B6301F84-0060-422B-9D6A-6EE8B9357D74}"/>
    <hyperlink ref="G4" r:id="rId2" display="jchang.lax@oecgroup.com" xr:uid="{2AEB45EA-68A8-4F31-8F9A-EDA6638AAE3A}"/>
  </hyperlinks>
  <pageMargins left="0.35" right="0.35" top="0.35" bottom="0.35" header="0.3" footer="0.3"/>
  <pageSetup scale="47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897023-639F-44DD-B085-D36C57BE439F}">
          <x14:formula1>
            <xm:f>'C:\Users\twang\AppData\Local\Microsoft\Windows\Temporary Internet Files\Content.Outlook\U7WJNCNV\[QUOTE TEMPLATE 05-01-21.xltx]Sheet1'!#REF!</xm:f>
          </x14:formula1>
          <xm:sqref>C70:C76 C42:C44 C38:C40 C54:C57 C46:C52 C63:C68 Q13:Q15 C13:C36</xm:sqref>
        </x14:dataValidation>
        <x14:dataValidation type="list" allowBlank="1" showInputMessage="1" showErrorMessage="1" xr:uid="{2BBFF9B5-2D5A-4FA7-85AF-76DD492C8C76}">
          <x14:formula1>
            <xm:f>'C:\Users\twang\AppData\Local\Microsoft\Windows\Temporary Internet Files\Content.Outlook\U7WJNCNV\[QUOTE TEMPLATE 05-01-21.xltx]Sheet1'!#REF!</xm:f>
          </x14:formula1>
          <xm:sqref>E88:E89 E63:E68 E70:E76 E42:E44 E38:E40 E91:E94 E54:E57 E46:E52 E82:E85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C8C1-A644-4B19-BF03-F48C9E02508E}">
  <sheetPr filterMode="1">
    <pageSetUpPr fitToPage="1"/>
  </sheetPr>
  <dimension ref="A1:AC179"/>
  <sheetViews>
    <sheetView topLeftCell="A62" zoomScale="85" zoomScaleNormal="85" zoomScaleSheetLayoutView="82" workbookViewId="0">
      <pane xSplit="4" topLeftCell="E1" activePane="topRight" state="frozen"/>
      <selection activeCell="A19" sqref="A19"/>
      <selection pane="topRight" activeCell="A90" sqref="A90:D90"/>
    </sheetView>
  </sheetViews>
  <sheetFormatPr defaultColWidth="8.85546875" defaultRowHeight="15" x14ac:dyDescent="0.25"/>
  <cols>
    <col min="1" max="1" width="27.5703125" style="50" customWidth="1"/>
    <col min="2" max="2" width="55.28515625" style="50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15.7109375" style="50" customWidth="1"/>
    <col min="13" max="13" width="11.140625" style="50" customWidth="1"/>
    <col min="14" max="14" width="9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44743</v>
      </c>
      <c r="C8" s="45" t="s">
        <v>91</v>
      </c>
      <c r="D8" s="44">
        <v>44756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383</v>
      </c>
      <c r="E13" s="95" t="s">
        <v>127</v>
      </c>
      <c r="F13" s="97" t="s">
        <v>417</v>
      </c>
      <c r="G13" s="98">
        <f>CEILING(S13+W13+X13+O13+N13+Y13,10)</f>
        <v>8720</v>
      </c>
      <c r="H13" s="99">
        <f>CEILING(T13+W13+X13+O13+N13+Z13,10)</f>
        <v>9460</v>
      </c>
      <c r="I13" s="99">
        <f>CEILING(U13+W13+X13+O13+N13+AA13,10)</f>
        <v>9460</v>
      </c>
      <c r="J13" s="99">
        <f>CEILING(V13+W13+X13+O13+N13+AB13,10)</f>
        <v>11430</v>
      </c>
      <c r="K13" s="57"/>
      <c r="L13" s="156" t="s">
        <v>384</v>
      </c>
      <c r="M13" s="52" t="s">
        <v>292</v>
      </c>
      <c r="N13" s="40">
        <f>75*10</f>
        <v>750</v>
      </c>
      <c r="O13" s="53">
        <f>VLOOKUP(B13,DRAYAGE!$A$1:$C$107,3,FALSE)</f>
        <v>1310</v>
      </c>
      <c r="P13" s="40" t="s">
        <v>347</v>
      </c>
      <c r="S13" s="101">
        <f t="shared" ref="S13:S35" si="0">0.9*T13</f>
        <v>6660</v>
      </c>
      <c r="T13" s="54">
        <v>7400</v>
      </c>
      <c r="U13" s="103">
        <f>T13</f>
        <v>7400</v>
      </c>
      <c r="V13" s="104">
        <f>U13*1.266</f>
        <v>9368.4</v>
      </c>
      <c r="X13" s="40">
        <v>0</v>
      </c>
    </row>
    <row r="14" spans="1:29" s="40" customFormat="1" ht="18.75" x14ac:dyDescent="0.25">
      <c r="A14" s="133" t="s">
        <v>55</v>
      </c>
      <c r="B14" s="51" t="s">
        <v>338</v>
      </c>
      <c r="C14" s="94" t="s">
        <v>54</v>
      </c>
      <c r="D14" s="95" t="s">
        <v>383</v>
      </c>
      <c r="E14" s="95" t="s">
        <v>127</v>
      </c>
      <c r="F14" s="97" t="s">
        <v>417</v>
      </c>
      <c r="G14" s="98">
        <f t="shared" ref="G14:G36" si="1">CEILING(S14+W14+X14+O14+N14+Y14,10)</f>
        <v>8630</v>
      </c>
      <c r="H14" s="99">
        <f t="shared" ref="H14:H36" si="2">CEILING(T14+W14+X14+O14+N14+Z14,10)</f>
        <v>9360</v>
      </c>
      <c r="I14" s="99">
        <f t="shared" ref="I14:I36" si="3">CEILING(U14+W14+X14+O14+N14+AA14,10)</f>
        <v>9360</v>
      </c>
      <c r="J14" s="99">
        <f t="shared" ref="J14:J36" si="4">CEILING(V14+W14+X14+O14+N14+AB14,10)</f>
        <v>11310</v>
      </c>
      <c r="K14" s="57"/>
      <c r="L14" s="156" t="s">
        <v>384</v>
      </c>
      <c r="M14" s="52" t="s">
        <v>292</v>
      </c>
      <c r="N14" s="40">
        <f t="shared" ref="N14:N36" si="5">75*10</f>
        <v>750</v>
      </c>
      <c r="O14" s="53">
        <f>VLOOKUP(B14,DRAYAGE!$A$1:$C$107,3,FALSE)</f>
        <v>1310</v>
      </c>
      <c r="P14" s="40" t="s">
        <v>347</v>
      </c>
      <c r="S14" s="101">
        <f t="shared" si="0"/>
        <v>6570</v>
      </c>
      <c r="T14" s="54">
        <v>7300</v>
      </c>
      <c r="U14" s="103">
        <f t="shared" ref="U14:U68" si="6">T14</f>
        <v>7300</v>
      </c>
      <c r="V14" s="104">
        <f t="shared" ref="V14:V23" si="7">U14*1.266</f>
        <v>9241.7999999999993</v>
      </c>
      <c r="X14" s="40">
        <v>0</v>
      </c>
    </row>
    <row r="15" spans="1:29" s="40" customFormat="1" ht="25.5" x14ac:dyDescent="0.25">
      <c r="A15" s="133" t="s">
        <v>55</v>
      </c>
      <c r="B15" s="51" t="s">
        <v>338</v>
      </c>
      <c r="C15" s="94" t="s">
        <v>54</v>
      </c>
      <c r="D15" s="165" t="s">
        <v>404</v>
      </c>
      <c r="E15" s="95" t="s">
        <v>127</v>
      </c>
      <c r="F15" s="97" t="s">
        <v>417</v>
      </c>
      <c r="G15" s="163">
        <f t="shared" si="1"/>
        <v>8190</v>
      </c>
      <c r="H15" s="164">
        <f t="shared" si="2"/>
        <v>8860</v>
      </c>
      <c r="I15" s="164">
        <f t="shared" si="3"/>
        <v>8860</v>
      </c>
      <c r="J15" s="164">
        <f t="shared" si="4"/>
        <v>10640</v>
      </c>
      <c r="K15" s="57"/>
      <c r="L15" s="161" t="s">
        <v>405</v>
      </c>
      <c r="M15" s="52" t="s">
        <v>292</v>
      </c>
      <c r="N15" s="40">
        <f t="shared" si="5"/>
        <v>750</v>
      </c>
      <c r="O15" s="53">
        <v>1430</v>
      </c>
      <c r="P15" s="40" t="s">
        <v>347</v>
      </c>
      <c r="R15" s="101">
        <v>6570</v>
      </c>
      <c r="S15" s="101">
        <f t="shared" si="0"/>
        <v>6007.5</v>
      </c>
      <c r="T15" s="162">
        <f>6500+175</f>
        <v>6675</v>
      </c>
      <c r="U15" s="103">
        <f t="shared" si="6"/>
        <v>6675</v>
      </c>
      <c r="V15" s="104">
        <f t="shared" si="7"/>
        <v>8450.5499999999993</v>
      </c>
      <c r="X15" s="40">
        <v>0</v>
      </c>
    </row>
    <row r="16" spans="1:29" s="40" customFormat="1" ht="18.75" x14ac:dyDescent="0.25">
      <c r="A16" s="133" t="s">
        <v>56</v>
      </c>
      <c r="B16" s="51" t="s">
        <v>338</v>
      </c>
      <c r="C16" s="94" t="s">
        <v>54</v>
      </c>
      <c r="D16" s="95" t="s">
        <v>383</v>
      </c>
      <c r="E16" s="95" t="s">
        <v>127</v>
      </c>
      <c r="F16" s="97" t="s">
        <v>417</v>
      </c>
      <c r="G16" s="98">
        <f t="shared" si="1"/>
        <v>8810</v>
      </c>
      <c r="H16" s="99">
        <f t="shared" si="2"/>
        <v>9560</v>
      </c>
      <c r="I16" s="99">
        <f t="shared" si="3"/>
        <v>9560</v>
      </c>
      <c r="J16" s="99">
        <f t="shared" si="4"/>
        <v>11560</v>
      </c>
      <c r="K16" s="57"/>
      <c r="L16" s="156" t="s">
        <v>384</v>
      </c>
      <c r="M16" s="52" t="s">
        <v>292</v>
      </c>
      <c r="N16" s="40">
        <f t="shared" si="5"/>
        <v>750</v>
      </c>
      <c r="O16" s="53">
        <f>VLOOKUP(B16,DRAYAGE!$A$1:$C$107,3,FALSE)</f>
        <v>1310</v>
      </c>
      <c r="P16" s="40" t="s">
        <v>347</v>
      </c>
      <c r="S16" s="101">
        <f t="shared" si="0"/>
        <v>6750</v>
      </c>
      <c r="T16" s="54">
        <v>7500</v>
      </c>
      <c r="U16" s="103">
        <f t="shared" si="6"/>
        <v>7500</v>
      </c>
      <c r="V16" s="104">
        <f t="shared" si="7"/>
        <v>9495</v>
      </c>
      <c r="X16" s="40">
        <v>0</v>
      </c>
    </row>
    <row r="17" spans="1:28" s="40" customFormat="1" ht="18.75" x14ac:dyDescent="0.25">
      <c r="A17" s="133" t="s">
        <v>57</v>
      </c>
      <c r="B17" s="51" t="s">
        <v>338</v>
      </c>
      <c r="C17" s="94" t="s">
        <v>54</v>
      </c>
      <c r="D17" s="95" t="s">
        <v>383</v>
      </c>
      <c r="E17" s="95" t="s">
        <v>127</v>
      </c>
      <c r="F17" s="97" t="s">
        <v>417</v>
      </c>
      <c r="G17" s="98">
        <f t="shared" si="1"/>
        <v>8810</v>
      </c>
      <c r="H17" s="99">
        <f t="shared" si="2"/>
        <v>9560</v>
      </c>
      <c r="I17" s="99">
        <f t="shared" si="3"/>
        <v>9560</v>
      </c>
      <c r="J17" s="99">
        <f t="shared" si="4"/>
        <v>11560</v>
      </c>
      <c r="K17" s="57"/>
      <c r="L17" s="156" t="s">
        <v>384</v>
      </c>
      <c r="M17" s="52" t="s">
        <v>292</v>
      </c>
      <c r="N17" s="40">
        <f t="shared" si="5"/>
        <v>750</v>
      </c>
      <c r="O17" s="53">
        <f>VLOOKUP(B17,DRAYAGE!$A$1:$C$107,3,FALSE)</f>
        <v>1310</v>
      </c>
      <c r="P17" s="40" t="s">
        <v>347</v>
      </c>
      <c r="S17" s="101">
        <f t="shared" si="0"/>
        <v>6750</v>
      </c>
      <c r="T17" s="54">
        <v>7500</v>
      </c>
      <c r="U17" s="103">
        <f t="shared" si="6"/>
        <v>7500</v>
      </c>
      <c r="V17" s="104">
        <f t="shared" si="7"/>
        <v>9495</v>
      </c>
      <c r="X17" s="40">
        <v>0</v>
      </c>
    </row>
    <row r="18" spans="1:28" s="40" customFormat="1" ht="18.75" x14ac:dyDescent="0.25">
      <c r="A18" s="133" t="s">
        <v>57</v>
      </c>
      <c r="B18" s="51" t="s">
        <v>338</v>
      </c>
      <c r="C18" s="94" t="s">
        <v>54</v>
      </c>
      <c r="D18" s="153" t="s">
        <v>403</v>
      </c>
      <c r="E18" s="95" t="s">
        <v>127</v>
      </c>
      <c r="F18" s="97" t="s">
        <v>417</v>
      </c>
      <c r="G18" s="163">
        <f t="shared" si="1"/>
        <v>8840</v>
      </c>
      <c r="H18" s="164">
        <f t="shared" si="2"/>
        <v>9580</v>
      </c>
      <c r="I18" s="164">
        <f t="shared" si="3"/>
        <v>9580</v>
      </c>
      <c r="J18" s="164">
        <f t="shared" si="4"/>
        <v>11550</v>
      </c>
      <c r="K18" s="57"/>
      <c r="L18" s="161" t="s">
        <v>403</v>
      </c>
      <c r="M18" s="52" t="s">
        <v>292</v>
      </c>
      <c r="N18" s="40">
        <f t="shared" si="5"/>
        <v>750</v>
      </c>
      <c r="O18" s="53">
        <v>1430</v>
      </c>
      <c r="P18" s="40" t="s">
        <v>347</v>
      </c>
      <c r="R18" s="101">
        <v>6750</v>
      </c>
      <c r="S18" s="101">
        <f t="shared" si="0"/>
        <v>6660</v>
      </c>
      <c r="T18" s="162">
        <f>7200+200</f>
        <v>7400</v>
      </c>
      <c r="U18" s="103">
        <f t="shared" si="6"/>
        <v>7400</v>
      </c>
      <c r="V18" s="104">
        <f t="shared" si="7"/>
        <v>9368.4</v>
      </c>
      <c r="X18" s="40">
        <v>0</v>
      </c>
    </row>
    <row r="19" spans="1:28" s="40" customFormat="1" ht="18.75" x14ac:dyDescent="0.25">
      <c r="A19" s="133" t="s">
        <v>64</v>
      </c>
      <c r="B19" s="51" t="s">
        <v>338</v>
      </c>
      <c r="C19" s="94" t="s">
        <v>54</v>
      </c>
      <c r="D19" s="95" t="s">
        <v>383</v>
      </c>
      <c r="E19" s="95" t="s">
        <v>127</v>
      </c>
      <c r="F19" s="97" t="s">
        <v>417</v>
      </c>
      <c r="G19" s="98">
        <f t="shared" si="1"/>
        <v>8950</v>
      </c>
      <c r="H19" s="99">
        <f t="shared" si="2"/>
        <v>9710</v>
      </c>
      <c r="I19" s="99">
        <f t="shared" si="3"/>
        <v>9710</v>
      </c>
      <c r="J19" s="99">
        <f t="shared" si="4"/>
        <v>11750</v>
      </c>
      <c r="K19" s="57"/>
      <c r="L19" s="156" t="s">
        <v>384</v>
      </c>
      <c r="M19" s="52" t="s">
        <v>292</v>
      </c>
      <c r="N19" s="40">
        <f t="shared" si="5"/>
        <v>750</v>
      </c>
      <c r="O19" s="53">
        <f>VLOOKUP(B19,DRAYAGE!$A$1:$C$107,3,FALSE)</f>
        <v>1310</v>
      </c>
      <c r="P19" s="40" t="s">
        <v>347</v>
      </c>
      <c r="S19" s="101">
        <f>0.9*T19</f>
        <v>6885</v>
      </c>
      <c r="T19" s="54">
        <f>T17+150</f>
        <v>7650</v>
      </c>
      <c r="U19" s="103">
        <f>T19</f>
        <v>7650</v>
      </c>
      <c r="V19" s="104">
        <f>U19*1.266</f>
        <v>9684.9</v>
      </c>
      <c r="X19" s="40">
        <v>0</v>
      </c>
    </row>
    <row r="20" spans="1:28" s="40" customFormat="1" ht="18.75" x14ac:dyDescent="0.25">
      <c r="A20" s="133" t="s">
        <v>366</v>
      </c>
      <c r="B20" s="51" t="s">
        <v>338</v>
      </c>
      <c r="C20" s="94" t="s">
        <v>54</v>
      </c>
      <c r="D20" s="95" t="s">
        <v>383</v>
      </c>
      <c r="E20" s="95" t="s">
        <v>127</v>
      </c>
      <c r="F20" s="97" t="s">
        <v>417</v>
      </c>
      <c r="G20" s="98">
        <f t="shared" si="1"/>
        <v>9310</v>
      </c>
      <c r="H20" s="99">
        <f t="shared" si="2"/>
        <v>10110</v>
      </c>
      <c r="I20" s="99">
        <f t="shared" si="3"/>
        <v>10110</v>
      </c>
      <c r="J20" s="99">
        <f t="shared" si="4"/>
        <v>12260</v>
      </c>
      <c r="K20" s="57"/>
      <c r="L20" s="156" t="s">
        <v>384</v>
      </c>
      <c r="M20" s="52" t="s">
        <v>292</v>
      </c>
      <c r="N20" s="40">
        <f t="shared" si="5"/>
        <v>750</v>
      </c>
      <c r="O20" s="53">
        <f>VLOOKUP(B20,DRAYAGE!$A$1:$C$107,3,FALSE)</f>
        <v>1310</v>
      </c>
      <c r="P20" s="40" t="s">
        <v>347</v>
      </c>
      <c r="S20" s="101">
        <f>0.9*T20</f>
        <v>7245</v>
      </c>
      <c r="T20" s="54">
        <f>T17+550</f>
        <v>8050</v>
      </c>
      <c r="U20" s="103">
        <f>T20</f>
        <v>8050</v>
      </c>
      <c r="V20" s="104">
        <f>U20*1.266</f>
        <v>10191.299999999999</v>
      </c>
      <c r="X20" s="40">
        <v>0</v>
      </c>
    </row>
    <row r="21" spans="1:28" s="40" customFormat="1" ht="18.75" x14ac:dyDescent="0.25">
      <c r="A21" s="133" t="s">
        <v>366</v>
      </c>
      <c r="B21" s="51" t="s">
        <v>338</v>
      </c>
      <c r="C21" s="94" t="s">
        <v>54</v>
      </c>
      <c r="D21" s="153" t="s">
        <v>403</v>
      </c>
      <c r="E21" s="95" t="s">
        <v>127</v>
      </c>
      <c r="F21" s="97" t="s">
        <v>417</v>
      </c>
      <c r="G21" s="163">
        <f t="shared" si="1"/>
        <v>8890</v>
      </c>
      <c r="H21" s="164">
        <f t="shared" si="2"/>
        <v>9630</v>
      </c>
      <c r="I21" s="164">
        <f t="shared" si="3"/>
        <v>9630</v>
      </c>
      <c r="J21" s="164">
        <f t="shared" si="4"/>
        <v>11620</v>
      </c>
      <c r="K21" s="57"/>
      <c r="L21" s="161" t="s">
        <v>403</v>
      </c>
      <c r="M21" s="52" t="s">
        <v>292</v>
      </c>
      <c r="N21" s="40">
        <f t="shared" si="5"/>
        <v>750</v>
      </c>
      <c r="O21" s="53">
        <v>1430</v>
      </c>
      <c r="P21" s="40" t="s">
        <v>347</v>
      </c>
      <c r="R21" s="101">
        <v>7245</v>
      </c>
      <c r="S21" s="101">
        <f>0.9*T21</f>
        <v>6705</v>
      </c>
      <c r="T21" s="162">
        <f>7200+250</f>
        <v>7450</v>
      </c>
      <c r="U21" s="103">
        <f>T21</f>
        <v>7450</v>
      </c>
      <c r="V21" s="104">
        <f>U21*1.266</f>
        <v>9431.7000000000007</v>
      </c>
      <c r="X21" s="40">
        <v>0</v>
      </c>
    </row>
    <row r="22" spans="1:28" s="40" customFormat="1" ht="18.75" x14ac:dyDescent="0.25">
      <c r="A22" s="133" t="s">
        <v>59</v>
      </c>
      <c r="B22" s="51" t="s">
        <v>338</v>
      </c>
      <c r="C22" s="94" t="s">
        <v>54</v>
      </c>
      <c r="D22" s="95" t="s">
        <v>383</v>
      </c>
      <c r="E22" s="95" t="s">
        <v>127</v>
      </c>
      <c r="F22" s="97" t="s">
        <v>417</v>
      </c>
      <c r="G22" s="98">
        <f t="shared" si="1"/>
        <v>8630</v>
      </c>
      <c r="H22" s="99">
        <f t="shared" si="2"/>
        <v>9360</v>
      </c>
      <c r="I22" s="99">
        <f t="shared" si="3"/>
        <v>9360</v>
      </c>
      <c r="J22" s="99">
        <f t="shared" si="4"/>
        <v>11310</v>
      </c>
      <c r="K22" s="57"/>
      <c r="L22" s="156" t="s">
        <v>384</v>
      </c>
      <c r="M22" s="52" t="s">
        <v>292</v>
      </c>
      <c r="N22" s="40">
        <f t="shared" si="5"/>
        <v>750</v>
      </c>
      <c r="O22" s="53">
        <f>VLOOKUP(B22,DRAYAGE!$A$1:$C$107,3,FALSE)</f>
        <v>1310</v>
      </c>
      <c r="P22" s="40" t="s">
        <v>347</v>
      </c>
      <c r="S22" s="101">
        <f t="shared" si="0"/>
        <v>6570</v>
      </c>
      <c r="T22" s="54">
        <v>7300</v>
      </c>
      <c r="U22" s="103">
        <f t="shared" si="6"/>
        <v>7300</v>
      </c>
      <c r="V22" s="104">
        <f t="shared" si="7"/>
        <v>9241.7999999999993</v>
      </c>
      <c r="X22" s="40">
        <v>0</v>
      </c>
    </row>
    <row r="23" spans="1:28" s="40" customFormat="1" ht="18.75" x14ac:dyDescent="0.25">
      <c r="A23" s="133" t="s">
        <v>59</v>
      </c>
      <c r="B23" s="51" t="s">
        <v>338</v>
      </c>
      <c r="C23" s="94" t="s">
        <v>54</v>
      </c>
      <c r="D23" s="153" t="s">
        <v>403</v>
      </c>
      <c r="E23" s="95" t="s">
        <v>127</v>
      </c>
      <c r="F23" s="97" t="s">
        <v>417</v>
      </c>
      <c r="G23" s="163">
        <f t="shared" si="1"/>
        <v>8660</v>
      </c>
      <c r="H23" s="164">
        <f t="shared" si="2"/>
        <v>9380</v>
      </c>
      <c r="I23" s="164">
        <f t="shared" si="3"/>
        <v>9380</v>
      </c>
      <c r="J23" s="164">
        <f t="shared" si="4"/>
        <v>11300</v>
      </c>
      <c r="K23" s="57"/>
      <c r="L23" s="161" t="s">
        <v>403</v>
      </c>
      <c r="M23" s="52" t="s">
        <v>292</v>
      </c>
      <c r="N23" s="40">
        <f t="shared" si="5"/>
        <v>750</v>
      </c>
      <c r="O23" s="53">
        <v>1430</v>
      </c>
      <c r="P23" s="40" t="s">
        <v>347</v>
      </c>
      <c r="R23" s="101">
        <v>6570</v>
      </c>
      <c r="S23" s="101">
        <f t="shared" si="0"/>
        <v>6480</v>
      </c>
      <c r="T23" s="162">
        <f>7000+200</f>
        <v>7200</v>
      </c>
      <c r="U23" s="103">
        <f t="shared" si="6"/>
        <v>7200</v>
      </c>
      <c r="V23" s="104">
        <f t="shared" si="7"/>
        <v>9115.2000000000007</v>
      </c>
      <c r="X23" s="40">
        <v>0</v>
      </c>
    </row>
    <row r="24" spans="1:28" s="40" customFormat="1" ht="18.75" x14ac:dyDescent="0.25">
      <c r="A24" s="133" t="s">
        <v>60</v>
      </c>
      <c r="B24" s="51" t="s">
        <v>338</v>
      </c>
      <c r="C24" s="94" t="s">
        <v>54</v>
      </c>
      <c r="D24" s="95" t="s">
        <v>383</v>
      </c>
      <c r="E24" s="95" t="s">
        <v>127</v>
      </c>
      <c r="F24" s="97" t="s">
        <v>417</v>
      </c>
      <c r="G24" s="98">
        <f t="shared" si="1"/>
        <v>8720</v>
      </c>
      <c r="H24" s="99">
        <f t="shared" si="2"/>
        <v>9460</v>
      </c>
      <c r="I24" s="99">
        <f t="shared" si="3"/>
        <v>9460</v>
      </c>
      <c r="J24" s="99">
        <f t="shared" si="4"/>
        <v>11430</v>
      </c>
      <c r="K24" s="57"/>
      <c r="L24" s="156" t="s">
        <v>384</v>
      </c>
      <c r="M24" s="52" t="s">
        <v>292</v>
      </c>
      <c r="N24" s="40">
        <f t="shared" si="5"/>
        <v>750</v>
      </c>
      <c r="O24" s="53">
        <f>VLOOKUP(B24,DRAYAGE!$A$1:$C$107,3,FALSE)</f>
        <v>1310</v>
      </c>
      <c r="P24" s="40" t="s">
        <v>347</v>
      </c>
      <c r="S24" s="101">
        <f t="shared" si="0"/>
        <v>6660</v>
      </c>
      <c r="T24" s="54">
        <v>7400</v>
      </c>
      <c r="U24" s="103">
        <f t="shared" si="6"/>
        <v>7400</v>
      </c>
      <c r="V24" s="104">
        <f>U24*1.266</f>
        <v>9368.4</v>
      </c>
      <c r="X24" s="40">
        <v>0</v>
      </c>
    </row>
    <row r="25" spans="1:28" s="40" customFormat="1" ht="18.75" x14ac:dyDescent="0.25">
      <c r="A25" s="133" t="s">
        <v>376</v>
      </c>
      <c r="B25" s="51" t="s">
        <v>338</v>
      </c>
      <c r="C25" s="94" t="s">
        <v>54</v>
      </c>
      <c r="D25" s="95" t="s">
        <v>383</v>
      </c>
      <c r="E25" s="95" t="s">
        <v>127</v>
      </c>
      <c r="F25" s="97" t="s">
        <v>417</v>
      </c>
      <c r="G25" s="98">
        <f t="shared" si="1"/>
        <v>8630</v>
      </c>
      <c r="H25" s="99">
        <f t="shared" si="2"/>
        <v>9360</v>
      </c>
      <c r="I25" s="99">
        <f t="shared" si="3"/>
        <v>9360</v>
      </c>
      <c r="J25" s="99">
        <f t="shared" si="4"/>
        <v>11310</v>
      </c>
      <c r="K25" s="57"/>
      <c r="L25" s="156" t="s">
        <v>384</v>
      </c>
      <c r="M25" s="52" t="s">
        <v>292</v>
      </c>
      <c r="N25" s="40">
        <f t="shared" si="5"/>
        <v>750</v>
      </c>
      <c r="O25" s="53">
        <f>VLOOKUP(B25,DRAYAGE!$A$1:$C$107,3,FALSE)</f>
        <v>1310</v>
      </c>
      <c r="P25" s="40" t="s">
        <v>347</v>
      </c>
      <c r="S25" s="101">
        <f t="shared" si="0"/>
        <v>6570</v>
      </c>
      <c r="T25" s="54">
        <v>7300</v>
      </c>
      <c r="U25" s="103">
        <f t="shared" si="6"/>
        <v>7300</v>
      </c>
      <c r="V25" s="104">
        <f t="shared" ref="V25:V35" si="8">U25*1.266</f>
        <v>9241.7999999999993</v>
      </c>
      <c r="X25" s="40">
        <v>0</v>
      </c>
    </row>
    <row r="26" spans="1:28" s="40" customFormat="1" ht="18.75" x14ac:dyDescent="0.25">
      <c r="A26" s="133" t="s">
        <v>376</v>
      </c>
      <c r="B26" s="51" t="s">
        <v>338</v>
      </c>
      <c r="C26" s="94" t="s">
        <v>54</v>
      </c>
      <c r="D26" s="153" t="s">
        <v>403</v>
      </c>
      <c r="E26" s="95" t="s">
        <v>127</v>
      </c>
      <c r="F26" s="97" t="s">
        <v>417</v>
      </c>
      <c r="G26" s="163">
        <f t="shared" si="1"/>
        <v>8660</v>
      </c>
      <c r="H26" s="164">
        <f t="shared" si="2"/>
        <v>9380</v>
      </c>
      <c r="I26" s="164">
        <f t="shared" si="3"/>
        <v>9380</v>
      </c>
      <c r="J26" s="164">
        <f t="shared" si="4"/>
        <v>11300</v>
      </c>
      <c r="K26" s="57"/>
      <c r="L26" s="161" t="s">
        <v>403</v>
      </c>
      <c r="M26" s="52" t="s">
        <v>292</v>
      </c>
      <c r="N26" s="40">
        <f t="shared" si="5"/>
        <v>750</v>
      </c>
      <c r="O26" s="53">
        <v>1430</v>
      </c>
      <c r="P26" s="40" t="s">
        <v>347</v>
      </c>
      <c r="R26" s="101">
        <v>6570</v>
      </c>
      <c r="S26" s="101">
        <f t="shared" si="0"/>
        <v>6480</v>
      </c>
      <c r="T26" s="162">
        <f>7000+200</f>
        <v>7200</v>
      </c>
      <c r="U26" s="103">
        <f t="shared" si="6"/>
        <v>7200</v>
      </c>
      <c r="V26" s="104">
        <f t="shared" si="8"/>
        <v>9115.2000000000007</v>
      </c>
      <c r="X26" s="40">
        <v>0</v>
      </c>
    </row>
    <row r="27" spans="1:28" s="40" customFormat="1" ht="18.75" x14ac:dyDescent="0.25">
      <c r="A27" s="133" t="s">
        <v>108</v>
      </c>
      <c r="B27" s="51" t="s">
        <v>338</v>
      </c>
      <c r="C27" s="94" t="s">
        <v>54</v>
      </c>
      <c r="D27" s="95" t="s">
        <v>383</v>
      </c>
      <c r="E27" s="95" t="s">
        <v>127</v>
      </c>
      <c r="F27" s="97" t="s">
        <v>417</v>
      </c>
      <c r="G27" s="98">
        <f t="shared" si="1"/>
        <v>8720</v>
      </c>
      <c r="H27" s="99">
        <f t="shared" si="2"/>
        <v>9460</v>
      </c>
      <c r="I27" s="99">
        <f t="shared" si="3"/>
        <v>9460</v>
      </c>
      <c r="J27" s="99">
        <f t="shared" si="4"/>
        <v>11430</v>
      </c>
      <c r="K27" s="57"/>
      <c r="L27" s="156" t="s">
        <v>384</v>
      </c>
      <c r="M27" s="52" t="s">
        <v>292</v>
      </c>
      <c r="N27" s="40">
        <f t="shared" si="5"/>
        <v>750</v>
      </c>
      <c r="O27" s="53">
        <f>VLOOKUP(B27,DRAYAGE!$A$1:$C$107,3,FALSE)</f>
        <v>1310</v>
      </c>
      <c r="P27" s="40" t="s">
        <v>347</v>
      </c>
      <c r="S27" s="101">
        <f t="shared" si="0"/>
        <v>6660</v>
      </c>
      <c r="T27" s="54">
        <v>7400</v>
      </c>
      <c r="U27" s="103">
        <f t="shared" si="6"/>
        <v>7400</v>
      </c>
      <c r="V27" s="104">
        <f t="shared" si="8"/>
        <v>9368.4</v>
      </c>
      <c r="X27" s="40">
        <v>0</v>
      </c>
    </row>
    <row r="28" spans="1:28" s="40" customFormat="1" ht="18.75" x14ac:dyDescent="0.25">
      <c r="A28" s="133" t="s">
        <v>108</v>
      </c>
      <c r="B28" s="51" t="s">
        <v>338</v>
      </c>
      <c r="C28" s="94" t="s">
        <v>54</v>
      </c>
      <c r="D28" s="153" t="s">
        <v>403</v>
      </c>
      <c r="E28" s="95" t="s">
        <v>127</v>
      </c>
      <c r="F28" s="97" t="s">
        <v>417</v>
      </c>
      <c r="G28" s="163">
        <f t="shared" si="1"/>
        <v>8300</v>
      </c>
      <c r="H28" s="164">
        <f t="shared" si="2"/>
        <v>8980</v>
      </c>
      <c r="I28" s="164">
        <f t="shared" si="3"/>
        <v>8980</v>
      </c>
      <c r="J28" s="164">
        <f t="shared" si="4"/>
        <v>10790</v>
      </c>
      <c r="K28" s="57"/>
      <c r="L28" s="161" t="s">
        <v>403</v>
      </c>
      <c r="M28" s="52" t="s">
        <v>292</v>
      </c>
      <c r="N28" s="40">
        <f t="shared" si="5"/>
        <v>750</v>
      </c>
      <c r="O28" s="53">
        <v>1430</v>
      </c>
      <c r="P28" s="40" t="s">
        <v>347</v>
      </c>
      <c r="R28" s="101">
        <v>6660</v>
      </c>
      <c r="S28" s="101">
        <f t="shared" si="0"/>
        <v>6120</v>
      </c>
      <c r="T28" s="162">
        <f>6500+300</f>
        <v>6800</v>
      </c>
      <c r="U28" s="103">
        <f t="shared" si="6"/>
        <v>6800</v>
      </c>
      <c r="V28" s="104">
        <f t="shared" si="8"/>
        <v>8608.7999999999993</v>
      </c>
      <c r="X28" s="40">
        <v>0</v>
      </c>
    </row>
    <row r="29" spans="1:28" s="40" customFormat="1" ht="18.75" x14ac:dyDescent="0.25">
      <c r="A29" s="133" t="s">
        <v>62</v>
      </c>
      <c r="B29" s="51" t="s">
        <v>338</v>
      </c>
      <c r="C29" s="94" t="s">
        <v>54</v>
      </c>
      <c r="D29" s="95" t="s">
        <v>383</v>
      </c>
      <c r="E29" s="95" t="s">
        <v>127</v>
      </c>
      <c r="F29" s="97" t="s">
        <v>417</v>
      </c>
      <c r="G29" s="98">
        <f t="shared" si="1"/>
        <v>8860</v>
      </c>
      <c r="H29" s="99">
        <f t="shared" si="2"/>
        <v>9610</v>
      </c>
      <c r="I29" s="99">
        <f t="shared" si="3"/>
        <v>9610</v>
      </c>
      <c r="J29" s="99">
        <f t="shared" si="4"/>
        <v>11620</v>
      </c>
      <c r="K29" s="57"/>
      <c r="L29" s="156" t="s">
        <v>384</v>
      </c>
      <c r="M29" s="52" t="s">
        <v>292</v>
      </c>
      <c r="N29" s="40">
        <f t="shared" si="5"/>
        <v>750</v>
      </c>
      <c r="O29" s="53">
        <f>VLOOKUP(B29,DRAYAGE!$A$1:$C$107,3,FALSE)</f>
        <v>1310</v>
      </c>
      <c r="P29" s="40" t="s">
        <v>347</v>
      </c>
      <c r="S29" s="101">
        <f t="shared" si="0"/>
        <v>6795</v>
      </c>
      <c r="T29" s="54">
        <v>7550</v>
      </c>
      <c r="U29" s="103">
        <f t="shared" si="6"/>
        <v>7550</v>
      </c>
      <c r="V29" s="104">
        <f t="shared" si="8"/>
        <v>9558.2999999999993</v>
      </c>
      <c r="X29" s="40">
        <v>0</v>
      </c>
      <c r="Y29" s="40">
        <f t="shared" ref="Y29:Y34" si="9">0.9*Z29</f>
        <v>0</v>
      </c>
      <c r="AA29" s="40">
        <f t="shared" ref="AA29:AA34" si="10">Z29</f>
        <v>0</v>
      </c>
      <c r="AB29" s="40">
        <f t="shared" ref="AB29:AB34" si="11">Z29*1.266</f>
        <v>0</v>
      </c>
    </row>
    <row r="30" spans="1:28" s="40" customFormat="1" ht="18.75" x14ac:dyDescent="0.25">
      <c r="A30" s="133" t="s">
        <v>66</v>
      </c>
      <c r="B30" s="51" t="s">
        <v>338</v>
      </c>
      <c r="C30" s="94" t="s">
        <v>54</v>
      </c>
      <c r="D30" s="95" t="s">
        <v>383</v>
      </c>
      <c r="E30" s="95" t="s">
        <v>127</v>
      </c>
      <c r="F30" s="97" t="s">
        <v>417</v>
      </c>
      <c r="G30" s="98">
        <f t="shared" si="1"/>
        <v>9040</v>
      </c>
      <c r="H30" s="99">
        <f t="shared" si="2"/>
        <v>9810</v>
      </c>
      <c r="I30" s="99">
        <f t="shared" si="3"/>
        <v>9810</v>
      </c>
      <c r="J30" s="99">
        <f t="shared" si="4"/>
        <v>11880</v>
      </c>
      <c r="K30" s="57"/>
      <c r="L30" s="156" t="s">
        <v>384</v>
      </c>
      <c r="M30" s="52" t="s">
        <v>292</v>
      </c>
      <c r="N30" s="40">
        <f t="shared" si="5"/>
        <v>750</v>
      </c>
      <c r="O30" s="53">
        <f>VLOOKUP(B30,DRAYAGE!$A$1:$C$107,3,FALSE)</f>
        <v>1310</v>
      </c>
      <c r="P30" s="40" t="s">
        <v>347</v>
      </c>
      <c r="S30" s="101">
        <f t="shared" si="0"/>
        <v>6975</v>
      </c>
      <c r="T30" s="54">
        <f>T24+350</f>
        <v>7750</v>
      </c>
      <c r="U30" s="103">
        <f t="shared" si="6"/>
        <v>7750</v>
      </c>
      <c r="V30" s="104">
        <f t="shared" si="8"/>
        <v>9811.5</v>
      </c>
      <c r="X30" s="40">
        <v>0</v>
      </c>
    </row>
    <row r="31" spans="1:28" s="40" customFormat="1" ht="18.75" x14ac:dyDescent="0.25">
      <c r="A31" s="133" t="s">
        <v>65</v>
      </c>
      <c r="B31" s="51" t="s">
        <v>338</v>
      </c>
      <c r="C31" s="94" t="s">
        <v>54</v>
      </c>
      <c r="D31" s="95" t="s">
        <v>383</v>
      </c>
      <c r="E31" s="95" t="s">
        <v>127</v>
      </c>
      <c r="F31" s="97" t="s">
        <v>417</v>
      </c>
      <c r="G31" s="98">
        <f t="shared" si="1"/>
        <v>9020</v>
      </c>
      <c r="H31" s="99">
        <f t="shared" si="2"/>
        <v>9790</v>
      </c>
      <c r="I31" s="99">
        <f t="shared" si="3"/>
        <v>9790</v>
      </c>
      <c r="J31" s="99">
        <f t="shared" si="4"/>
        <v>11840</v>
      </c>
      <c r="K31" s="57"/>
      <c r="L31" s="156" t="s">
        <v>384</v>
      </c>
      <c r="M31" s="52" t="s">
        <v>292</v>
      </c>
      <c r="N31" s="40">
        <f t="shared" si="5"/>
        <v>750</v>
      </c>
      <c r="O31" s="53">
        <f>VLOOKUP(B31,DRAYAGE!$A$1:$C$107,3,FALSE)</f>
        <v>1310</v>
      </c>
      <c r="P31" s="40" t="s">
        <v>347</v>
      </c>
      <c r="S31" s="101">
        <f t="shared" si="0"/>
        <v>6952.5</v>
      </c>
      <c r="T31" s="54">
        <f>T24+325</f>
        <v>7725</v>
      </c>
      <c r="U31" s="103">
        <f t="shared" si="6"/>
        <v>7725</v>
      </c>
      <c r="V31" s="104">
        <f t="shared" si="8"/>
        <v>9779.85</v>
      </c>
      <c r="X31" s="40">
        <v>0</v>
      </c>
      <c r="Y31" s="40">
        <f t="shared" si="9"/>
        <v>0</v>
      </c>
      <c r="AA31" s="40">
        <f t="shared" si="10"/>
        <v>0</v>
      </c>
      <c r="AB31" s="40">
        <f t="shared" si="11"/>
        <v>0</v>
      </c>
    </row>
    <row r="32" spans="1:28" s="40" customFormat="1" ht="18.75" x14ac:dyDescent="0.25">
      <c r="A32" s="133" t="s">
        <v>65</v>
      </c>
      <c r="B32" s="51" t="s">
        <v>338</v>
      </c>
      <c r="C32" s="94" t="s">
        <v>54</v>
      </c>
      <c r="D32" s="165" t="s">
        <v>408</v>
      </c>
      <c r="E32" s="95" t="s">
        <v>127</v>
      </c>
      <c r="F32" s="97" t="s">
        <v>417</v>
      </c>
      <c r="G32" s="163">
        <f t="shared" si="1"/>
        <v>8990</v>
      </c>
      <c r="H32" s="164">
        <f t="shared" si="2"/>
        <v>9750</v>
      </c>
      <c r="I32" s="164">
        <f t="shared" si="3"/>
        <v>9750</v>
      </c>
      <c r="J32" s="164">
        <f t="shared" si="4"/>
        <v>11760</v>
      </c>
      <c r="K32" s="57"/>
      <c r="L32" s="161" t="s">
        <v>408</v>
      </c>
      <c r="M32" s="52" t="s">
        <v>292</v>
      </c>
      <c r="N32" s="40">
        <f t="shared" si="5"/>
        <v>750</v>
      </c>
      <c r="O32" s="53">
        <v>1430</v>
      </c>
      <c r="P32" s="40" t="s">
        <v>347</v>
      </c>
      <c r="R32" s="101">
        <v>6975</v>
      </c>
      <c r="S32" s="101">
        <f>0.9*T32</f>
        <v>6808.5</v>
      </c>
      <c r="T32" s="162">
        <f>7365+200</f>
        <v>7565</v>
      </c>
      <c r="U32" s="103">
        <f>T32</f>
        <v>7565</v>
      </c>
      <c r="V32" s="104">
        <f>U32*1.266</f>
        <v>9577.2900000000009</v>
      </c>
      <c r="X32" s="40">
        <v>0</v>
      </c>
      <c r="Z32" s="40">
        <v>0</v>
      </c>
      <c r="AA32" s="40">
        <v>0</v>
      </c>
    </row>
    <row r="33" spans="1:29" s="40" customFormat="1" ht="18.75" x14ac:dyDescent="0.25">
      <c r="A33" s="133" t="s">
        <v>63</v>
      </c>
      <c r="B33" s="51" t="s">
        <v>338</v>
      </c>
      <c r="C33" s="94" t="s">
        <v>54</v>
      </c>
      <c r="D33" s="95" t="s">
        <v>383</v>
      </c>
      <c r="E33" s="95" t="s">
        <v>127</v>
      </c>
      <c r="F33" s="97" t="s">
        <v>417</v>
      </c>
      <c r="G33" s="98">
        <f t="shared" si="1"/>
        <v>9040</v>
      </c>
      <c r="H33" s="99">
        <f t="shared" si="2"/>
        <v>9810</v>
      </c>
      <c r="I33" s="99">
        <f t="shared" si="3"/>
        <v>9810</v>
      </c>
      <c r="J33" s="99">
        <f t="shared" si="4"/>
        <v>11880</v>
      </c>
      <c r="K33" s="57"/>
      <c r="L33" s="156" t="s">
        <v>384</v>
      </c>
      <c r="M33" s="52" t="s">
        <v>292</v>
      </c>
      <c r="N33" s="40">
        <f t="shared" si="5"/>
        <v>750</v>
      </c>
      <c r="O33" s="53">
        <f>VLOOKUP(B33,DRAYAGE!$A$1:$C$107,3,FALSE)</f>
        <v>1310</v>
      </c>
      <c r="P33" s="40" t="s">
        <v>347</v>
      </c>
      <c r="S33" s="101">
        <f t="shared" si="0"/>
        <v>6975</v>
      </c>
      <c r="T33" s="54">
        <f>T24+350</f>
        <v>7750</v>
      </c>
      <c r="U33" s="103">
        <f t="shared" si="6"/>
        <v>7750</v>
      </c>
      <c r="V33" s="104">
        <f t="shared" si="8"/>
        <v>9811.5</v>
      </c>
      <c r="X33" s="40">
        <v>0</v>
      </c>
      <c r="Y33" s="40">
        <f t="shared" si="9"/>
        <v>0</v>
      </c>
      <c r="AA33" s="40">
        <f t="shared" si="10"/>
        <v>0</v>
      </c>
      <c r="AB33" s="40">
        <f t="shared" si="11"/>
        <v>0</v>
      </c>
    </row>
    <row r="34" spans="1:29" s="45" customFormat="1" ht="18.75" x14ac:dyDescent="0.25">
      <c r="A34" s="133" t="s">
        <v>275</v>
      </c>
      <c r="B34" s="51" t="s">
        <v>338</v>
      </c>
      <c r="C34" s="106" t="s">
        <v>54</v>
      </c>
      <c r="D34" s="95" t="s">
        <v>383</v>
      </c>
      <c r="E34" s="95" t="s">
        <v>127</v>
      </c>
      <c r="F34" s="97" t="s">
        <v>417</v>
      </c>
      <c r="G34" s="98">
        <f t="shared" si="1"/>
        <v>9040</v>
      </c>
      <c r="H34" s="99">
        <f t="shared" si="2"/>
        <v>9810</v>
      </c>
      <c r="I34" s="99">
        <f t="shared" si="3"/>
        <v>9810</v>
      </c>
      <c r="J34" s="99">
        <f t="shared" si="4"/>
        <v>11880</v>
      </c>
      <c r="K34" s="111"/>
      <c r="L34" s="156" t="s">
        <v>384</v>
      </c>
      <c r="M34" s="52" t="s">
        <v>292</v>
      </c>
      <c r="N34" s="40">
        <f t="shared" si="5"/>
        <v>750</v>
      </c>
      <c r="O34" s="53">
        <f>VLOOKUP(B34,DRAYAGE!$A$1:$C$107,3,FALSE)</f>
        <v>1310</v>
      </c>
      <c r="P34" s="40" t="s">
        <v>347</v>
      </c>
      <c r="R34" s="105"/>
      <c r="S34" s="113">
        <f t="shared" si="0"/>
        <v>6975</v>
      </c>
      <c r="T34" s="54">
        <f>T24+350</f>
        <v>7750</v>
      </c>
      <c r="U34" s="103">
        <f t="shared" si="6"/>
        <v>7750</v>
      </c>
      <c r="V34" s="114">
        <f t="shared" si="8"/>
        <v>9811.5</v>
      </c>
      <c r="X34" s="45">
        <v>0</v>
      </c>
      <c r="Y34" s="40">
        <f t="shared" si="9"/>
        <v>0</v>
      </c>
      <c r="AA34" s="40">
        <f t="shared" si="10"/>
        <v>0</v>
      </c>
      <c r="AB34" s="40">
        <f t="shared" si="11"/>
        <v>0</v>
      </c>
    </row>
    <row r="35" spans="1:29" s="45" customFormat="1" ht="18.75" x14ac:dyDescent="0.25">
      <c r="A35" s="133" t="s">
        <v>275</v>
      </c>
      <c r="B35" s="51" t="s">
        <v>338</v>
      </c>
      <c r="C35" s="106" t="s">
        <v>54</v>
      </c>
      <c r="D35" s="153" t="s">
        <v>406</v>
      </c>
      <c r="E35" s="95" t="s">
        <v>127</v>
      </c>
      <c r="F35" s="97" t="s">
        <v>417</v>
      </c>
      <c r="G35" s="163">
        <f t="shared" si="1"/>
        <v>9080</v>
      </c>
      <c r="H35" s="164">
        <f t="shared" si="2"/>
        <v>9840</v>
      </c>
      <c r="I35" s="164">
        <f t="shared" si="3"/>
        <v>9840</v>
      </c>
      <c r="J35" s="164">
        <f t="shared" si="4"/>
        <v>11880</v>
      </c>
      <c r="K35" s="111"/>
      <c r="L35" s="161" t="s">
        <v>406</v>
      </c>
      <c r="M35" s="52" t="s">
        <v>292</v>
      </c>
      <c r="N35" s="40">
        <f t="shared" si="5"/>
        <v>750</v>
      </c>
      <c r="O35" s="53">
        <v>1430</v>
      </c>
      <c r="P35" s="40" t="s">
        <v>347</v>
      </c>
      <c r="R35" s="113">
        <v>6975</v>
      </c>
      <c r="S35" s="101">
        <f t="shared" si="0"/>
        <v>6894</v>
      </c>
      <c r="T35" s="162">
        <f>7510+150</f>
        <v>7660</v>
      </c>
      <c r="U35" s="103">
        <f t="shared" si="6"/>
        <v>7660</v>
      </c>
      <c r="V35" s="104">
        <f t="shared" si="8"/>
        <v>9697.56</v>
      </c>
      <c r="W35" s="40"/>
      <c r="X35" s="40">
        <v>0</v>
      </c>
      <c r="Y35" s="40"/>
      <c r="Z35" s="40"/>
      <c r="AA35" s="40"/>
      <c r="AB35" s="40"/>
      <c r="AC35" s="40"/>
    </row>
    <row r="36" spans="1:29" s="45" customFormat="1" ht="25.5" x14ac:dyDescent="0.25">
      <c r="A36" s="133" t="s">
        <v>275</v>
      </c>
      <c r="B36" s="51" t="s">
        <v>338</v>
      </c>
      <c r="C36" s="106" t="s">
        <v>54</v>
      </c>
      <c r="D36" s="165" t="s">
        <v>407</v>
      </c>
      <c r="E36" s="95" t="s">
        <v>127</v>
      </c>
      <c r="F36" s="97" t="s">
        <v>417</v>
      </c>
      <c r="G36" s="163">
        <f t="shared" si="1"/>
        <v>8810</v>
      </c>
      <c r="H36" s="164">
        <f t="shared" si="2"/>
        <v>9550</v>
      </c>
      <c r="I36" s="164">
        <f t="shared" si="3"/>
        <v>9550</v>
      </c>
      <c r="J36" s="164">
        <f t="shared" si="4"/>
        <v>11510</v>
      </c>
      <c r="K36" s="111"/>
      <c r="L36" s="161" t="s">
        <v>407</v>
      </c>
      <c r="M36" s="52" t="s">
        <v>292</v>
      </c>
      <c r="N36" s="40">
        <f t="shared" si="5"/>
        <v>750</v>
      </c>
      <c r="O36" s="53">
        <v>1430</v>
      </c>
      <c r="P36" s="40" t="s">
        <v>347</v>
      </c>
      <c r="R36" s="101">
        <v>6120</v>
      </c>
      <c r="S36" s="101">
        <f>0.9*T36</f>
        <v>6628.5</v>
      </c>
      <c r="T36" s="162">
        <f>7165+200</f>
        <v>7365</v>
      </c>
      <c r="U36" s="103">
        <f>T36</f>
        <v>7365</v>
      </c>
      <c r="V36" s="104">
        <f>U36*1.266</f>
        <v>9324.09</v>
      </c>
      <c r="W36" s="40"/>
      <c r="X36" s="40">
        <v>0</v>
      </c>
      <c r="Y36" s="40"/>
      <c r="Z36" s="40"/>
      <c r="AA36" s="40"/>
      <c r="AB36" s="40"/>
    </row>
    <row r="37" spans="1:29" s="40" customFormat="1" ht="14.45" customHeight="1" x14ac:dyDescent="0.25">
      <c r="A37" s="134" t="s">
        <v>333</v>
      </c>
      <c r="B37" s="88"/>
      <c r="C37" s="88"/>
      <c r="D37" s="88"/>
      <c r="E37" s="210"/>
      <c r="F37" s="211"/>
      <c r="G37" s="88"/>
      <c r="H37" s="88"/>
      <c r="I37" s="88"/>
      <c r="J37" s="88"/>
      <c r="K37" s="57"/>
      <c r="L37" s="89" t="s">
        <v>48</v>
      </c>
      <c r="M37" s="89" t="s">
        <v>261</v>
      </c>
      <c r="N37" s="90" t="s">
        <v>51</v>
      </c>
      <c r="O37" s="91" t="s">
        <v>50</v>
      </c>
      <c r="P37" s="91" t="s">
        <v>262</v>
      </c>
      <c r="Q37" s="91" t="s">
        <v>263</v>
      </c>
      <c r="R37" s="91" t="s">
        <v>264</v>
      </c>
      <c r="S37" s="92" t="s">
        <v>52</v>
      </c>
      <c r="T37" s="92" t="s">
        <v>53</v>
      </c>
      <c r="U37" s="92" t="s">
        <v>265</v>
      </c>
      <c r="V37" s="92" t="s">
        <v>266</v>
      </c>
      <c r="W37" s="92" t="s">
        <v>267</v>
      </c>
      <c r="X37" s="92" t="s">
        <v>268</v>
      </c>
      <c r="Y37" s="92" t="s">
        <v>52</v>
      </c>
      <c r="Z37" s="92" t="s">
        <v>53</v>
      </c>
      <c r="AA37" s="92" t="s">
        <v>265</v>
      </c>
      <c r="AB37" s="92" t="s">
        <v>266</v>
      </c>
      <c r="AC37" s="93" t="s">
        <v>269</v>
      </c>
    </row>
    <row r="38" spans="1:29" s="40" customFormat="1" ht="14.45" customHeight="1" x14ac:dyDescent="0.25">
      <c r="A38" s="133" t="s">
        <v>58</v>
      </c>
      <c r="B38" s="51" t="s">
        <v>339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>CEILING(S38+W38+X38+O38+N38+Y38,10)</f>
        <v>11490</v>
      </c>
      <c r="H38" s="99">
        <f>CEILING(T38+W38+X38+O38+N38+Z38,10)</f>
        <v>12470</v>
      </c>
      <c r="I38" s="99">
        <f>CEILING(U38+W38+X38+O38+N38+AA38,10)</f>
        <v>12470</v>
      </c>
      <c r="J38" s="99">
        <f>CEILING(V38+W38+X38+O38+N38+AB38,10)</f>
        <v>15080</v>
      </c>
      <c r="K38" s="57"/>
      <c r="L38" s="156" t="s">
        <v>384</v>
      </c>
      <c r="M38" s="52" t="s">
        <v>293</v>
      </c>
      <c r="N38" s="40">
        <v>0</v>
      </c>
      <c r="O38" s="53">
        <f>VLOOKUP(B38,DRAYAGE!$A$1:$C$107,3,FALSE)</f>
        <v>2665</v>
      </c>
      <c r="P38" s="40" t="s">
        <v>299</v>
      </c>
      <c r="S38" s="101">
        <f>0.9*T38</f>
        <v>8820</v>
      </c>
      <c r="T38" s="54">
        <f>9500+300</f>
        <v>9800</v>
      </c>
      <c r="U38" s="103">
        <f t="shared" si="6"/>
        <v>9800</v>
      </c>
      <c r="V38" s="104">
        <f>U38*1.266</f>
        <v>12406.8</v>
      </c>
    </row>
    <row r="39" spans="1:29" s="40" customFormat="1" ht="14.45" customHeight="1" x14ac:dyDescent="0.25">
      <c r="A39" s="133" t="s">
        <v>55</v>
      </c>
      <c r="B39" s="51" t="s">
        <v>339</v>
      </c>
      <c r="C39" s="94" t="s">
        <v>54</v>
      </c>
      <c r="D39" s="95" t="s">
        <v>383</v>
      </c>
      <c r="E39" s="96" t="s">
        <v>114</v>
      </c>
      <c r="F39" s="97" t="s">
        <v>270</v>
      </c>
      <c r="G39" s="98">
        <f>CEILING(S39+W39+X39+O39+N39+Y39,10)</f>
        <v>11310</v>
      </c>
      <c r="H39" s="99">
        <f>CEILING(T39+W39+X39+O39+N39+Z39,10)</f>
        <v>12270</v>
      </c>
      <c r="I39" s="99">
        <f>CEILING(U39+W39+X39+O39+N39+AA39,10)</f>
        <v>12270</v>
      </c>
      <c r="J39" s="99">
        <f>CEILING(V39+W39+X39+O39+N39+AB39,10)</f>
        <v>14820</v>
      </c>
      <c r="K39" s="57"/>
      <c r="L39" s="156" t="s">
        <v>384</v>
      </c>
      <c r="M39" s="52" t="s">
        <v>293</v>
      </c>
      <c r="N39" s="40">
        <v>0</v>
      </c>
      <c r="O39" s="53">
        <f>VLOOKUP(B39,DRAYAGE!$A$1:$C$107,3,FALSE)</f>
        <v>2665</v>
      </c>
      <c r="P39" s="40" t="s">
        <v>299</v>
      </c>
      <c r="S39" s="101">
        <f>0.9*T39</f>
        <v>8640</v>
      </c>
      <c r="T39" s="54">
        <v>9600</v>
      </c>
      <c r="U39" s="103">
        <f t="shared" si="6"/>
        <v>9600</v>
      </c>
      <c r="V39" s="104">
        <f>U39*1.266</f>
        <v>12153.6</v>
      </c>
    </row>
    <row r="40" spans="1:29" s="40" customFormat="1" ht="14.45" customHeight="1" x14ac:dyDescent="0.25">
      <c r="A40" s="133" t="s">
        <v>61</v>
      </c>
      <c r="B40" s="51" t="s">
        <v>339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>CEILING(S40+W40+X40+O40+N40+Y40,10)</f>
        <v>11310</v>
      </c>
      <c r="H40" s="99">
        <f>CEILING(T40+W40+X40+O40+N40+Z40,10)</f>
        <v>12270</v>
      </c>
      <c r="I40" s="99">
        <f>CEILING(U40+W40+X40+O40+N40+AA40,10)</f>
        <v>12270</v>
      </c>
      <c r="J40" s="99">
        <f>CEILING(V40+W40+X40+O40+N40+AB40,10)</f>
        <v>14820</v>
      </c>
      <c r="K40" s="57"/>
      <c r="L40" s="156" t="s">
        <v>384</v>
      </c>
      <c r="M40" s="52" t="s">
        <v>293</v>
      </c>
      <c r="N40" s="40">
        <v>0</v>
      </c>
      <c r="O40" s="53">
        <f>VLOOKUP(B40,DRAYAGE!$A$1:$C$107,3,FALSE)</f>
        <v>2665</v>
      </c>
      <c r="P40" s="40" t="s">
        <v>299</v>
      </c>
      <c r="S40" s="101">
        <f>0.9*T40</f>
        <v>8640</v>
      </c>
      <c r="T40" s="54">
        <v>9600</v>
      </c>
      <c r="U40" s="103">
        <f t="shared" si="6"/>
        <v>9600</v>
      </c>
      <c r="V40" s="104">
        <f>U40*1.266</f>
        <v>12153.6</v>
      </c>
    </row>
    <row r="41" spans="1:29" s="40" customFormat="1" ht="14.45" customHeight="1" x14ac:dyDescent="0.25">
      <c r="A41" s="134" t="s">
        <v>334</v>
      </c>
      <c r="B41" s="88"/>
      <c r="C41" s="88"/>
      <c r="D41" s="88"/>
      <c r="E41" s="210"/>
      <c r="F41" s="211"/>
      <c r="G41" s="88"/>
      <c r="H41" s="88"/>
      <c r="I41" s="88"/>
      <c r="J41" s="88"/>
      <c r="K41" s="57"/>
      <c r="L41" s="89" t="s">
        <v>48</v>
      </c>
      <c r="M41" s="89" t="s">
        <v>261</v>
      </c>
      <c r="N41" s="90" t="s">
        <v>51</v>
      </c>
      <c r="O41" s="91" t="s">
        <v>50</v>
      </c>
      <c r="P41" s="91" t="s">
        <v>262</v>
      </c>
      <c r="Q41" s="91" t="s">
        <v>263</v>
      </c>
      <c r="R41" s="91" t="s">
        <v>264</v>
      </c>
      <c r="S41" s="92" t="s">
        <v>52</v>
      </c>
      <c r="T41" s="92" t="s">
        <v>53</v>
      </c>
      <c r="U41" s="92" t="s">
        <v>265</v>
      </c>
      <c r="V41" s="92" t="s">
        <v>266</v>
      </c>
      <c r="W41" s="92" t="s">
        <v>267</v>
      </c>
      <c r="X41" s="92" t="s">
        <v>268</v>
      </c>
      <c r="Y41" s="92" t="s">
        <v>52</v>
      </c>
      <c r="Z41" s="92" t="s">
        <v>53</v>
      </c>
      <c r="AA41" s="92" t="s">
        <v>265</v>
      </c>
      <c r="AB41" s="92" t="s">
        <v>266</v>
      </c>
      <c r="AC41" s="93" t="s">
        <v>269</v>
      </c>
    </row>
    <row r="42" spans="1:29" s="40" customFormat="1" ht="14.45" customHeight="1" x14ac:dyDescent="0.25">
      <c r="A42" s="133" t="s">
        <v>58</v>
      </c>
      <c r="B42" s="51" t="s">
        <v>341</v>
      </c>
      <c r="C42" s="94" t="s">
        <v>54</v>
      </c>
      <c r="D42" s="95" t="s">
        <v>383</v>
      </c>
      <c r="E42" s="96" t="s">
        <v>114</v>
      </c>
      <c r="F42" s="97" t="s">
        <v>270</v>
      </c>
      <c r="G42" s="98">
        <f>CEILING(S42+W42+X42+O42+N42+Y42,10)</f>
        <v>10510</v>
      </c>
      <c r="H42" s="99">
        <f>CEILING(T42+W42+X42+O42+N42+Z42,10)</f>
        <v>11490</v>
      </c>
      <c r="I42" s="99">
        <f>CEILING(U42+W42+X42+O42+N42+AA42,10)</f>
        <v>11490</v>
      </c>
      <c r="J42" s="99">
        <f>CEILING(V42+W42+X42+O42+N42+AB42,10)</f>
        <v>14100</v>
      </c>
      <c r="K42" s="57"/>
      <c r="L42" s="156" t="s">
        <v>384</v>
      </c>
      <c r="M42" s="52" t="s">
        <v>293</v>
      </c>
      <c r="N42" s="40">
        <v>0</v>
      </c>
      <c r="O42" s="53">
        <f>VLOOKUP(B42,DRAYAGE!$A$1:$C$107,3,FALSE)</f>
        <v>1690</v>
      </c>
      <c r="P42" s="40" t="s">
        <v>299</v>
      </c>
      <c r="S42" s="101">
        <f>0.9*T42</f>
        <v>8820</v>
      </c>
      <c r="T42" s="54">
        <f>T38</f>
        <v>9800</v>
      </c>
      <c r="U42" s="103">
        <f t="shared" si="6"/>
        <v>9800</v>
      </c>
      <c r="V42" s="104">
        <f>U42*1.266</f>
        <v>12406.8</v>
      </c>
      <c r="X42" s="40">
        <v>0</v>
      </c>
    </row>
    <row r="43" spans="1:29" s="40" customFormat="1" ht="14.45" customHeight="1" x14ac:dyDescent="0.25">
      <c r="A43" s="133" t="s">
        <v>55</v>
      </c>
      <c r="B43" s="51" t="s">
        <v>341</v>
      </c>
      <c r="C43" s="94" t="s">
        <v>54</v>
      </c>
      <c r="D43" s="95" t="s">
        <v>383</v>
      </c>
      <c r="E43" s="96" t="s">
        <v>114</v>
      </c>
      <c r="F43" s="97" t="s">
        <v>270</v>
      </c>
      <c r="G43" s="98">
        <f>CEILING(S43+W43+X43+O43+N43+Y43,10)</f>
        <v>10330</v>
      </c>
      <c r="H43" s="99">
        <f>CEILING(T43+W43+X43+O43+N43+Z43,10)</f>
        <v>11290</v>
      </c>
      <c r="I43" s="99">
        <f>CEILING(U43+W43+X43+O43+N43+AA43,10)</f>
        <v>11290</v>
      </c>
      <c r="J43" s="99">
        <f>CEILING(V43+W43+X43+O43+N43+AB43,10)</f>
        <v>13850</v>
      </c>
      <c r="K43" s="57"/>
      <c r="L43" s="156" t="s">
        <v>384</v>
      </c>
      <c r="M43" s="52" t="s">
        <v>293</v>
      </c>
      <c r="N43" s="40">
        <v>0</v>
      </c>
      <c r="O43" s="53">
        <f>VLOOKUP(B43,DRAYAGE!$A$1:$C$107,3,FALSE)</f>
        <v>1690</v>
      </c>
      <c r="P43" s="40" t="s">
        <v>299</v>
      </c>
      <c r="S43" s="101">
        <f>0.9*T43</f>
        <v>8640</v>
      </c>
      <c r="T43" s="54">
        <f>T39</f>
        <v>9600</v>
      </c>
      <c r="U43" s="103">
        <f t="shared" si="6"/>
        <v>9600</v>
      </c>
      <c r="V43" s="104">
        <f>U43*1.266</f>
        <v>12153.6</v>
      </c>
      <c r="X43" s="40">
        <v>0</v>
      </c>
    </row>
    <row r="44" spans="1:29" s="40" customFormat="1" ht="14.45" customHeight="1" x14ac:dyDescent="0.25">
      <c r="A44" s="133" t="s">
        <v>61</v>
      </c>
      <c r="B44" s="51" t="s">
        <v>341</v>
      </c>
      <c r="C44" s="94" t="s">
        <v>54</v>
      </c>
      <c r="D44" s="95" t="s">
        <v>383</v>
      </c>
      <c r="E44" s="96" t="s">
        <v>114</v>
      </c>
      <c r="F44" s="97" t="s">
        <v>270</v>
      </c>
      <c r="G44" s="98">
        <f>CEILING(S44+W44+X44+O44+N44+Y44,10)</f>
        <v>10330</v>
      </c>
      <c r="H44" s="99">
        <f>CEILING(T44+W44+X44+O44+N44+Z44,10)</f>
        <v>11290</v>
      </c>
      <c r="I44" s="99">
        <f>CEILING(U44+W44+X44+O44+N44+AA44,10)</f>
        <v>11290</v>
      </c>
      <c r="J44" s="99">
        <f>CEILING(V44+W44+X44+O44+N44+AB44,10)</f>
        <v>13850</v>
      </c>
      <c r="K44" s="57"/>
      <c r="L44" s="156" t="s">
        <v>384</v>
      </c>
      <c r="M44" s="52" t="s">
        <v>293</v>
      </c>
      <c r="N44" s="40">
        <v>0</v>
      </c>
      <c r="O44" s="53">
        <f>VLOOKUP(B44,DRAYAGE!$A$1:$C$107,3,FALSE)</f>
        <v>1690</v>
      </c>
      <c r="P44" s="40" t="s">
        <v>299</v>
      </c>
      <c r="S44" s="101">
        <f>0.9*T44</f>
        <v>8640</v>
      </c>
      <c r="T44" s="54">
        <f>T40</f>
        <v>9600</v>
      </c>
      <c r="U44" s="103">
        <f t="shared" si="6"/>
        <v>9600</v>
      </c>
      <c r="V44" s="104">
        <f>U44*1.266</f>
        <v>12153.6</v>
      </c>
      <c r="X44" s="40">
        <v>0</v>
      </c>
    </row>
    <row r="45" spans="1:29" s="40" customFormat="1" ht="14.45" customHeight="1" x14ac:dyDescent="0.25">
      <c r="A45" s="134" t="s">
        <v>335</v>
      </c>
      <c r="B45" s="88"/>
      <c r="C45" s="88"/>
      <c r="D45" s="88"/>
      <c r="E45" s="210"/>
      <c r="F45" s="211"/>
      <c r="G45" s="88"/>
      <c r="H45" s="88"/>
      <c r="I45" s="88"/>
      <c r="J45" s="88"/>
      <c r="K45" s="57"/>
      <c r="L45" s="89" t="s">
        <v>48</v>
      </c>
      <c r="M45" s="89" t="s">
        <v>261</v>
      </c>
      <c r="N45" s="90" t="s">
        <v>51</v>
      </c>
      <c r="O45" s="91" t="s">
        <v>50</v>
      </c>
      <c r="P45" s="91" t="s">
        <v>262</v>
      </c>
      <c r="Q45" s="91" t="s">
        <v>263</v>
      </c>
      <c r="R45" s="91" t="s">
        <v>264</v>
      </c>
      <c r="S45" s="92" t="s">
        <v>52</v>
      </c>
      <c r="T45" s="92" t="s">
        <v>53</v>
      </c>
      <c r="U45" s="92" t="s">
        <v>265</v>
      </c>
      <c r="V45" s="92" t="s">
        <v>266</v>
      </c>
      <c r="W45" s="92" t="s">
        <v>267</v>
      </c>
      <c r="X45" s="92" t="s">
        <v>268</v>
      </c>
      <c r="Y45" s="92" t="s">
        <v>52</v>
      </c>
      <c r="Z45" s="92" t="s">
        <v>53</v>
      </c>
      <c r="AA45" s="92" t="s">
        <v>265</v>
      </c>
      <c r="AB45" s="92" t="s">
        <v>266</v>
      </c>
      <c r="AC45" s="93" t="s">
        <v>269</v>
      </c>
    </row>
    <row r="46" spans="1:29" s="40" customFormat="1" ht="18.75" x14ac:dyDescent="0.25">
      <c r="A46" s="133" t="s">
        <v>81</v>
      </c>
      <c r="B46" s="51" t="s">
        <v>340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 t="shared" ref="G46:G52" si="12">CEILING(S46+W46+X46+O46+N46+Y46,10)</f>
        <v>11440</v>
      </c>
      <c r="H46" s="99">
        <f t="shared" ref="H46:H52" si="13">CEILING(T46+W46+X46+O46+N46+Z46,10)</f>
        <v>12510</v>
      </c>
      <c r="I46" s="99">
        <f t="shared" ref="I46:I52" si="14">CEILING(U46+W46+X46+O46+N46+AA46,10)</f>
        <v>12510</v>
      </c>
      <c r="J46" s="99">
        <f t="shared" ref="J46:J52" si="15">CEILING(V46+W46+X46+O46+N46+AB46,10)</f>
        <v>15360</v>
      </c>
      <c r="K46" s="57"/>
      <c r="L46" s="156" t="s">
        <v>384</v>
      </c>
      <c r="M46" s="52" t="s">
        <v>294</v>
      </c>
      <c r="N46" s="40">
        <v>0</v>
      </c>
      <c r="O46" s="53">
        <f>VLOOKUP(B46,DRAYAGE!$A$1:$C$107,3,FALSE)</f>
        <v>1805</v>
      </c>
      <c r="P46" s="40" t="s">
        <v>300</v>
      </c>
      <c r="S46" s="101">
        <f t="shared" ref="S46:S52" si="16">0.9*T46</f>
        <v>9630</v>
      </c>
      <c r="T46" s="54">
        <v>10700</v>
      </c>
      <c r="U46" s="103">
        <f t="shared" si="6"/>
        <v>10700</v>
      </c>
      <c r="V46" s="104">
        <f t="shared" ref="V46:V52" si="17">U46*1.266</f>
        <v>13546.2</v>
      </c>
      <c r="X46" s="40">
        <v>0</v>
      </c>
    </row>
    <row r="47" spans="1:29" s="40" customFormat="1" ht="27" customHeight="1" x14ac:dyDescent="0.25">
      <c r="A47" s="133" t="s">
        <v>55</v>
      </c>
      <c r="B47" s="51" t="s">
        <v>340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 t="shared" si="12"/>
        <v>11440</v>
      </c>
      <c r="H47" s="99">
        <f t="shared" si="13"/>
        <v>12510</v>
      </c>
      <c r="I47" s="99">
        <f t="shared" si="14"/>
        <v>12510</v>
      </c>
      <c r="J47" s="99">
        <f t="shared" si="15"/>
        <v>15360</v>
      </c>
      <c r="K47" s="57"/>
      <c r="L47" s="156" t="s">
        <v>384</v>
      </c>
      <c r="M47" s="52" t="s">
        <v>294</v>
      </c>
      <c r="N47" s="40">
        <v>0</v>
      </c>
      <c r="O47" s="53">
        <f>VLOOKUP(B47,DRAYAGE!$A$1:$C$107,3,FALSE)</f>
        <v>1805</v>
      </c>
      <c r="P47" s="40" t="s">
        <v>300</v>
      </c>
      <c r="S47" s="101">
        <f t="shared" si="16"/>
        <v>9630</v>
      </c>
      <c r="T47" s="54">
        <v>10700</v>
      </c>
      <c r="U47" s="103">
        <f t="shared" si="6"/>
        <v>10700</v>
      </c>
      <c r="V47" s="104">
        <f t="shared" si="17"/>
        <v>13546.2</v>
      </c>
      <c r="X47" s="40">
        <v>0</v>
      </c>
    </row>
    <row r="48" spans="1:29" s="40" customFormat="1" ht="14.45" customHeight="1" x14ac:dyDescent="0.25">
      <c r="A48" s="133" t="s">
        <v>59</v>
      </c>
      <c r="B48" s="51" t="s">
        <v>340</v>
      </c>
      <c r="C48" s="94" t="s">
        <v>54</v>
      </c>
      <c r="D48" s="95" t="s">
        <v>383</v>
      </c>
      <c r="E48" s="96" t="s">
        <v>114</v>
      </c>
      <c r="F48" s="97" t="s">
        <v>270</v>
      </c>
      <c r="G48" s="98">
        <f t="shared" si="12"/>
        <v>11440</v>
      </c>
      <c r="H48" s="99">
        <f t="shared" si="13"/>
        <v>12510</v>
      </c>
      <c r="I48" s="99">
        <f t="shared" si="14"/>
        <v>12510</v>
      </c>
      <c r="J48" s="99">
        <f t="shared" si="15"/>
        <v>15360</v>
      </c>
      <c r="K48" s="57"/>
      <c r="L48" s="156" t="s">
        <v>384</v>
      </c>
      <c r="M48" s="52" t="s">
        <v>294</v>
      </c>
      <c r="N48" s="40">
        <v>0</v>
      </c>
      <c r="O48" s="53">
        <f>VLOOKUP(B48,DRAYAGE!$A$1:$C$107,3,FALSE)</f>
        <v>1805</v>
      </c>
      <c r="P48" s="40" t="s">
        <v>300</v>
      </c>
      <c r="S48" s="101">
        <f t="shared" si="16"/>
        <v>9630</v>
      </c>
      <c r="T48" s="54">
        <v>10700</v>
      </c>
      <c r="U48" s="103">
        <f t="shared" si="6"/>
        <v>10700</v>
      </c>
      <c r="V48" s="104">
        <f t="shared" si="17"/>
        <v>13546.2</v>
      </c>
      <c r="X48" s="40">
        <v>0</v>
      </c>
    </row>
    <row r="49" spans="1:29" s="40" customFormat="1" ht="18.75" x14ac:dyDescent="0.25">
      <c r="A49" s="133" t="s">
        <v>60</v>
      </c>
      <c r="B49" s="51" t="s">
        <v>340</v>
      </c>
      <c r="C49" s="94" t="s">
        <v>54</v>
      </c>
      <c r="D49" s="95" t="s">
        <v>383</v>
      </c>
      <c r="E49" s="96" t="s">
        <v>114</v>
      </c>
      <c r="F49" s="97" t="s">
        <v>270</v>
      </c>
      <c r="G49" s="98">
        <f t="shared" si="12"/>
        <v>11440</v>
      </c>
      <c r="H49" s="99">
        <f t="shared" si="13"/>
        <v>12510</v>
      </c>
      <c r="I49" s="99">
        <f t="shared" si="14"/>
        <v>12510</v>
      </c>
      <c r="J49" s="99">
        <f t="shared" si="15"/>
        <v>15360</v>
      </c>
      <c r="K49" s="57"/>
      <c r="L49" s="156" t="s">
        <v>384</v>
      </c>
      <c r="M49" s="52" t="s">
        <v>294</v>
      </c>
      <c r="N49" s="40">
        <v>0</v>
      </c>
      <c r="O49" s="53">
        <f>VLOOKUP(B49,DRAYAGE!$A$1:$C$107,3,FALSE)</f>
        <v>1805</v>
      </c>
      <c r="P49" s="40" t="s">
        <v>300</v>
      </c>
      <c r="S49" s="101">
        <f t="shared" si="16"/>
        <v>9630</v>
      </c>
      <c r="T49" s="54">
        <v>10700</v>
      </c>
      <c r="U49" s="103">
        <f t="shared" si="6"/>
        <v>10700</v>
      </c>
      <c r="V49" s="104">
        <f t="shared" si="17"/>
        <v>13546.2</v>
      </c>
      <c r="X49" s="40">
        <v>0</v>
      </c>
    </row>
    <row r="50" spans="1:29" s="45" customFormat="1" ht="14.45" customHeight="1" x14ac:dyDescent="0.25">
      <c r="A50" s="133" t="s">
        <v>61</v>
      </c>
      <c r="B50" s="51" t="s">
        <v>340</v>
      </c>
      <c r="C50" s="106" t="s">
        <v>54</v>
      </c>
      <c r="D50" s="95" t="s">
        <v>383</v>
      </c>
      <c r="E50" s="107" t="s">
        <v>114</v>
      </c>
      <c r="F50" s="108" t="s">
        <v>270</v>
      </c>
      <c r="G50" s="109">
        <f t="shared" si="12"/>
        <v>11440</v>
      </c>
      <c r="H50" s="110">
        <f t="shared" si="13"/>
        <v>12510</v>
      </c>
      <c r="I50" s="110">
        <f t="shared" si="14"/>
        <v>12510</v>
      </c>
      <c r="J50" s="110">
        <f t="shared" si="15"/>
        <v>15360</v>
      </c>
      <c r="K50" s="111"/>
      <c r="L50" s="156" t="s">
        <v>384</v>
      </c>
      <c r="M50" s="52" t="s">
        <v>294</v>
      </c>
      <c r="N50" s="45">
        <v>0</v>
      </c>
      <c r="O50" s="53">
        <f>VLOOKUP(B50,DRAYAGE!$A$1:$C$107,3,FALSE)</f>
        <v>1805</v>
      </c>
      <c r="P50" s="40" t="s">
        <v>300</v>
      </c>
      <c r="R50" s="40"/>
      <c r="S50" s="113">
        <f t="shared" si="16"/>
        <v>9630</v>
      </c>
      <c r="T50" s="54">
        <v>10700</v>
      </c>
      <c r="U50" s="103">
        <f t="shared" si="6"/>
        <v>10700</v>
      </c>
      <c r="V50" s="114">
        <f t="shared" si="17"/>
        <v>13546.2</v>
      </c>
      <c r="X50" s="45">
        <v>0</v>
      </c>
      <c r="Y50" s="40"/>
      <c r="Z50" s="40"/>
      <c r="AA50" s="40"/>
      <c r="AB50" s="40"/>
    </row>
    <row r="51" spans="1:29" s="40" customFormat="1" ht="18.75" x14ac:dyDescent="0.25">
      <c r="A51" s="133" t="s">
        <v>273</v>
      </c>
      <c r="B51" s="51" t="s">
        <v>340</v>
      </c>
      <c r="C51" s="94" t="s">
        <v>54</v>
      </c>
      <c r="D51" s="95" t="s">
        <v>383</v>
      </c>
      <c r="E51" s="96" t="s">
        <v>114</v>
      </c>
      <c r="F51" s="97" t="s">
        <v>270</v>
      </c>
      <c r="G51" s="98">
        <f t="shared" si="12"/>
        <v>12290</v>
      </c>
      <c r="H51" s="99">
        <f t="shared" si="13"/>
        <v>13460</v>
      </c>
      <c r="I51" s="99">
        <f t="shared" si="14"/>
        <v>13460</v>
      </c>
      <c r="J51" s="99">
        <f t="shared" si="15"/>
        <v>16560</v>
      </c>
      <c r="K51" s="57"/>
      <c r="L51" s="156" t="s">
        <v>384</v>
      </c>
      <c r="M51" s="52" t="s">
        <v>294</v>
      </c>
      <c r="N51" s="40">
        <v>0</v>
      </c>
      <c r="O51" s="53">
        <f>VLOOKUP(B51,DRAYAGE!$A$1:$C$107,3,FALSE)</f>
        <v>1805</v>
      </c>
      <c r="P51" s="40" t="s">
        <v>300</v>
      </c>
      <c r="S51" s="101">
        <f t="shared" si="16"/>
        <v>10485</v>
      </c>
      <c r="T51" s="54">
        <f>11500+150</f>
        <v>11650</v>
      </c>
      <c r="U51" s="103">
        <f t="shared" si="6"/>
        <v>11650</v>
      </c>
      <c r="V51" s="104">
        <f t="shared" si="17"/>
        <v>14748.9</v>
      </c>
      <c r="X51" s="40">
        <v>0</v>
      </c>
    </row>
    <row r="52" spans="1:29" s="40" customFormat="1" ht="14.45" customHeight="1" x14ac:dyDescent="0.25">
      <c r="A52" s="133" t="s">
        <v>58</v>
      </c>
      <c r="B52" s="51" t="s">
        <v>340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f t="shared" si="12"/>
        <v>12430</v>
      </c>
      <c r="H52" s="99">
        <f t="shared" si="13"/>
        <v>13610</v>
      </c>
      <c r="I52" s="99">
        <f t="shared" si="14"/>
        <v>13610</v>
      </c>
      <c r="J52" s="99">
        <f t="shared" si="15"/>
        <v>16750</v>
      </c>
      <c r="K52" s="57"/>
      <c r="L52" s="156" t="s">
        <v>384</v>
      </c>
      <c r="M52" s="52" t="s">
        <v>294</v>
      </c>
      <c r="N52" s="40">
        <v>0</v>
      </c>
      <c r="O52" s="53">
        <f>VLOOKUP(B52,DRAYAGE!$A$1:$C$107,3,FALSE)</f>
        <v>1805</v>
      </c>
      <c r="P52" s="40" t="s">
        <v>300</v>
      </c>
      <c r="S52" s="101">
        <f t="shared" si="16"/>
        <v>10620</v>
      </c>
      <c r="T52" s="54">
        <f>11500+300</f>
        <v>11800</v>
      </c>
      <c r="U52" s="103">
        <f t="shared" si="6"/>
        <v>11800</v>
      </c>
      <c r="V52" s="104">
        <f t="shared" si="17"/>
        <v>14938.8</v>
      </c>
      <c r="X52" s="40">
        <v>0</v>
      </c>
    </row>
    <row r="53" spans="1:29" s="40" customFormat="1" ht="14.45" customHeight="1" x14ac:dyDescent="0.25">
      <c r="A53" s="134" t="s">
        <v>98</v>
      </c>
      <c r="B53" s="88"/>
      <c r="C53" s="88"/>
      <c r="D53" s="88"/>
      <c r="E53" s="210"/>
      <c r="F53" s="211"/>
      <c r="G53" s="88"/>
      <c r="H53" s="88"/>
      <c r="I53" s="88"/>
      <c r="J53" s="88"/>
      <c r="K53" s="57"/>
      <c r="L53" s="89" t="s">
        <v>48</v>
      </c>
      <c r="M53" s="89" t="s">
        <v>261</v>
      </c>
      <c r="N53" s="90" t="s">
        <v>51</v>
      </c>
      <c r="O53" s="91" t="s">
        <v>50</v>
      </c>
      <c r="P53" s="91" t="s">
        <v>262</v>
      </c>
      <c r="Q53" s="91" t="s">
        <v>263</v>
      </c>
      <c r="R53" s="92" t="s">
        <v>52</v>
      </c>
      <c r="S53" s="92" t="s">
        <v>52</v>
      </c>
      <c r="T53" s="92" t="s">
        <v>53</v>
      </c>
      <c r="U53" s="92" t="s">
        <v>265</v>
      </c>
      <c r="V53" s="92" t="s">
        <v>266</v>
      </c>
      <c r="W53" s="92" t="s">
        <v>267</v>
      </c>
      <c r="X53" s="92" t="s">
        <v>268</v>
      </c>
      <c r="Y53" s="92" t="s">
        <v>52</v>
      </c>
      <c r="Z53" s="92" t="s">
        <v>53</v>
      </c>
      <c r="AA53" s="92" t="s">
        <v>265</v>
      </c>
      <c r="AB53" s="92" t="s">
        <v>266</v>
      </c>
      <c r="AC53" s="93" t="s">
        <v>269</v>
      </c>
    </row>
    <row r="54" spans="1:29" s="40" customFormat="1" ht="14.45" customHeight="1" x14ac:dyDescent="0.25">
      <c r="A54" s="133" t="s">
        <v>331</v>
      </c>
      <c r="B54" s="51" t="s">
        <v>342</v>
      </c>
      <c r="C54" s="94" t="s">
        <v>54</v>
      </c>
      <c r="D54" s="95" t="s">
        <v>383</v>
      </c>
      <c r="E54" s="96" t="s">
        <v>114</v>
      </c>
      <c r="F54" s="97" t="s">
        <v>270</v>
      </c>
      <c r="G54" s="98">
        <f>CEILING(S54+W54+X54+O54+N54+Y54,10)</f>
        <v>11730</v>
      </c>
      <c r="H54" s="99">
        <f>CEILING(T54+W54+X54+O54+N54+Z54,10)</f>
        <v>12700</v>
      </c>
      <c r="I54" s="99">
        <f>CEILING(U54+W54+X54+O54+N54+AA54,10)</f>
        <v>12700</v>
      </c>
      <c r="J54" s="99">
        <f>CEILING(V54+W54+X54+O54+N54+AB54,10)</f>
        <v>15280</v>
      </c>
      <c r="K54" s="57"/>
      <c r="L54" s="156" t="s">
        <v>384</v>
      </c>
      <c r="M54" s="52" t="s">
        <v>293</v>
      </c>
      <c r="N54" s="40">
        <v>0</v>
      </c>
      <c r="O54" s="53">
        <f>VLOOKUP(B54,DRAYAGE!$A$1:$C$107,3,FALSE)</f>
        <v>2995</v>
      </c>
      <c r="P54" s="40" t="s">
        <v>302</v>
      </c>
      <c r="R54" s="101">
        <v>19800</v>
      </c>
      <c r="S54" s="101">
        <f>0.9*T54</f>
        <v>8730</v>
      </c>
      <c r="T54" s="54">
        <f>9500+200</f>
        <v>9700</v>
      </c>
      <c r="U54" s="103">
        <f>T54</f>
        <v>9700</v>
      </c>
      <c r="V54" s="104">
        <f>U54*1.266</f>
        <v>12280.2</v>
      </c>
      <c r="W54" s="40">
        <v>0</v>
      </c>
    </row>
    <row r="55" spans="1:29" s="40" customFormat="1" ht="14.45" customHeight="1" x14ac:dyDescent="0.25">
      <c r="A55" s="133" t="s">
        <v>328</v>
      </c>
      <c r="B55" s="51" t="s">
        <v>342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>CEILING(S55+W55+X55+O55+N55+Y55,10)</f>
        <v>12000</v>
      </c>
      <c r="H55" s="99">
        <f>CEILING(T55+W55+X55+O55+N55+Z55,10)</f>
        <v>13000</v>
      </c>
      <c r="I55" s="99">
        <f>CEILING(U55+W55+X55+O55+N55+AA55,10)</f>
        <v>13000</v>
      </c>
      <c r="J55" s="99">
        <f>CEILING(V55+W55+X55+O55+N55+AB55,10)</f>
        <v>15660</v>
      </c>
      <c r="K55" s="57"/>
      <c r="L55" s="156" t="s">
        <v>384</v>
      </c>
      <c r="M55" s="52" t="s">
        <v>293</v>
      </c>
      <c r="N55" s="40">
        <v>0</v>
      </c>
      <c r="O55" s="53">
        <f>VLOOKUP(B55,DRAYAGE!$A$1:$C$107,3,FALSE)</f>
        <v>2995</v>
      </c>
      <c r="P55" s="40" t="s">
        <v>302</v>
      </c>
      <c r="R55" s="101">
        <v>19800</v>
      </c>
      <c r="S55" s="101">
        <f>0.9*T55</f>
        <v>9000</v>
      </c>
      <c r="T55" s="54">
        <f>9500+500</f>
        <v>10000</v>
      </c>
      <c r="U55" s="103">
        <f>T55</f>
        <v>10000</v>
      </c>
      <c r="V55" s="104">
        <f>U55*1.266</f>
        <v>12660</v>
      </c>
      <c r="W55" s="40">
        <v>0</v>
      </c>
    </row>
    <row r="56" spans="1:29" s="40" customFormat="1" ht="14.45" customHeight="1" x14ac:dyDescent="0.25">
      <c r="A56" s="133" t="s">
        <v>58</v>
      </c>
      <c r="B56" s="51" t="s">
        <v>342</v>
      </c>
      <c r="C56" s="94" t="s">
        <v>54</v>
      </c>
      <c r="D56" s="95" t="s">
        <v>383</v>
      </c>
      <c r="E56" s="96" t="s">
        <v>114</v>
      </c>
      <c r="F56" s="97" t="s">
        <v>270</v>
      </c>
      <c r="G56" s="98">
        <f>CEILING(S56+W56+X56+O56+N56+Y56,10)</f>
        <v>12450</v>
      </c>
      <c r="H56" s="99">
        <f>CEILING(T56+W56+X56+O56+N56+Z56,10)</f>
        <v>13500</v>
      </c>
      <c r="I56" s="99">
        <f>CEILING(U56+W56+X56+O56+N56+AA56,10)</f>
        <v>13500</v>
      </c>
      <c r="J56" s="99">
        <f>CEILING(V56+W56+X56+O56+N56+AB56,10)</f>
        <v>16290</v>
      </c>
      <c r="K56" s="57"/>
      <c r="L56" s="156" t="s">
        <v>384</v>
      </c>
      <c r="M56" s="52" t="s">
        <v>293</v>
      </c>
      <c r="N56" s="40">
        <v>0</v>
      </c>
      <c r="O56" s="53">
        <f>VLOOKUP(B56,DRAYAGE!$A$1:$C$107,3,FALSE)</f>
        <v>2995</v>
      </c>
      <c r="P56" s="40" t="s">
        <v>302</v>
      </c>
      <c r="R56" s="101">
        <v>19800</v>
      </c>
      <c r="S56" s="101">
        <f>0.9*T56</f>
        <v>9450</v>
      </c>
      <c r="T56" s="54">
        <f>10000+500</f>
        <v>10500</v>
      </c>
      <c r="U56" s="103">
        <f>T56</f>
        <v>10500</v>
      </c>
      <c r="V56" s="104">
        <f>U56*1.266</f>
        <v>13293</v>
      </c>
      <c r="W56" s="40">
        <v>0</v>
      </c>
    </row>
    <row r="57" spans="1:29" s="40" customFormat="1" ht="14.45" customHeight="1" x14ac:dyDescent="0.25">
      <c r="A57" s="133" t="s">
        <v>330</v>
      </c>
      <c r="B57" s="51" t="s">
        <v>342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f>CEILING(S57+W57+X57+O57+N57+Y57,10)</f>
        <v>11730</v>
      </c>
      <c r="H57" s="99">
        <f>CEILING(T57+W57+X57+O57+N57+Z57,10)</f>
        <v>12700</v>
      </c>
      <c r="I57" s="99">
        <f>CEILING(U57+W57+X57+O57+N57+AA57,10)</f>
        <v>12700</v>
      </c>
      <c r="J57" s="99">
        <f>CEILING(V57+W57+X57+O57+N57+AB57,10)</f>
        <v>15280</v>
      </c>
      <c r="K57" s="57"/>
      <c r="L57" s="156" t="s">
        <v>384</v>
      </c>
      <c r="M57" s="52" t="s">
        <v>293</v>
      </c>
      <c r="N57" s="40">
        <v>0</v>
      </c>
      <c r="O57" s="53">
        <f>VLOOKUP(B57,DRAYAGE!$A$1:$C$107,3,FALSE)</f>
        <v>2995</v>
      </c>
      <c r="P57" s="40" t="s">
        <v>302</v>
      </c>
      <c r="R57" s="101">
        <v>19800</v>
      </c>
      <c r="S57" s="101">
        <f>0.9*T57</f>
        <v>8730</v>
      </c>
      <c r="T57" s="54">
        <f>9500+200</f>
        <v>9700</v>
      </c>
      <c r="U57" s="103">
        <f>T57</f>
        <v>9700</v>
      </c>
      <c r="V57" s="104">
        <f>U57*1.266</f>
        <v>12280.2</v>
      </c>
      <c r="W57" s="40">
        <v>0</v>
      </c>
    </row>
    <row r="58" spans="1:29" s="40" customFormat="1" ht="14.45" customHeight="1" x14ac:dyDescent="0.25">
      <c r="A58" s="134" t="s">
        <v>336</v>
      </c>
      <c r="B58" s="88"/>
      <c r="C58" s="88"/>
      <c r="D58" s="88"/>
      <c r="E58" s="210"/>
      <c r="F58" s="211"/>
      <c r="G58" s="88"/>
      <c r="H58" s="88"/>
      <c r="I58" s="88"/>
      <c r="J58" s="88"/>
      <c r="K58" s="57"/>
      <c r="L58" s="89" t="s">
        <v>48</v>
      </c>
      <c r="M58" s="89" t="s">
        <v>261</v>
      </c>
      <c r="N58" s="90" t="s">
        <v>51</v>
      </c>
      <c r="O58" s="91" t="s">
        <v>50</v>
      </c>
      <c r="P58" s="91" t="s">
        <v>262</v>
      </c>
      <c r="Q58" s="91" t="s">
        <v>263</v>
      </c>
      <c r="R58" s="92" t="s">
        <v>52</v>
      </c>
      <c r="S58" s="92" t="s">
        <v>52</v>
      </c>
      <c r="T58" s="92" t="s">
        <v>53</v>
      </c>
      <c r="U58" s="92" t="s">
        <v>265</v>
      </c>
      <c r="V58" s="92" t="s">
        <v>266</v>
      </c>
      <c r="W58" s="92" t="s">
        <v>267</v>
      </c>
      <c r="X58" s="92" t="s">
        <v>268</v>
      </c>
      <c r="Y58" s="92" t="s">
        <v>52</v>
      </c>
      <c r="Z58" s="92" t="s">
        <v>53</v>
      </c>
      <c r="AA58" s="92" t="s">
        <v>265</v>
      </c>
      <c r="AB58" s="92" t="s">
        <v>266</v>
      </c>
      <c r="AC58" s="93" t="s">
        <v>269</v>
      </c>
    </row>
    <row r="59" spans="1:29" s="40" customFormat="1" ht="14.45" customHeight="1" x14ac:dyDescent="0.25">
      <c r="A59" s="133" t="s">
        <v>326</v>
      </c>
      <c r="B59" s="51" t="s">
        <v>343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v>18510</v>
      </c>
      <c r="H59" s="99">
        <v>20510</v>
      </c>
      <c r="I59" s="99">
        <v>20510</v>
      </c>
      <c r="J59" s="99">
        <v>25830</v>
      </c>
      <c r="K59" s="57"/>
      <c r="L59" s="156" t="s">
        <v>384</v>
      </c>
      <c r="M59" s="52" t="s">
        <v>295</v>
      </c>
      <c r="N59" s="40">
        <v>0</v>
      </c>
      <c r="O59" s="53">
        <f>VLOOKUP(B59,DRAYAGE!$A$1:$C$107,3,FALSE)</f>
        <v>1185</v>
      </c>
      <c r="P59" s="40" t="s">
        <v>361</v>
      </c>
      <c r="R59" s="101">
        <v>18000</v>
      </c>
      <c r="S59" s="101">
        <f>0.9*T59</f>
        <v>12285</v>
      </c>
      <c r="T59" s="54">
        <f>13250+400</f>
        <v>13650</v>
      </c>
      <c r="U59" s="103">
        <f>T59</f>
        <v>13650</v>
      </c>
      <c r="V59" s="104">
        <f>U59*1.266</f>
        <v>17280.900000000001</v>
      </c>
      <c r="W59" s="40">
        <v>0</v>
      </c>
    </row>
    <row r="60" spans="1:29" s="40" customFormat="1" ht="14.45" customHeight="1" x14ac:dyDescent="0.25">
      <c r="A60" s="133" t="s">
        <v>327</v>
      </c>
      <c r="B60" s="51" t="s">
        <v>343</v>
      </c>
      <c r="C60" s="94" t="s">
        <v>54</v>
      </c>
      <c r="D60" s="95" t="s">
        <v>383</v>
      </c>
      <c r="E60" s="96" t="s">
        <v>114</v>
      </c>
      <c r="F60" s="97" t="s">
        <v>270</v>
      </c>
      <c r="G60" s="98">
        <v>18510</v>
      </c>
      <c r="H60" s="99">
        <v>20510</v>
      </c>
      <c r="I60" s="99">
        <v>20510</v>
      </c>
      <c r="J60" s="99">
        <v>25830</v>
      </c>
      <c r="K60" s="57"/>
      <c r="L60" s="156" t="s">
        <v>384</v>
      </c>
      <c r="M60" s="52" t="s">
        <v>295</v>
      </c>
      <c r="N60" s="40">
        <v>0</v>
      </c>
      <c r="O60" s="53">
        <f>VLOOKUP(B60,DRAYAGE!$A$1:$C$107,3,FALSE)</f>
        <v>1185</v>
      </c>
      <c r="P60" s="40" t="s">
        <v>361</v>
      </c>
      <c r="R60" s="101">
        <v>18000</v>
      </c>
      <c r="S60" s="101">
        <f>0.9*T60</f>
        <v>12285</v>
      </c>
      <c r="T60" s="54">
        <f>13250+400</f>
        <v>13650</v>
      </c>
      <c r="U60" s="103">
        <f>T60</f>
        <v>13650</v>
      </c>
      <c r="V60" s="104">
        <f>U60*1.266</f>
        <v>17280.900000000001</v>
      </c>
      <c r="W60" s="40">
        <v>0</v>
      </c>
    </row>
    <row r="61" spans="1:29" s="40" customFormat="1" ht="14.45" customHeight="1" x14ac:dyDescent="0.25">
      <c r="A61" s="133" t="s">
        <v>328</v>
      </c>
      <c r="B61" s="51" t="s">
        <v>343</v>
      </c>
      <c r="C61" s="94" t="s">
        <v>54</v>
      </c>
      <c r="D61" s="95" t="s">
        <v>383</v>
      </c>
      <c r="E61" s="96" t="s">
        <v>114</v>
      </c>
      <c r="F61" s="97" t="s">
        <v>270</v>
      </c>
      <c r="G61" s="98">
        <v>18510</v>
      </c>
      <c r="H61" s="99">
        <v>20510</v>
      </c>
      <c r="I61" s="99">
        <v>20510</v>
      </c>
      <c r="J61" s="99">
        <v>25830</v>
      </c>
      <c r="K61" s="57"/>
      <c r="L61" s="156" t="s">
        <v>384</v>
      </c>
      <c r="M61" s="52" t="s">
        <v>295</v>
      </c>
      <c r="N61" s="40">
        <v>0</v>
      </c>
      <c r="O61" s="53">
        <f>VLOOKUP(B61,DRAYAGE!$A$1:$C$107,3,FALSE)</f>
        <v>1185</v>
      </c>
      <c r="P61" s="40" t="s">
        <v>361</v>
      </c>
      <c r="R61" s="101">
        <v>18000</v>
      </c>
      <c r="S61" s="101">
        <f>0.9*T61</f>
        <v>12465</v>
      </c>
      <c r="T61" s="54">
        <f>13250+600</f>
        <v>13850</v>
      </c>
      <c r="U61" s="103">
        <f>T61</f>
        <v>13850</v>
      </c>
      <c r="V61" s="104">
        <f>U61*1.266</f>
        <v>17534.099999999999</v>
      </c>
      <c r="W61" s="40">
        <v>0</v>
      </c>
    </row>
    <row r="62" spans="1:29" s="40" customFormat="1" ht="14.45" customHeight="1" x14ac:dyDescent="0.25">
      <c r="A62" s="134" t="s">
        <v>337</v>
      </c>
      <c r="B62" s="88"/>
      <c r="C62" s="88"/>
      <c r="D62" s="88"/>
      <c r="E62" s="210"/>
      <c r="F62" s="211"/>
      <c r="G62" s="88"/>
      <c r="H62" s="88"/>
      <c r="I62" s="88"/>
      <c r="J62" s="88"/>
      <c r="K62" s="57"/>
      <c r="L62" s="89" t="s">
        <v>48</v>
      </c>
      <c r="M62" s="89" t="s">
        <v>261</v>
      </c>
      <c r="N62" s="90" t="s">
        <v>51</v>
      </c>
      <c r="O62" s="91" t="s">
        <v>50</v>
      </c>
      <c r="P62" s="91" t="s">
        <v>262</v>
      </c>
      <c r="Q62" s="91" t="s">
        <v>263</v>
      </c>
      <c r="R62" s="91" t="s">
        <v>264</v>
      </c>
      <c r="S62" s="92" t="s">
        <v>52</v>
      </c>
      <c r="T62" s="92" t="s">
        <v>53</v>
      </c>
      <c r="U62" s="92" t="s">
        <v>265</v>
      </c>
      <c r="V62" s="92" t="s">
        <v>266</v>
      </c>
      <c r="W62" s="92" t="s">
        <v>267</v>
      </c>
      <c r="X62" s="92" t="s">
        <v>268</v>
      </c>
      <c r="Y62" s="92" t="s">
        <v>52</v>
      </c>
      <c r="Z62" s="92" t="s">
        <v>53</v>
      </c>
      <c r="AA62" s="92" t="s">
        <v>265</v>
      </c>
      <c r="AB62" s="92" t="s">
        <v>266</v>
      </c>
      <c r="AC62" s="93" t="s">
        <v>269</v>
      </c>
    </row>
    <row r="63" spans="1:29" s="40" customFormat="1" ht="18.75" x14ac:dyDescent="0.25">
      <c r="A63" s="133" t="s">
        <v>81</v>
      </c>
      <c r="B63" s="51" t="s">
        <v>344</v>
      </c>
      <c r="C63" s="94" t="s">
        <v>54</v>
      </c>
      <c r="D63" s="95" t="s">
        <v>383</v>
      </c>
      <c r="E63" s="96" t="s">
        <v>114</v>
      </c>
      <c r="F63" s="97" t="s">
        <v>270</v>
      </c>
      <c r="G63" s="98">
        <f t="shared" ref="G63:G68" si="18">CEILING(S63+W63+X63+O63+N63+Y63,10)</f>
        <v>10980</v>
      </c>
      <c r="H63" s="99">
        <f t="shared" ref="H63:H68" si="19">CEILING(T63+W63+X63+O63+N63+Z63,10)</f>
        <v>12050</v>
      </c>
      <c r="I63" s="99">
        <f t="shared" ref="I63:I68" si="20">CEILING(U63+W63+X63+O63+N63+AA63,10)</f>
        <v>12050</v>
      </c>
      <c r="J63" s="99">
        <f t="shared" ref="J63:J68" si="21">CEILING(V63+W63+X63+O63+N63+AB63,10)</f>
        <v>14900</v>
      </c>
      <c r="K63" s="57"/>
      <c r="L63" s="156" t="s">
        <v>384</v>
      </c>
      <c r="M63" s="52" t="s">
        <v>294</v>
      </c>
      <c r="N63" s="40">
        <v>0</v>
      </c>
      <c r="O63" s="53">
        <f>VLOOKUP(B63,DRAYAGE!$A$1:$C$107,3,FALSE)</f>
        <v>1345</v>
      </c>
      <c r="P63" s="40" t="s">
        <v>301</v>
      </c>
      <c r="S63" s="101">
        <f t="shared" ref="S63:S76" si="22">0.9*T63</f>
        <v>9630</v>
      </c>
      <c r="T63" s="54">
        <f t="shared" ref="T63:T68" si="23">T46</f>
        <v>10700</v>
      </c>
      <c r="U63" s="103">
        <f t="shared" si="6"/>
        <v>10700</v>
      </c>
      <c r="V63" s="104">
        <f t="shared" ref="V63:V68" si="24">U63*1.266</f>
        <v>13546.2</v>
      </c>
      <c r="X63" s="40">
        <v>0</v>
      </c>
    </row>
    <row r="64" spans="1:29" s="40" customFormat="1" ht="14.45" customHeight="1" x14ac:dyDescent="0.25">
      <c r="A64" s="133" t="s">
        <v>55</v>
      </c>
      <c r="B64" s="51" t="s">
        <v>344</v>
      </c>
      <c r="C64" s="94" t="s">
        <v>54</v>
      </c>
      <c r="D64" s="95" t="s">
        <v>383</v>
      </c>
      <c r="E64" s="96" t="s">
        <v>114</v>
      </c>
      <c r="F64" s="97" t="s">
        <v>270</v>
      </c>
      <c r="G64" s="98">
        <f t="shared" si="18"/>
        <v>10980</v>
      </c>
      <c r="H64" s="99">
        <f t="shared" si="19"/>
        <v>12050</v>
      </c>
      <c r="I64" s="99">
        <f t="shared" si="20"/>
        <v>12050</v>
      </c>
      <c r="J64" s="99">
        <f t="shared" si="21"/>
        <v>14900</v>
      </c>
      <c r="K64" s="57"/>
      <c r="L64" s="156" t="s">
        <v>384</v>
      </c>
      <c r="M64" s="52" t="s">
        <v>294</v>
      </c>
      <c r="N64" s="40">
        <v>0</v>
      </c>
      <c r="O64" s="53">
        <f>VLOOKUP(B64,DRAYAGE!$A$1:$C$107,3,FALSE)</f>
        <v>1345</v>
      </c>
      <c r="P64" s="40" t="s">
        <v>301</v>
      </c>
      <c r="S64" s="101">
        <f t="shared" si="22"/>
        <v>9630</v>
      </c>
      <c r="T64" s="54">
        <f t="shared" si="23"/>
        <v>10700</v>
      </c>
      <c r="U64" s="103">
        <f t="shared" si="6"/>
        <v>10700</v>
      </c>
      <c r="V64" s="104">
        <f t="shared" si="24"/>
        <v>13546.2</v>
      </c>
      <c r="X64" s="40">
        <v>0</v>
      </c>
    </row>
    <row r="65" spans="1:29" s="40" customFormat="1" ht="14.45" customHeight="1" x14ac:dyDescent="0.25">
      <c r="A65" s="133" t="s">
        <v>59</v>
      </c>
      <c r="B65" s="51" t="s">
        <v>344</v>
      </c>
      <c r="C65" s="94" t="s">
        <v>54</v>
      </c>
      <c r="D65" s="95" t="s">
        <v>383</v>
      </c>
      <c r="E65" s="96" t="s">
        <v>114</v>
      </c>
      <c r="F65" s="97" t="s">
        <v>270</v>
      </c>
      <c r="G65" s="98">
        <f t="shared" si="18"/>
        <v>10980</v>
      </c>
      <c r="H65" s="99">
        <f t="shared" si="19"/>
        <v>12050</v>
      </c>
      <c r="I65" s="99">
        <f t="shared" si="20"/>
        <v>12050</v>
      </c>
      <c r="J65" s="99">
        <f t="shared" si="21"/>
        <v>14900</v>
      </c>
      <c r="K65" s="57"/>
      <c r="L65" s="156" t="s">
        <v>384</v>
      </c>
      <c r="M65" s="52" t="s">
        <v>294</v>
      </c>
      <c r="N65" s="40">
        <v>0</v>
      </c>
      <c r="O65" s="53">
        <f>VLOOKUP(B65,DRAYAGE!$A$1:$C$107,3,FALSE)</f>
        <v>1345</v>
      </c>
      <c r="P65" s="40" t="s">
        <v>301</v>
      </c>
      <c r="S65" s="101">
        <f t="shared" si="22"/>
        <v>9630</v>
      </c>
      <c r="T65" s="54">
        <f t="shared" si="23"/>
        <v>10700</v>
      </c>
      <c r="U65" s="103">
        <f t="shared" si="6"/>
        <v>10700</v>
      </c>
      <c r="V65" s="104">
        <f t="shared" si="24"/>
        <v>13546.2</v>
      </c>
      <c r="X65" s="40">
        <v>0</v>
      </c>
    </row>
    <row r="66" spans="1:29" s="40" customFormat="1" ht="18.75" x14ac:dyDescent="0.25">
      <c r="A66" s="133" t="s">
        <v>60</v>
      </c>
      <c r="B66" s="51" t="s">
        <v>344</v>
      </c>
      <c r="C66" s="94" t="s">
        <v>54</v>
      </c>
      <c r="D66" s="95" t="s">
        <v>383</v>
      </c>
      <c r="E66" s="96" t="s">
        <v>114</v>
      </c>
      <c r="F66" s="97" t="s">
        <v>270</v>
      </c>
      <c r="G66" s="98">
        <f t="shared" si="18"/>
        <v>10980</v>
      </c>
      <c r="H66" s="99">
        <f t="shared" si="19"/>
        <v>12050</v>
      </c>
      <c r="I66" s="99">
        <f t="shared" si="20"/>
        <v>12050</v>
      </c>
      <c r="J66" s="99">
        <f t="shared" si="21"/>
        <v>14900</v>
      </c>
      <c r="K66" s="57"/>
      <c r="L66" s="156" t="s">
        <v>384</v>
      </c>
      <c r="M66" s="52" t="s">
        <v>294</v>
      </c>
      <c r="N66" s="40">
        <v>0</v>
      </c>
      <c r="O66" s="53">
        <f>VLOOKUP(B66,DRAYAGE!$A$1:$C$107,3,FALSE)</f>
        <v>1345</v>
      </c>
      <c r="P66" s="40" t="s">
        <v>301</v>
      </c>
      <c r="S66" s="101">
        <f t="shared" si="22"/>
        <v>9630</v>
      </c>
      <c r="T66" s="54">
        <f t="shared" si="23"/>
        <v>10700</v>
      </c>
      <c r="U66" s="103">
        <f t="shared" si="6"/>
        <v>10700</v>
      </c>
      <c r="V66" s="104">
        <f t="shared" si="24"/>
        <v>13546.2</v>
      </c>
      <c r="X66" s="40">
        <v>0</v>
      </c>
    </row>
    <row r="67" spans="1:29" s="40" customFormat="1" ht="14.45" customHeight="1" x14ac:dyDescent="0.25">
      <c r="A67" s="133" t="s">
        <v>61</v>
      </c>
      <c r="B67" s="51" t="s">
        <v>344</v>
      </c>
      <c r="C67" s="94" t="s">
        <v>54</v>
      </c>
      <c r="D67" s="95" t="s">
        <v>383</v>
      </c>
      <c r="E67" s="96" t="s">
        <v>114</v>
      </c>
      <c r="F67" s="97" t="s">
        <v>270</v>
      </c>
      <c r="G67" s="98">
        <f t="shared" si="18"/>
        <v>10980</v>
      </c>
      <c r="H67" s="99">
        <f t="shared" si="19"/>
        <v>12050</v>
      </c>
      <c r="I67" s="99">
        <f t="shared" si="20"/>
        <v>12050</v>
      </c>
      <c r="J67" s="99">
        <f t="shared" si="21"/>
        <v>14900</v>
      </c>
      <c r="K67" s="57"/>
      <c r="L67" s="156" t="s">
        <v>384</v>
      </c>
      <c r="M67" s="52" t="s">
        <v>294</v>
      </c>
      <c r="N67" s="40">
        <v>0</v>
      </c>
      <c r="O67" s="53">
        <f>VLOOKUP(B67,DRAYAGE!$A$1:$C$107,3,FALSE)</f>
        <v>1345</v>
      </c>
      <c r="P67" s="40" t="s">
        <v>301</v>
      </c>
      <c r="S67" s="101">
        <f t="shared" si="22"/>
        <v>9630</v>
      </c>
      <c r="T67" s="54">
        <f t="shared" si="23"/>
        <v>10700</v>
      </c>
      <c r="U67" s="103">
        <f t="shared" si="6"/>
        <v>10700</v>
      </c>
      <c r="V67" s="104">
        <f t="shared" si="24"/>
        <v>13546.2</v>
      </c>
      <c r="X67" s="40">
        <v>0</v>
      </c>
    </row>
    <row r="68" spans="1:29" s="40" customFormat="1" ht="18.75" x14ac:dyDescent="0.25">
      <c r="A68" s="133" t="s">
        <v>273</v>
      </c>
      <c r="B68" s="51" t="s">
        <v>344</v>
      </c>
      <c r="C68" s="94" t="s">
        <v>54</v>
      </c>
      <c r="D68" s="95" t="s">
        <v>383</v>
      </c>
      <c r="E68" s="96" t="s">
        <v>114</v>
      </c>
      <c r="F68" s="97" t="s">
        <v>270</v>
      </c>
      <c r="G68" s="98">
        <f t="shared" si="18"/>
        <v>11830</v>
      </c>
      <c r="H68" s="99">
        <f t="shared" si="19"/>
        <v>13000</v>
      </c>
      <c r="I68" s="99">
        <f t="shared" si="20"/>
        <v>13000</v>
      </c>
      <c r="J68" s="99">
        <f t="shared" si="21"/>
        <v>16100</v>
      </c>
      <c r="K68" s="57"/>
      <c r="L68" s="156" t="s">
        <v>384</v>
      </c>
      <c r="M68" s="52" t="s">
        <v>294</v>
      </c>
      <c r="N68" s="40">
        <v>0</v>
      </c>
      <c r="O68" s="53">
        <f>VLOOKUP(B68,DRAYAGE!$A$1:$C$107,3,FALSE)</f>
        <v>1345</v>
      </c>
      <c r="P68" s="40" t="s">
        <v>301</v>
      </c>
      <c r="S68" s="101">
        <f t="shared" si="22"/>
        <v>10485</v>
      </c>
      <c r="T68" s="54">
        <f t="shared" si="23"/>
        <v>11650</v>
      </c>
      <c r="U68" s="103">
        <f t="shared" si="6"/>
        <v>11650</v>
      </c>
      <c r="V68" s="104">
        <f t="shared" si="24"/>
        <v>14748.9</v>
      </c>
      <c r="X68" s="40">
        <v>0</v>
      </c>
    </row>
    <row r="69" spans="1:29" s="40" customFormat="1" ht="15.75" x14ac:dyDescent="0.25">
      <c r="A69" s="134" t="s">
        <v>389</v>
      </c>
      <c r="B69" s="88"/>
      <c r="C69" s="88"/>
      <c r="D69" s="88"/>
      <c r="E69" s="210"/>
      <c r="F69" s="211"/>
      <c r="G69" s="88"/>
      <c r="H69" s="88"/>
      <c r="I69" s="88"/>
      <c r="J69" s="88"/>
      <c r="K69" s="57"/>
      <c r="L69" s="89" t="s">
        <v>48</v>
      </c>
      <c r="M69" s="89" t="s">
        <v>261</v>
      </c>
      <c r="N69" s="90" t="s">
        <v>51</v>
      </c>
      <c r="O69" s="91" t="s">
        <v>50</v>
      </c>
      <c r="P69" s="91" t="s">
        <v>262</v>
      </c>
      <c r="Q69" s="91" t="s">
        <v>263</v>
      </c>
      <c r="R69" s="92" t="s">
        <v>52</v>
      </c>
      <c r="S69" s="92" t="s">
        <v>52</v>
      </c>
      <c r="T69" s="92" t="s">
        <v>53</v>
      </c>
      <c r="U69" s="92" t="s">
        <v>265</v>
      </c>
      <c r="V69" s="92" t="s">
        <v>266</v>
      </c>
      <c r="W69" s="92" t="s">
        <v>267</v>
      </c>
      <c r="X69" s="92" t="s">
        <v>268</v>
      </c>
      <c r="Y69" s="92" t="s">
        <v>52</v>
      </c>
      <c r="Z69" s="92" t="s">
        <v>53</v>
      </c>
      <c r="AA69" s="92" t="s">
        <v>265</v>
      </c>
      <c r="AB69" s="92" t="s">
        <v>266</v>
      </c>
      <c r="AC69" s="93" t="s">
        <v>269</v>
      </c>
    </row>
    <row r="70" spans="1:29" s="40" customFormat="1" ht="18.75" x14ac:dyDescent="0.25">
      <c r="A70" s="133" t="s">
        <v>55</v>
      </c>
      <c r="B70" s="51" t="s">
        <v>390</v>
      </c>
      <c r="C70" s="94" t="s">
        <v>54</v>
      </c>
      <c r="D70" s="95" t="s">
        <v>383</v>
      </c>
      <c r="E70" s="96" t="s">
        <v>114</v>
      </c>
      <c r="F70" s="97" t="s">
        <v>270</v>
      </c>
      <c r="G70" s="98">
        <f t="shared" ref="G70:G76" si="25">CEILING(S70+W70+X70+O70+N70+Y70,10)</f>
        <v>15240</v>
      </c>
      <c r="H70" s="99">
        <f t="shared" ref="H70:H76" si="26">CEILING(T70+W70+X70+O70+N70+Z70,10)</f>
        <v>16720</v>
      </c>
      <c r="I70" s="99">
        <f t="shared" ref="I70:I76" si="27">CEILING(U70+W70+X70+O70+N70+AA70,10)</f>
        <v>16720</v>
      </c>
      <c r="J70" s="99">
        <f t="shared" ref="J70:J76" si="28">CEILING(V70+W70+X70+O70+N70+AB70,10)</f>
        <v>20660</v>
      </c>
      <c r="K70" s="57"/>
      <c r="L70" s="156" t="s">
        <v>384</v>
      </c>
      <c r="M70" s="52" t="s">
        <v>397</v>
      </c>
      <c r="N70" s="40">
        <v>0</v>
      </c>
      <c r="O70" s="53">
        <f>VLOOKUP(B70,DRAYAGE!$A$1:$C$107,3,FALSE)</f>
        <v>1915</v>
      </c>
      <c r="P70" s="40" t="str">
        <f>VLOOKUP($B70,DRAYAGE!$A$1:$Q$23,14,FALSE)</f>
        <v>PCF, chassis split, drop fee</v>
      </c>
      <c r="R70" s="54">
        <v>11000</v>
      </c>
      <c r="S70" s="101">
        <f t="shared" si="22"/>
        <v>13320</v>
      </c>
      <c r="T70" s="54">
        <f>14550+250</f>
        <v>14800</v>
      </c>
      <c r="U70" s="103">
        <f t="shared" ref="U70:U76" si="29">T70</f>
        <v>14800</v>
      </c>
      <c r="V70" s="104">
        <f t="shared" ref="V70:V76" si="30">U70*1.266</f>
        <v>18736.8</v>
      </c>
    </row>
    <row r="71" spans="1:29" s="40" customFormat="1" ht="18.75" x14ac:dyDescent="0.25">
      <c r="A71" s="133" t="s">
        <v>55</v>
      </c>
      <c r="B71" s="51" t="s">
        <v>391</v>
      </c>
      <c r="C71" s="94" t="s">
        <v>54</v>
      </c>
      <c r="D71" s="95" t="s">
        <v>383</v>
      </c>
      <c r="E71" s="96" t="s">
        <v>114</v>
      </c>
      <c r="F71" s="97" t="s">
        <v>270</v>
      </c>
      <c r="G71" s="98">
        <f t="shared" si="25"/>
        <v>18100</v>
      </c>
      <c r="H71" s="99">
        <f t="shared" si="26"/>
        <v>19370</v>
      </c>
      <c r="I71" s="99">
        <f t="shared" si="27"/>
        <v>19370</v>
      </c>
      <c r="J71" s="99">
        <f t="shared" si="28"/>
        <v>22770</v>
      </c>
      <c r="K71" s="57"/>
      <c r="L71" s="156" t="s">
        <v>384</v>
      </c>
      <c r="M71" s="52" t="s">
        <v>398</v>
      </c>
      <c r="N71" s="40">
        <v>0</v>
      </c>
      <c r="O71" s="53">
        <f>VLOOKUP(B71,DRAYAGE!$A$1:$C$107,3,FALSE)</f>
        <v>6620</v>
      </c>
      <c r="P71" s="40" t="str">
        <f>VLOOKUP($B71,DRAYAGE!$A$1:$Q$23,14,FALSE)</f>
        <v>Rail fee, toll, drop</v>
      </c>
      <c r="R71" s="54">
        <v>11000</v>
      </c>
      <c r="S71" s="101">
        <f t="shared" si="22"/>
        <v>11475</v>
      </c>
      <c r="T71" s="54">
        <f>12500+250</f>
        <v>12750</v>
      </c>
      <c r="U71" s="103">
        <f t="shared" si="29"/>
        <v>12750</v>
      </c>
      <c r="V71" s="104">
        <f t="shared" si="30"/>
        <v>16141.5</v>
      </c>
    </row>
    <row r="72" spans="1:29" s="40" customFormat="1" ht="18.75" x14ac:dyDescent="0.25">
      <c r="A72" s="133" t="s">
        <v>55</v>
      </c>
      <c r="B72" s="51" t="s">
        <v>396</v>
      </c>
      <c r="C72" s="94" t="s">
        <v>54</v>
      </c>
      <c r="D72" s="95" t="s">
        <v>383</v>
      </c>
      <c r="E72" s="96" t="s">
        <v>114</v>
      </c>
      <c r="F72" s="97" t="s">
        <v>270</v>
      </c>
      <c r="G72" s="98">
        <f t="shared" si="25"/>
        <v>15790</v>
      </c>
      <c r="H72" s="99">
        <f t="shared" si="26"/>
        <v>17170</v>
      </c>
      <c r="I72" s="99">
        <f t="shared" si="27"/>
        <v>17170</v>
      </c>
      <c r="J72" s="99">
        <f t="shared" si="28"/>
        <v>20860</v>
      </c>
      <c r="K72" s="57"/>
      <c r="L72" s="156" t="s">
        <v>384</v>
      </c>
      <c r="M72" s="52" t="s">
        <v>399</v>
      </c>
      <c r="N72" s="40">
        <v>0</v>
      </c>
      <c r="O72" s="53">
        <f>VLOOKUP(B72,DRAYAGE!$A$1:$C$107,3,FALSE)</f>
        <v>3320</v>
      </c>
      <c r="P72" s="40" t="str">
        <f>VLOOKUP($B72,DRAYAGE!$A$1:$Q$23,14,FALSE)</f>
        <v>Rail fee, drop fee, toll fee</v>
      </c>
      <c r="R72" s="103">
        <v>11000</v>
      </c>
      <c r="S72" s="101">
        <f t="shared" si="22"/>
        <v>12465</v>
      </c>
      <c r="T72" s="54">
        <f>13550+300</f>
        <v>13850</v>
      </c>
      <c r="U72" s="103">
        <f t="shared" si="29"/>
        <v>13850</v>
      </c>
      <c r="V72" s="104">
        <f t="shared" si="30"/>
        <v>17534.099999999999</v>
      </c>
    </row>
    <row r="73" spans="1:29" s="40" customFormat="1" ht="18.75" x14ac:dyDescent="0.25">
      <c r="A73" s="133" t="s">
        <v>55</v>
      </c>
      <c r="B73" s="51" t="s">
        <v>392</v>
      </c>
      <c r="C73" s="94" t="s">
        <v>54</v>
      </c>
      <c r="D73" s="95" t="s">
        <v>383</v>
      </c>
      <c r="E73" s="96" t="s">
        <v>114</v>
      </c>
      <c r="F73" s="97" t="s">
        <v>270</v>
      </c>
      <c r="G73" s="98">
        <f t="shared" si="25"/>
        <v>15630</v>
      </c>
      <c r="H73" s="99">
        <f t="shared" si="26"/>
        <v>16910</v>
      </c>
      <c r="I73" s="99">
        <f t="shared" si="27"/>
        <v>16910</v>
      </c>
      <c r="J73" s="99">
        <f t="shared" si="28"/>
        <v>20300</v>
      </c>
      <c r="K73" s="57"/>
      <c r="L73" s="156" t="s">
        <v>384</v>
      </c>
      <c r="M73" s="52" t="s">
        <v>398</v>
      </c>
      <c r="N73" s="40">
        <v>0</v>
      </c>
      <c r="O73" s="53">
        <f>VLOOKUP(B73,DRAYAGE!$A$1:$C$107,3,FALSE)</f>
        <v>4155</v>
      </c>
      <c r="P73" s="40" t="str">
        <f>VLOOKUP($B73,DRAYAGE!$A$1:$Q$23,14,FALSE)</f>
        <v>Rail fee, chassis split, drop, toll</v>
      </c>
      <c r="R73" s="103">
        <v>11000</v>
      </c>
      <c r="S73" s="101">
        <f t="shared" si="22"/>
        <v>11475</v>
      </c>
      <c r="T73" s="54">
        <f>T71</f>
        <v>12750</v>
      </c>
      <c r="U73" s="103">
        <f t="shared" si="29"/>
        <v>12750</v>
      </c>
      <c r="V73" s="104">
        <f t="shared" si="30"/>
        <v>16141.5</v>
      </c>
    </row>
    <row r="74" spans="1:29" s="40" customFormat="1" ht="18.75" x14ac:dyDescent="0.25">
      <c r="A74" s="133" t="s">
        <v>55</v>
      </c>
      <c r="B74" s="51" t="s">
        <v>395</v>
      </c>
      <c r="C74" s="94" t="s">
        <v>54</v>
      </c>
      <c r="D74" s="95" t="s">
        <v>383</v>
      </c>
      <c r="E74" s="96" t="s">
        <v>114</v>
      </c>
      <c r="F74" s="97" t="s">
        <v>270</v>
      </c>
      <c r="G74" s="98">
        <f t="shared" si="25"/>
        <v>14700</v>
      </c>
      <c r="H74" s="99">
        <f t="shared" si="26"/>
        <v>16080</v>
      </c>
      <c r="I74" s="99">
        <f t="shared" si="27"/>
        <v>16080</v>
      </c>
      <c r="J74" s="99">
        <f t="shared" si="28"/>
        <v>19760</v>
      </c>
      <c r="K74" s="57"/>
      <c r="L74" s="156" t="s">
        <v>384</v>
      </c>
      <c r="M74" s="52" t="s">
        <v>400</v>
      </c>
      <c r="N74" s="40">
        <v>0</v>
      </c>
      <c r="O74" s="53">
        <f>VLOOKUP(B74,DRAYAGE!$A$1:$C$107,3,FALSE)</f>
        <v>2280</v>
      </c>
      <c r="P74" s="40" t="str">
        <f>VLOOKUP($B74,DRAYAGE!$A$1:$Q$23,14,FALSE)</f>
        <v>Rail fee, chassis split, drop</v>
      </c>
      <c r="R74" s="54">
        <v>11000</v>
      </c>
      <c r="S74" s="101">
        <f t="shared" si="22"/>
        <v>12420</v>
      </c>
      <c r="T74" s="54">
        <f>13500+300</f>
        <v>13800</v>
      </c>
      <c r="U74" s="103">
        <f t="shared" si="29"/>
        <v>13800</v>
      </c>
      <c r="V74" s="104">
        <f t="shared" si="30"/>
        <v>17470.8</v>
      </c>
    </row>
    <row r="75" spans="1:29" s="40" customFormat="1" ht="18.75" x14ac:dyDescent="0.25">
      <c r="A75" s="133" t="s">
        <v>55</v>
      </c>
      <c r="B75" s="51" t="s">
        <v>393</v>
      </c>
      <c r="C75" s="94" t="s">
        <v>54</v>
      </c>
      <c r="D75" s="95" t="s">
        <v>383</v>
      </c>
      <c r="E75" s="96" t="s">
        <v>114</v>
      </c>
      <c r="F75" s="97" t="s">
        <v>270</v>
      </c>
      <c r="G75" s="98">
        <f t="shared" si="25"/>
        <v>14280</v>
      </c>
      <c r="H75" s="99">
        <f t="shared" si="26"/>
        <v>15560</v>
      </c>
      <c r="I75" s="99">
        <f t="shared" si="27"/>
        <v>15560</v>
      </c>
      <c r="J75" s="99">
        <f t="shared" si="28"/>
        <v>18950</v>
      </c>
      <c r="K75" s="57"/>
      <c r="L75" s="156" t="s">
        <v>384</v>
      </c>
      <c r="M75" s="52" t="s">
        <v>398</v>
      </c>
      <c r="N75" s="40">
        <v>0</v>
      </c>
      <c r="O75" s="53">
        <f>VLOOKUP(B75,DRAYAGE!$A$1:$C$107,3,FALSE)</f>
        <v>2805</v>
      </c>
      <c r="P75" s="40" t="str">
        <f>VLOOKUP($B75,DRAYAGE!$A$1:$Q$23,14,FALSE)</f>
        <v>Rail fee, chassis split, drop, toll</v>
      </c>
      <c r="R75" s="54">
        <v>11000</v>
      </c>
      <c r="S75" s="101">
        <f t="shared" si="22"/>
        <v>11475</v>
      </c>
      <c r="T75" s="54">
        <f>T71</f>
        <v>12750</v>
      </c>
      <c r="U75" s="103">
        <f t="shared" si="29"/>
        <v>12750</v>
      </c>
      <c r="V75" s="104">
        <f t="shared" si="30"/>
        <v>16141.5</v>
      </c>
    </row>
    <row r="76" spans="1:29" s="40" customFormat="1" ht="18.75" x14ac:dyDescent="0.25">
      <c r="A76" s="133" t="s">
        <v>55</v>
      </c>
      <c r="B76" s="51" t="s">
        <v>394</v>
      </c>
      <c r="C76" s="94" t="s">
        <v>54</v>
      </c>
      <c r="D76" s="95" t="s">
        <v>383</v>
      </c>
      <c r="E76" s="96" t="s">
        <v>114</v>
      </c>
      <c r="F76" s="97" t="s">
        <v>270</v>
      </c>
      <c r="G76" s="98">
        <f t="shared" si="25"/>
        <v>13620</v>
      </c>
      <c r="H76" s="99">
        <f t="shared" si="26"/>
        <v>14940</v>
      </c>
      <c r="I76" s="99">
        <f t="shared" si="27"/>
        <v>14940</v>
      </c>
      <c r="J76" s="99">
        <f t="shared" si="28"/>
        <v>18440</v>
      </c>
      <c r="K76" s="57"/>
      <c r="L76" s="156" t="s">
        <v>384</v>
      </c>
      <c r="M76" s="52" t="s">
        <v>401</v>
      </c>
      <c r="N76" s="40">
        <v>0</v>
      </c>
      <c r="O76" s="53">
        <f>VLOOKUP(B76,DRAYAGE!$A$1:$C$107,3,FALSE)</f>
        <v>1785</v>
      </c>
      <c r="P76" s="40" t="str">
        <f>VLOOKUP($B76,DRAYAGE!$A$1:$Q$23,14,FALSE)</f>
        <v>chassis split, drop</v>
      </c>
      <c r="R76" s="101">
        <v>9900</v>
      </c>
      <c r="S76" s="101">
        <f t="shared" si="22"/>
        <v>11835</v>
      </c>
      <c r="T76" s="54">
        <f>12850+300</f>
        <v>13150</v>
      </c>
      <c r="U76" s="103">
        <f t="shared" si="29"/>
        <v>13150</v>
      </c>
      <c r="V76" s="104">
        <f t="shared" si="30"/>
        <v>16647.900000000001</v>
      </c>
    </row>
    <row r="77" spans="1:29" s="40" customFormat="1" ht="14.45" customHeight="1" x14ac:dyDescent="0.25">
      <c r="A77" s="212" t="s">
        <v>271</v>
      </c>
      <c r="B77" s="212"/>
      <c r="C77" s="212"/>
      <c r="D77" s="212"/>
      <c r="E77" s="212"/>
      <c r="F77" s="212"/>
      <c r="G77" s="212"/>
      <c r="H77" s="212"/>
      <c r="I77" s="212"/>
      <c r="J77" s="212"/>
      <c r="K77" s="57"/>
      <c r="L77" s="100"/>
      <c r="M77" s="100"/>
      <c r="S77" s="37"/>
      <c r="T77" s="37"/>
      <c r="U77" s="37"/>
      <c r="V77" s="37"/>
      <c r="W77" s="37"/>
    </row>
    <row r="78" spans="1:29" s="32" customFormat="1" ht="12.75" x14ac:dyDescent="0.2">
      <c r="A78" s="31"/>
      <c r="B78" s="33"/>
      <c r="C78" s="33"/>
      <c r="D78" s="33"/>
      <c r="E78" s="33"/>
      <c r="F78" s="34"/>
      <c r="G78" s="34"/>
      <c r="H78" s="34"/>
      <c r="I78" s="34"/>
      <c r="J78" s="34"/>
      <c r="K78" s="57"/>
      <c r="L78" s="27"/>
      <c r="M78" s="27"/>
      <c r="N78" s="30"/>
      <c r="O78" s="30"/>
      <c r="P78" s="30"/>
      <c r="Q78" s="30"/>
      <c r="R78" s="30"/>
      <c r="S78" s="37"/>
      <c r="T78" s="37"/>
      <c r="U78" s="37"/>
      <c r="V78" s="37"/>
      <c r="W78" s="37"/>
    </row>
    <row r="79" spans="1:29" s="37" customFormat="1" ht="14.45" customHeight="1" x14ac:dyDescent="0.25">
      <c r="A79" s="180" t="s">
        <v>111</v>
      </c>
      <c r="B79" s="180"/>
      <c r="C79" s="180"/>
      <c r="D79" s="180"/>
      <c r="E79" s="180"/>
      <c r="F79" s="180"/>
      <c r="G79" s="180"/>
      <c r="H79" s="180"/>
      <c r="I79" s="180"/>
      <c r="J79" s="180"/>
      <c r="K79" s="57"/>
    </row>
    <row r="80" spans="1:29" s="37" customFormat="1" ht="14.45" customHeight="1" x14ac:dyDescent="0.25">
      <c r="A80" s="208" t="s">
        <v>112</v>
      </c>
      <c r="B80" s="208"/>
      <c r="C80" s="208"/>
      <c r="D80" s="208"/>
      <c r="E80" s="208"/>
      <c r="F80" s="208"/>
      <c r="G80" s="208"/>
      <c r="H80" s="208"/>
      <c r="I80" s="208"/>
      <c r="J80" s="208"/>
      <c r="K80" s="57"/>
    </row>
    <row r="81" spans="1:17" s="37" customFormat="1" ht="14.45" customHeight="1" x14ac:dyDescent="0.25">
      <c r="A81" s="186" t="s">
        <v>67</v>
      </c>
      <c r="B81" s="186"/>
      <c r="C81" s="186"/>
      <c r="D81" s="186"/>
      <c r="E81" s="186" t="s">
        <v>68</v>
      </c>
      <c r="F81" s="186"/>
      <c r="G81" s="186"/>
      <c r="H81" s="186"/>
      <c r="I81" s="186"/>
      <c r="J81" s="186"/>
      <c r="K81" s="57"/>
      <c r="L81" s="209" t="s">
        <v>113</v>
      </c>
      <c r="M81" s="209"/>
      <c r="N81" s="209"/>
      <c r="O81" s="209"/>
      <c r="P81" s="209"/>
      <c r="Q81" s="209"/>
    </row>
    <row r="82" spans="1:17" s="37" customFormat="1" ht="14.45" customHeight="1" x14ac:dyDescent="0.25">
      <c r="A82" s="196" t="s">
        <v>69</v>
      </c>
      <c r="B82" s="196"/>
      <c r="C82" s="196"/>
      <c r="D82" s="196"/>
      <c r="E82" s="58" t="s">
        <v>114</v>
      </c>
      <c r="F82" s="196" t="s">
        <v>70</v>
      </c>
      <c r="G82" s="196"/>
      <c r="H82" s="196"/>
      <c r="I82" s="196"/>
      <c r="J82" s="196"/>
      <c r="K82" s="57"/>
      <c r="L82" s="197" t="s">
        <v>115</v>
      </c>
      <c r="M82" s="197"/>
      <c r="N82" s="197"/>
      <c r="O82" s="197"/>
      <c r="P82" s="197"/>
      <c r="Q82" s="197"/>
    </row>
    <row r="83" spans="1:17" s="37" customFormat="1" ht="14.45" customHeight="1" x14ac:dyDescent="0.25">
      <c r="A83" s="196" t="s">
        <v>71</v>
      </c>
      <c r="B83" s="196"/>
      <c r="C83" s="196"/>
      <c r="D83" s="201"/>
      <c r="E83" s="58" t="s">
        <v>114</v>
      </c>
      <c r="F83" s="196" t="s">
        <v>116</v>
      </c>
      <c r="G83" s="196"/>
      <c r="H83" s="196"/>
      <c r="I83" s="196"/>
      <c r="J83" s="196"/>
      <c r="K83" s="57"/>
      <c r="L83" s="197"/>
      <c r="M83" s="197"/>
      <c r="N83" s="197"/>
      <c r="O83" s="197"/>
      <c r="P83" s="197"/>
      <c r="Q83" s="197"/>
    </row>
    <row r="84" spans="1:17" s="37" customFormat="1" ht="18" customHeight="1" x14ac:dyDescent="0.25">
      <c r="A84" s="196" t="s">
        <v>117</v>
      </c>
      <c r="B84" s="196"/>
      <c r="C84" s="196"/>
      <c r="D84" s="201"/>
      <c r="E84" s="58" t="s">
        <v>114</v>
      </c>
      <c r="F84" s="196" t="s">
        <v>306</v>
      </c>
      <c r="G84" s="196"/>
      <c r="H84" s="196"/>
      <c r="I84" s="196"/>
      <c r="J84" s="196"/>
      <c r="K84" s="57"/>
      <c r="L84" s="59" t="s">
        <v>118</v>
      </c>
      <c r="M84" s="129"/>
      <c r="N84" s="129"/>
      <c r="O84" s="129"/>
      <c r="P84" s="129"/>
      <c r="Q84" s="129"/>
    </row>
    <row r="85" spans="1:17" s="37" customFormat="1" ht="32.65" customHeight="1" x14ac:dyDescent="0.25">
      <c r="A85" s="202" t="s">
        <v>388</v>
      </c>
      <c r="B85" s="202"/>
      <c r="C85" s="202"/>
      <c r="D85" s="203"/>
      <c r="E85" s="58" t="s">
        <v>127</v>
      </c>
      <c r="F85" s="185" t="s">
        <v>418</v>
      </c>
      <c r="G85" s="185"/>
      <c r="H85" s="185"/>
      <c r="I85" s="185"/>
      <c r="J85" s="185"/>
      <c r="K85" s="57"/>
      <c r="L85" s="59" t="s">
        <v>118</v>
      </c>
      <c r="M85" s="129"/>
      <c r="N85" s="129"/>
      <c r="O85" s="129"/>
      <c r="P85" s="129"/>
      <c r="Q85" s="129"/>
    </row>
    <row r="86" spans="1:17" s="37" customFormat="1" ht="36.950000000000003" customHeight="1" x14ac:dyDescent="0.25">
      <c r="A86" s="196" t="s">
        <v>367</v>
      </c>
      <c r="B86" s="196"/>
      <c r="C86" s="196"/>
      <c r="D86" s="201"/>
      <c r="E86" s="58" t="s">
        <v>114</v>
      </c>
      <c r="F86" s="185" t="s">
        <v>368</v>
      </c>
      <c r="G86" s="185"/>
      <c r="H86" s="185"/>
      <c r="I86" s="185"/>
      <c r="J86" s="185"/>
      <c r="K86" s="57"/>
      <c r="L86" s="59" t="s">
        <v>118</v>
      </c>
      <c r="M86" s="129"/>
      <c r="N86" s="129"/>
      <c r="O86" s="129"/>
      <c r="P86" s="129"/>
      <c r="Q86" s="129"/>
    </row>
    <row r="87" spans="1:17" s="37" customFormat="1" ht="40.5" customHeight="1" x14ac:dyDescent="0.25">
      <c r="A87" s="229" t="s">
        <v>309</v>
      </c>
      <c r="B87" s="229"/>
      <c r="C87" s="229"/>
      <c r="D87" s="198"/>
      <c r="E87" s="58" t="s">
        <v>114</v>
      </c>
      <c r="F87" s="229" t="s">
        <v>310</v>
      </c>
      <c r="G87" s="229"/>
      <c r="H87" s="229"/>
      <c r="I87" s="229"/>
      <c r="J87" s="229"/>
      <c r="K87" s="132"/>
      <c r="L87" s="59" t="s">
        <v>118</v>
      </c>
      <c r="M87" s="129"/>
      <c r="N87" s="129"/>
      <c r="O87" s="129"/>
      <c r="P87" s="129"/>
      <c r="Q87" s="129"/>
    </row>
    <row r="88" spans="1:17" s="37" customFormat="1" ht="14.45" customHeight="1" x14ac:dyDescent="0.25">
      <c r="A88" s="196" t="s">
        <v>119</v>
      </c>
      <c r="B88" s="196"/>
      <c r="C88" s="196"/>
      <c r="D88" s="196"/>
      <c r="E88" s="58" t="s">
        <v>114</v>
      </c>
      <c r="F88" s="196" t="s">
        <v>120</v>
      </c>
      <c r="G88" s="196"/>
      <c r="H88" s="196"/>
      <c r="I88" s="196"/>
      <c r="J88" s="196"/>
      <c r="K88" s="132"/>
      <c r="L88" s="197" t="s">
        <v>121</v>
      </c>
      <c r="M88" s="197"/>
      <c r="N88" s="197"/>
      <c r="O88" s="197"/>
      <c r="P88" s="197"/>
      <c r="Q88" s="197"/>
    </row>
    <row r="89" spans="1:17" s="37" customFormat="1" ht="14.45" customHeight="1" x14ac:dyDescent="0.25">
      <c r="A89" s="196" t="s">
        <v>122</v>
      </c>
      <c r="B89" s="196"/>
      <c r="C89" s="196"/>
      <c r="D89" s="196"/>
      <c r="E89" s="58" t="s">
        <v>114</v>
      </c>
      <c r="F89" s="196" t="s">
        <v>123</v>
      </c>
      <c r="G89" s="196"/>
      <c r="H89" s="196"/>
      <c r="I89" s="196"/>
      <c r="J89" s="196"/>
      <c r="K89" s="132"/>
      <c r="L89" s="197"/>
      <c r="M89" s="197"/>
      <c r="N89" s="197"/>
      <c r="O89" s="197"/>
      <c r="P89" s="197"/>
      <c r="Q89" s="197"/>
    </row>
    <row r="90" spans="1:17" s="37" customFormat="1" ht="14.45" customHeight="1" x14ac:dyDescent="0.25">
      <c r="A90" s="196" t="s">
        <v>277</v>
      </c>
      <c r="B90" s="196"/>
      <c r="C90" s="196"/>
      <c r="D90" s="196"/>
      <c r="E90" s="58" t="s">
        <v>114</v>
      </c>
      <c r="F90" s="196" t="s">
        <v>278</v>
      </c>
      <c r="G90" s="196"/>
      <c r="H90" s="196"/>
      <c r="I90" s="196"/>
      <c r="J90" s="196"/>
      <c r="K90" s="132"/>
      <c r="L90" s="197"/>
      <c r="M90" s="197"/>
      <c r="N90" s="197"/>
      <c r="O90" s="197"/>
      <c r="P90" s="197"/>
      <c r="Q90" s="197"/>
    </row>
    <row r="91" spans="1:17" s="37" customFormat="1" ht="14.45" customHeight="1" x14ac:dyDescent="0.25">
      <c r="A91" s="196" t="s">
        <v>124</v>
      </c>
      <c r="B91" s="196"/>
      <c r="C91" s="196"/>
      <c r="D91" s="196"/>
      <c r="E91" s="58" t="s">
        <v>114</v>
      </c>
      <c r="F91" s="196" t="s">
        <v>125</v>
      </c>
      <c r="G91" s="196"/>
      <c r="H91" s="196"/>
      <c r="I91" s="196"/>
      <c r="J91" s="196"/>
      <c r="K91" s="132"/>
      <c r="L91" s="197"/>
      <c r="M91" s="197"/>
      <c r="N91" s="197"/>
      <c r="O91" s="197"/>
      <c r="P91" s="197"/>
      <c r="Q91" s="197"/>
    </row>
    <row r="92" spans="1:17" s="37" customFormat="1" ht="18.95" customHeight="1" x14ac:dyDescent="0.25">
      <c r="A92" s="231" t="s">
        <v>126</v>
      </c>
      <c r="B92" s="231"/>
      <c r="C92" s="231"/>
      <c r="D92" s="232"/>
      <c r="E92" s="145" t="s">
        <v>127</v>
      </c>
      <c r="F92" s="150" t="s">
        <v>409</v>
      </c>
      <c r="G92" s="233" t="s">
        <v>410</v>
      </c>
      <c r="H92" s="233"/>
      <c r="I92" s="233"/>
      <c r="J92" s="233"/>
      <c r="K92" s="132"/>
      <c r="L92" s="197" t="s">
        <v>130</v>
      </c>
      <c r="M92" s="197"/>
      <c r="N92" s="197"/>
      <c r="O92" s="197"/>
      <c r="P92" s="197"/>
      <c r="Q92" s="197"/>
    </row>
    <row r="93" spans="1:17" s="37" customFormat="1" ht="24.95" customHeight="1" x14ac:dyDescent="0.25">
      <c r="A93" s="196" t="s">
        <v>126</v>
      </c>
      <c r="B93" s="196"/>
      <c r="C93" s="196"/>
      <c r="D93" s="196"/>
      <c r="E93" s="58" t="s">
        <v>127</v>
      </c>
      <c r="F93" s="128" t="s">
        <v>131</v>
      </c>
      <c r="G93" s="185" t="s">
        <v>374</v>
      </c>
      <c r="H93" s="185"/>
      <c r="I93" s="185"/>
      <c r="J93" s="185"/>
      <c r="K93" s="132"/>
      <c r="L93" s="197" t="s">
        <v>130</v>
      </c>
      <c r="M93" s="197"/>
      <c r="N93" s="197"/>
      <c r="O93" s="197"/>
      <c r="P93" s="197"/>
      <c r="Q93" s="197"/>
    </row>
    <row r="94" spans="1:17" s="37" customFormat="1" ht="24.95" customHeight="1" x14ac:dyDescent="0.25">
      <c r="A94" s="196" t="s">
        <v>372</v>
      </c>
      <c r="B94" s="196"/>
      <c r="C94" s="196"/>
      <c r="D94" s="196"/>
      <c r="E94" s="58" t="s">
        <v>127</v>
      </c>
      <c r="F94" s="128" t="s">
        <v>131</v>
      </c>
      <c r="G94" s="185" t="s">
        <v>385</v>
      </c>
      <c r="H94" s="185"/>
      <c r="I94" s="185"/>
      <c r="J94" s="185"/>
      <c r="K94" s="132"/>
      <c r="L94" s="197" t="s">
        <v>130</v>
      </c>
      <c r="M94" s="197"/>
      <c r="N94" s="197"/>
      <c r="O94" s="197"/>
      <c r="P94" s="197"/>
      <c r="Q94" s="197"/>
    </row>
    <row r="95" spans="1:17" s="37" customFormat="1" ht="37.5" customHeight="1" x14ac:dyDescent="0.25">
      <c r="A95" s="198" t="s">
        <v>311</v>
      </c>
      <c r="B95" s="199"/>
      <c r="C95" s="199"/>
      <c r="D95" s="200"/>
      <c r="E95" s="198" t="s">
        <v>312</v>
      </c>
      <c r="F95" s="199"/>
      <c r="G95" s="199"/>
      <c r="H95" s="199"/>
      <c r="I95" s="199"/>
      <c r="J95" s="200"/>
      <c r="K95" s="132"/>
      <c r="L95" s="197"/>
      <c r="M95" s="197"/>
      <c r="N95" s="197"/>
      <c r="O95" s="197"/>
      <c r="P95" s="197"/>
      <c r="Q95" s="197"/>
    </row>
    <row r="96" spans="1:17" s="37" customFormat="1" ht="14.45" customHeight="1" x14ac:dyDescent="0.25">
      <c r="A96" s="180" t="s">
        <v>133</v>
      </c>
      <c r="B96" s="180"/>
      <c r="C96" s="180"/>
      <c r="D96" s="180"/>
      <c r="E96" s="180"/>
      <c r="F96" s="180"/>
      <c r="G96" s="180"/>
      <c r="H96" s="180"/>
      <c r="I96" s="180"/>
      <c r="J96" s="180"/>
      <c r="K96" s="57"/>
      <c r="L96" s="129"/>
      <c r="M96" s="129"/>
    </row>
    <row r="97" spans="1:13" s="37" customFormat="1" ht="14.45" customHeight="1" x14ac:dyDescent="0.2">
      <c r="A97" s="60" t="s">
        <v>134</v>
      </c>
      <c r="B97" s="60" t="s">
        <v>135</v>
      </c>
      <c r="C97" s="60" t="s">
        <v>136</v>
      </c>
      <c r="D97" s="193" t="s">
        <v>137</v>
      </c>
      <c r="E97" s="194"/>
      <c r="F97" s="195"/>
      <c r="G97" s="61" t="s">
        <v>138</v>
      </c>
      <c r="H97" s="60" t="s">
        <v>139</v>
      </c>
      <c r="I97" s="61" t="s">
        <v>140</v>
      </c>
      <c r="J97" s="61" t="s">
        <v>141</v>
      </c>
      <c r="K97" s="57"/>
      <c r="L97" s="129"/>
      <c r="M97" s="129"/>
    </row>
    <row r="98" spans="1:13" s="37" customFormat="1" ht="14.45" customHeight="1" x14ac:dyDescent="0.2">
      <c r="A98" s="62" t="s">
        <v>142</v>
      </c>
      <c r="B98" s="62" t="s">
        <v>49</v>
      </c>
      <c r="C98" s="62" t="s">
        <v>143</v>
      </c>
      <c r="D98" s="187" t="s">
        <v>144</v>
      </c>
      <c r="E98" s="188"/>
      <c r="F98" s="189"/>
      <c r="G98" s="63">
        <v>50</v>
      </c>
      <c r="H98" s="62" t="s">
        <v>145</v>
      </c>
      <c r="I98" s="63">
        <v>150</v>
      </c>
      <c r="J98" s="63" t="s">
        <v>110</v>
      </c>
      <c r="K98" s="57"/>
      <c r="L98" s="129"/>
      <c r="M98" s="129"/>
    </row>
    <row r="99" spans="1:13" s="37" customFormat="1" ht="14.45" hidden="1" customHeight="1" x14ac:dyDescent="0.2">
      <c r="A99" s="62" t="s">
        <v>142</v>
      </c>
      <c r="B99" s="62" t="s">
        <v>146</v>
      </c>
      <c r="C99" s="62" t="s">
        <v>147</v>
      </c>
      <c r="D99" s="187" t="s">
        <v>148</v>
      </c>
      <c r="E99" s="188"/>
      <c r="F99" s="189"/>
      <c r="G99" s="63">
        <v>3</v>
      </c>
      <c r="H99" s="62" t="s">
        <v>149</v>
      </c>
      <c r="I99" s="63">
        <v>3</v>
      </c>
      <c r="J99" s="63" t="s">
        <v>110</v>
      </c>
      <c r="K99" s="57"/>
      <c r="L99" s="129"/>
      <c r="M99" s="129"/>
    </row>
    <row r="100" spans="1:13" s="37" customFormat="1" ht="14.45" hidden="1" customHeight="1" x14ac:dyDescent="0.2">
      <c r="A100" s="62" t="s">
        <v>150</v>
      </c>
      <c r="B100" s="62" t="s">
        <v>146</v>
      </c>
      <c r="C100" s="62" t="s">
        <v>147</v>
      </c>
      <c r="D100" s="187" t="s">
        <v>151</v>
      </c>
      <c r="E100" s="188"/>
      <c r="F100" s="189"/>
      <c r="G100" s="63">
        <v>3</v>
      </c>
      <c r="H100" s="62" t="s">
        <v>152</v>
      </c>
      <c r="I100" s="63">
        <v>3</v>
      </c>
      <c r="J100" s="63" t="s">
        <v>110</v>
      </c>
      <c r="K100" s="57"/>
      <c r="L100" s="129"/>
      <c r="M100" s="129"/>
    </row>
    <row r="101" spans="1:13" s="37" customFormat="1" ht="14.45" customHeight="1" x14ac:dyDescent="0.2">
      <c r="A101" s="62" t="s">
        <v>173</v>
      </c>
      <c r="B101" s="62" t="s">
        <v>49</v>
      </c>
      <c r="C101" s="62" t="s">
        <v>143</v>
      </c>
      <c r="D101" s="187" t="s">
        <v>313</v>
      </c>
      <c r="E101" s="188"/>
      <c r="F101" s="189"/>
      <c r="G101" s="66">
        <v>75</v>
      </c>
      <c r="H101" s="62" t="s">
        <v>145</v>
      </c>
      <c r="I101" s="66">
        <f>75*3</f>
        <v>225</v>
      </c>
      <c r="J101" s="66" t="s">
        <v>314</v>
      </c>
      <c r="K101" s="132"/>
      <c r="L101" s="129"/>
      <c r="M101" s="129"/>
    </row>
    <row r="102" spans="1:13" s="37" customFormat="1" ht="14.45" customHeight="1" x14ac:dyDescent="0.2">
      <c r="A102" s="62" t="s">
        <v>142</v>
      </c>
      <c r="B102" s="62" t="s">
        <v>49</v>
      </c>
      <c r="C102" s="62" t="s">
        <v>143</v>
      </c>
      <c r="D102" s="187" t="s">
        <v>279</v>
      </c>
      <c r="E102" s="188"/>
      <c r="F102" s="189"/>
      <c r="G102" s="63">
        <v>150</v>
      </c>
      <c r="H102" s="62" t="s">
        <v>280</v>
      </c>
      <c r="I102" s="63" t="s">
        <v>153</v>
      </c>
      <c r="J102" s="63" t="s">
        <v>110</v>
      </c>
      <c r="K102" s="57"/>
      <c r="L102" s="129"/>
      <c r="M102" s="129"/>
    </row>
    <row r="103" spans="1:13" s="37" customFormat="1" ht="14.45" customHeight="1" x14ac:dyDescent="0.2">
      <c r="A103" s="62" t="s">
        <v>154</v>
      </c>
      <c r="B103" s="62" t="s">
        <v>49</v>
      </c>
      <c r="C103" s="62" t="s">
        <v>143</v>
      </c>
      <c r="D103" s="187" t="s">
        <v>155</v>
      </c>
      <c r="E103" s="188"/>
      <c r="F103" s="189"/>
      <c r="G103" s="63">
        <v>250</v>
      </c>
      <c r="H103" s="62" t="s">
        <v>49</v>
      </c>
      <c r="I103" s="63" t="s">
        <v>153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5" t="s">
        <v>156</v>
      </c>
      <c r="B104" s="65" t="s">
        <v>49</v>
      </c>
      <c r="C104" s="65" t="s">
        <v>143</v>
      </c>
      <c r="D104" s="187" t="s">
        <v>157</v>
      </c>
      <c r="E104" s="188"/>
      <c r="F104" s="189"/>
      <c r="G104" s="63">
        <v>250</v>
      </c>
      <c r="H104" s="62" t="s">
        <v>49</v>
      </c>
      <c r="I104" s="63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142</v>
      </c>
      <c r="B105" s="62" t="s">
        <v>49</v>
      </c>
      <c r="C105" s="62" t="s">
        <v>143</v>
      </c>
      <c r="D105" s="187" t="s">
        <v>281</v>
      </c>
      <c r="E105" s="188"/>
      <c r="F105" s="189"/>
      <c r="G105" s="63">
        <v>200</v>
      </c>
      <c r="H105" s="62" t="s">
        <v>280</v>
      </c>
      <c r="I105" s="63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142</v>
      </c>
      <c r="B106" s="62" t="s">
        <v>49</v>
      </c>
      <c r="C106" s="62" t="s">
        <v>143</v>
      </c>
      <c r="D106" s="187" t="s">
        <v>158</v>
      </c>
      <c r="E106" s="188"/>
      <c r="F106" s="189"/>
      <c r="G106" s="66">
        <v>150</v>
      </c>
      <c r="H106" s="62" t="s">
        <v>49</v>
      </c>
      <c r="I106" s="66" t="s">
        <v>153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150</v>
      </c>
      <c r="B107" s="67" t="s">
        <v>49</v>
      </c>
      <c r="C107" s="62" t="s">
        <v>143</v>
      </c>
      <c r="D107" s="187" t="s">
        <v>159</v>
      </c>
      <c r="E107" s="188"/>
      <c r="F107" s="189"/>
      <c r="G107" s="68">
        <v>180</v>
      </c>
      <c r="H107" s="67" t="s">
        <v>49</v>
      </c>
      <c r="I107" s="68" t="s">
        <v>153</v>
      </c>
      <c r="J107" s="63" t="s">
        <v>110</v>
      </c>
      <c r="K107" s="57"/>
      <c r="L107" s="129"/>
      <c r="M107" s="129"/>
    </row>
    <row r="108" spans="1:13" s="37" customFormat="1" ht="14.45" customHeight="1" x14ac:dyDescent="0.2">
      <c r="A108" s="62" t="s">
        <v>160</v>
      </c>
      <c r="B108" s="67" t="s">
        <v>49</v>
      </c>
      <c r="C108" s="62" t="s">
        <v>143</v>
      </c>
      <c r="D108" s="187" t="s">
        <v>161</v>
      </c>
      <c r="E108" s="188"/>
      <c r="F108" s="189"/>
      <c r="G108" s="69">
        <v>47.9</v>
      </c>
      <c r="H108" s="67" t="s">
        <v>24</v>
      </c>
      <c r="I108" s="69">
        <v>47.9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160</v>
      </c>
      <c r="B109" s="67" t="s">
        <v>49</v>
      </c>
      <c r="C109" s="62" t="s">
        <v>143</v>
      </c>
      <c r="D109" s="187" t="s">
        <v>161</v>
      </c>
      <c r="E109" s="188"/>
      <c r="F109" s="189"/>
      <c r="G109" s="69">
        <v>65.400000000000006</v>
      </c>
      <c r="H109" s="67" t="s">
        <v>162</v>
      </c>
      <c r="I109" s="69">
        <v>65.400000000000006</v>
      </c>
      <c r="J109" s="63" t="s">
        <v>110</v>
      </c>
      <c r="K109" s="57"/>
      <c r="L109" s="129"/>
      <c r="M109" s="129"/>
    </row>
    <row r="110" spans="1:13" s="37" customFormat="1" ht="14.1" customHeight="1" x14ac:dyDescent="0.2">
      <c r="A110" s="62" t="s">
        <v>163</v>
      </c>
      <c r="B110" s="67" t="s">
        <v>49</v>
      </c>
      <c r="C110" s="62" t="s">
        <v>143</v>
      </c>
      <c r="D110" s="187" t="s">
        <v>164</v>
      </c>
      <c r="E110" s="188"/>
      <c r="F110" s="189"/>
      <c r="G110" s="69">
        <v>48</v>
      </c>
      <c r="H110" s="67" t="s">
        <v>49</v>
      </c>
      <c r="I110" s="69">
        <v>48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163</v>
      </c>
      <c r="B111" s="67" t="s">
        <v>49</v>
      </c>
      <c r="C111" s="62" t="s">
        <v>143</v>
      </c>
      <c r="D111" s="187" t="s">
        <v>165</v>
      </c>
      <c r="E111" s="188"/>
      <c r="F111" s="189"/>
      <c r="G111" s="69">
        <v>18</v>
      </c>
      <c r="H111" s="67" t="s">
        <v>49</v>
      </c>
      <c r="I111" s="69">
        <v>18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163</v>
      </c>
      <c r="B112" s="67" t="s">
        <v>49</v>
      </c>
      <c r="C112" s="62" t="s">
        <v>143</v>
      </c>
      <c r="D112" s="187" t="s">
        <v>166</v>
      </c>
      <c r="E112" s="188"/>
      <c r="F112" s="189"/>
      <c r="G112" s="69">
        <v>42</v>
      </c>
      <c r="H112" s="67" t="s">
        <v>49</v>
      </c>
      <c r="I112" s="69">
        <v>42</v>
      </c>
      <c r="J112" s="63" t="s">
        <v>110</v>
      </c>
      <c r="K112" s="57"/>
      <c r="L112" s="129"/>
      <c r="M112" s="129"/>
    </row>
    <row r="113" spans="1:13" s="37" customFormat="1" ht="14.45" customHeight="1" x14ac:dyDescent="0.2">
      <c r="A113" s="62" t="s">
        <v>167</v>
      </c>
      <c r="B113" s="62" t="s">
        <v>49</v>
      </c>
      <c r="C113" s="62" t="s">
        <v>143</v>
      </c>
      <c r="D113" s="187" t="s">
        <v>168</v>
      </c>
      <c r="E113" s="188"/>
      <c r="F113" s="189"/>
      <c r="G113" s="66">
        <v>54</v>
      </c>
      <c r="H113" s="62" t="s">
        <v>49</v>
      </c>
      <c r="I113" s="66">
        <v>54</v>
      </c>
      <c r="J113" s="63" t="s">
        <v>110</v>
      </c>
      <c r="K113" s="57"/>
      <c r="L113" s="129"/>
      <c r="M113" s="129"/>
    </row>
    <row r="114" spans="1:13" s="37" customFormat="1" ht="14.45" customHeight="1" x14ac:dyDescent="0.2">
      <c r="A114" s="67" t="s">
        <v>169</v>
      </c>
      <c r="B114" s="67" t="s">
        <v>49</v>
      </c>
      <c r="C114" s="67" t="s">
        <v>147</v>
      </c>
      <c r="D114" s="187" t="s">
        <v>170</v>
      </c>
      <c r="E114" s="188"/>
      <c r="F114" s="189"/>
      <c r="G114" s="70">
        <v>35</v>
      </c>
      <c r="H114" s="70" t="s">
        <v>280</v>
      </c>
      <c r="I114" s="70">
        <v>35</v>
      </c>
      <c r="J114" s="63" t="s">
        <v>110</v>
      </c>
      <c r="K114" s="57"/>
      <c r="L114" s="129"/>
      <c r="M114" s="129"/>
    </row>
    <row r="115" spans="1:13" s="37" customFormat="1" ht="14.45" customHeight="1" x14ac:dyDescent="0.2">
      <c r="A115" s="62" t="s">
        <v>142</v>
      </c>
      <c r="B115" s="62" t="s">
        <v>49</v>
      </c>
      <c r="C115" s="62" t="s">
        <v>143</v>
      </c>
      <c r="D115" s="187" t="s">
        <v>171</v>
      </c>
      <c r="E115" s="188"/>
      <c r="F115" s="189"/>
      <c r="G115" s="63">
        <v>85</v>
      </c>
      <c r="H115" s="62" t="s">
        <v>172</v>
      </c>
      <c r="I115" s="63" t="s">
        <v>153</v>
      </c>
      <c r="J115" s="63" t="s">
        <v>110</v>
      </c>
      <c r="K115" s="57"/>
      <c r="L115" s="129"/>
      <c r="M115" s="129"/>
    </row>
    <row r="116" spans="1:13" s="37" customFormat="1" ht="14.45" hidden="1" customHeight="1" x14ac:dyDescent="0.2">
      <c r="A116" s="62" t="s">
        <v>173</v>
      </c>
      <c r="B116" s="62" t="s">
        <v>146</v>
      </c>
      <c r="C116" s="62" t="s">
        <v>147</v>
      </c>
      <c r="D116" s="187" t="s">
        <v>174</v>
      </c>
      <c r="E116" s="188"/>
      <c r="F116" s="189"/>
      <c r="G116" s="63">
        <v>4</v>
      </c>
      <c r="H116" s="62" t="s">
        <v>149</v>
      </c>
      <c r="I116" s="63">
        <v>4</v>
      </c>
      <c r="J116" s="63" t="s">
        <v>110</v>
      </c>
      <c r="K116" s="57"/>
      <c r="L116" s="129"/>
      <c r="M116" s="129"/>
    </row>
    <row r="117" spans="1:13" s="37" customFormat="1" ht="24" customHeight="1" x14ac:dyDescent="0.2">
      <c r="A117" s="62" t="s">
        <v>173</v>
      </c>
      <c r="B117" s="62" t="s">
        <v>49</v>
      </c>
      <c r="C117" s="62" t="s">
        <v>143</v>
      </c>
      <c r="D117" s="187" t="s">
        <v>175</v>
      </c>
      <c r="E117" s="188"/>
      <c r="F117" s="189"/>
      <c r="G117" s="137" t="s">
        <v>348</v>
      </c>
      <c r="H117" s="62" t="s">
        <v>24</v>
      </c>
      <c r="I117" s="66" t="s">
        <v>153</v>
      </c>
      <c r="J117" s="63" t="s">
        <v>282</v>
      </c>
      <c r="K117" s="57"/>
      <c r="L117" s="129"/>
      <c r="M117" s="129"/>
    </row>
    <row r="118" spans="1:13" s="37" customFormat="1" ht="27" customHeight="1" x14ac:dyDescent="0.2">
      <c r="A118" s="62" t="s">
        <v>173</v>
      </c>
      <c r="B118" s="62" t="s">
        <v>49</v>
      </c>
      <c r="C118" s="62" t="s">
        <v>143</v>
      </c>
      <c r="D118" s="187" t="s">
        <v>176</v>
      </c>
      <c r="E118" s="188"/>
      <c r="F118" s="189"/>
      <c r="G118" s="137" t="s">
        <v>348</v>
      </c>
      <c r="H118" s="62" t="s">
        <v>162</v>
      </c>
      <c r="I118" s="66" t="s">
        <v>153</v>
      </c>
      <c r="J118" s="63" t="s">
        <v>282</v>
      </c>
      <c r="K118" s="57"/>
      <c r="L118" s="129"/>
      <c r="M118" s="129"/>
    </row>
    <row r="119" spans="1:13" s="152" customFormat="1" ht="52.35" customHeight="1" x14ac:dyDescent="0.2">
      <c r="A119" s="67" t="s">
        <v>142</v>
      </c>
      <c r="B119" s="67" t="s">
        <v>49</v>
      </c>
      <c r="C119" s="147" t="s">
        <v>362</v>
      </c>
      <c r="D119" s="190" t="s">
        <v>363</v>
      </c>
      <c r="E119" s="191"/>
      <c r="F119" s="192"/>
      <c r="G119" s="146" t="s">
        <v>371</v>
      </c>
      <c r="H119" s="148" t="s">
        <v>280</v>
      </c>
      <c r="I119" s="69" t="s">
        <v>153</v>
      </c>
      <c r="J119" s="149" t="s">
        <v>365</v>
      </c>
      <c r="K119" s="111"/>
      <c r="L119" s="151"/>
      <c r="M119" s="151"/>
    </row>
    <row r="120" spans="1:13" s="37" customFormat="1" ht="14.45" hidden="1" customHeight="1" x14ac:dyDescent="0.2">
      <c r="A120" s="62" t="s">
        <v>173</v>
      </c>
      <c r="B120" s="62" t="s">
        <v>146</v>
      </c>
      <c r="C120" s="62" t="s">
        <v>147</v>
      </c>
      <c r="D120" s="187" t="s">
        <v>177</v>
      </c>
      <c r="E120" s="188"/>
      <c r="F120" s="189"/>
      <c r="G120" s="63">
        <v>2</v>
      </c>
      <c r="H120" s="62" t="s">
        <v>149</v>
      </c>
      <c r="I120" s="63">
        <v>2</v>
      </c>
      <c r="J120" s="63" t="s">
        <v>110</v>
      </c>
      <c r="K120" s="57"/>
      <c r="L120" s="129"/>
      <c r="M120" s="129"/>
    </row>
    <row r="121" spans="1:13" s="37" customFormat="1" ht="14.45" hidden="1" customHeight="1" x14ac:dyDescent="0.2">
      <c r="A121" s="62" t="s">
        <v>173</v>
      </c>
      <c r="B121" s="62" t="s">
        <v>146</v>
      </c>
      <c r="C121" s="62" t="s">
        <v>283</v>
      </c>
      <c r="D121" s="187" t="s">
        <v>284</v>
      </c>
      <c r="E121" s="188"/>
      <c r="F121" s="189"/>
      <c r="G121" s="63">
        <v>10</v>
      </c>
      <c r="H121" s="62" t="s">
        <v>285</v>
      </c>
      <c r="I121" s="63" t="s">
        <v>153</v>
      </c>
      <c r="J121" s="63" t="s">
        <v>110</v>
      </c>
      <c r="K121" s="57"/>
      <c r="L121" s="129"/>
      <c r="M121" s="129"/>
    </row>
    <row r="122" spans="1:13" s="37" customFormat="1" ht="14.45" customHeight="1" x14ac:dyDescent="0.2">
      <c r="A122" s="62" t="s">
        <v>142</v>
      </c>
      <c r="B122" s="62" t="s">
        <v>49</v>
      </c>
      <c r="C122" s="62" t="s">
        <v>143</v>
      </c>
      <c r="D122" s="187" t="s">
        <v>178</v>
      </c>
      <c r="E122" s="188"/>
      <c r="F122" s="189"/>
      <c r="G122" s="63">
        <v>50</v>
      </c>
      <c r="H122" s="62" t="s">
        <v>145</v>
      </c>
      <c r="I122" s="63" t="s">
        <v>153</v>
      </c>
      <c r="J122" s="63" t="s">
        <v>110</v>
      </c>
      <c r="K122" s="57"/>
      <c r="L122" s="129"/>
      <c r="M122" s="129"/>
    </row>
    <row r="123" spans="1:13" s="37" customFormat="1" ht="14.45" customHeight="1" x14ac:dyDescent="0.2">
      <c r="A123" s="62" t="s">
        <v>173</v>
      </c>
      <c r="B123" s="62" t="s">
        <v>49</v>
      </c>
      <c r="C123" s="62" t="s">
        <v>143</v>
      </c>
      <c r="D123" s="187" t="s">
        <v>179</v>
      </c>
      <c r="E123" s="188"/>
      <c r="F123" s="189"/>
      <c r="G123" s="63">
        <v>175</v>
      </c>
      <c r="H123" s="62" t="s">
        <v>49</v>
      </c>
      <c r="I123" s="63" t="s">
        <v>153</v>
      </c>
      <c r="J123" s="63" t="s">
        <v>110</v>
      </c>
      <c r="K123" s="57"/>
      <c r="L123" s="129"/>
      <c r="M123" s="129"/>
    </row>
    <row r="124" spans="1:13" s="37" customFormat="1" ht="14.45" customHeight="1" x14ac:dyDescent="0.2">
      <c r="A124" s="62" t="s">
        <v>142</v>
      </c>
      <c r="B124" s="62" t="s">
        <v>49</v>
      </c>
      <c r="C124" s="62" t="s">
        <v>147</v>
      </c>
      <c r="D124" s="187" t="s">
        <v>180</v>
      </c>
      <c r="E124" s="188"/>
      <c r="F124" s="189"/>
      <c r="G124" s="63">
        <v>40</v>
      </c>
      <c r="H124" s="62" t="s">
        <v>181</v>
      </c>
      <c r="I124" s="63" t="s">
        <v>153</v>
      </c>
      <c r="J124" s="63" t="s">
        <v>110</v>
      </c>
      <c r="K124" s="57"/>
      <c r="L124" s="129"/>
      <c r="M124" s="129"/>
    </row>
    <row r="125" spans="1:13" s="37" customFormat="1" ht="14.45" hidden="1" customHeight="1" x14ac:dyDescent="0.2">
      <c r="A125" s="62" t="s">
        <v>173</v>
      </c>
      <c r="B125" s="62" t="s">
        <v>146</v>
      </c>
      <c r="C125" s="62" t="s">
        <v>147</v>
      </c>
      <c r="D125" s="187" t="s">
        <v>182</v>
      </c>
      <c r="E125" s="188"/>
      <c r="F125" s="189"/>
      <c r="G125" s="63">
        <v>7.5</v>
      </c>
      <c r="H125" s="62" t="s">
        <v>152</v>
      </c>
      <c r="I125" s="63">
        <v>75</v>
      </c>
      <c r="J125" s="63" t="s">
        <v>110</v>
      </c>
      <c r="K125" s="57"/>
      <c r="L125" s="129"/>
      <c r="M125" s="129"/>
    </row>
    <row r="126" spans="1:13" s="37" customFormat="1" ht="14.45" hidden="1" customHeight="1" x14ac:dyDescent="0.2">
      <c r="A126" s="62" t="s">
        <v>142</v>
      </c>
      <c r="B126" s="62" t="s">
        <v>146</v>
      </c>
      <c r="C126" s="62" t="s">
        <v>147</v>
      </c>
      <c r="D126" s="187" t="s">
        <v>183</v>
      </c>
      <c r="E126" s="188"/>
      <c r="F126" s="189"/>
      <c r="G126" s="63">
        <v>20</v>
      </c>
      <c r="H126" s="62" t="s">
        <v>184</v>
      </c>
      <c r="I126" s="63" t="s">
        <v>153</v>
      </c>
      <c r="J126" s="63" t="s">
        <v>110</v>
      </c>
      <c r="K126" s="57"/>
      <c r="L126" s="129"/>
      <c r="M126" s="129"/>
    </row>
    <row r="127" spans="1:13" s="37" customFormat="1" ht="14.45" hidden="1" customHeight="1" x14ac:dyDescent="0.2">
      <c r="A127" s="62" t="s">
        <v>142</v>
      </c>
      <c r="B127" s="62" t="s">
        <v>146</v>
      </c>
      <c r="C127" s="62" t="s">
        <v>147</v>
      </c>
      <c r="D127" s="187" t="s">
        <v>185</v>
      </c>
      <c r="E127" s="188"/>
      <c r="F127" s="189"/>
      <c r="G127" s="63">
        <v>25</v>
      </c>
      <c r="H127" s="62" t="s">
        <v>184</v>
      </c>
      <c r="I127" s="63" t="s">
        <v>153</v>
      </c>
      <c r="J127" s="63" t="s">
        <v>110</v>
      </c>
      <c r="K127" s="57"/>
      <c r="L127" s="129"/>
      <c r="M127" s="129"/>
    </row>
    <row r="128" spans="1:13" s="37" customFormat="1" ht="14.45" customHeight="1" x14ac:dyDescent="0.2">
      <c r="A128" s="62" t="s">
        <v>142</v>
      </c>
      <c r="B128" s="62" t="s">
        <v>142</v>
      </c>
      <c r="C128" s="62" t="s">
        <v>147</v>
      </c>
      <c r="D128" s="187" t="s">
        <v>186</v>
      </c>
      <c r="E128" s="188"/>
      <c r="F128" s="189"/>
      <c r="G128" s="68">
        <v>75</v>
      </c>
      <c r="H128" s="62" t="s">
        <v>181</v>
      </c>
      <c r="I128" s="63" t="s">
        <v>153</v>
      </c>
      <c r="J128" s="63" t="s">
        <v>110</v>
      </c>
      <c r="K128" s="57"/>
      <c r="L128" s="129"/>
      <c r="M128" s="129"/>
    </row>
    <row r="129" spans="1:29" s="37" customFormat="1" ht="14.45" customHeight="1" x14ac:dyDescent="0.2">
      <c r="A129" s="62" t="s">
        <v>142</v>
      </c>
      <c r="B129" s="62" t="s">
        <v>142</v>
      </c>
      <c r="C129" s="62" t="s">
        <v>147</v>
      </c>
      <c r="D129" s="187" t="s">
        <v>187</v>
      </c>
      <c r="E129" s="188"/>
      <c r="F129" s="189"/>
      <c r="G129" s="63">
        <v>35</v>
      </c>
      <c r="H129" s="62" t="s">
        <v>181</v>
      </c>
      <c r="I129" s="63" t="s">
        <v>153</v>
      </c>
      <c r="J129" s="63" t="s">
        <v>110</v>
      </c>
      <c r="K129" s="57"/>
      <c r="L129" s="129"/>
      <c r="M129" s="129"/>
    </row>
    <row r="130" spans="1:29" s="37" customFormat="1" ht="14.45" hidden="1" customHeight="1" x14ac:dyDescent="0.2">
      <c r="A130" s="62" t="s">
        <v>142</v>
      </c>
      <c r="B130" s="62" t="s">
        <v>146</v>
      </c>
      <c r="C130" s="62" t="s">
        <v>143</v>
      </c>
      <c r="D130" s="187" t="s">
        <v>188</v>
      </c>
      <c r="E130" s="188"/>
      <c r="F130" s="189"/>
      <c r="G130" s="63">
        <v>100</v>
      </c>
      <c r="H130" s="62" t="s">
        <v>181</v>
      </c>
      <c r="I130" s="63" t="s">
        <v>153</v>
      </c>
      <c r="J130" s="63" t="s">
        <v>110</v>
      </c>
      <c r="K130" s="57"/>
      <c r="L130" s="129"/>
      <c r="M130" s="129"/>
    </row>
    <row r="131" spans="1:29" s="37" customFormat="1" ht="14.45" hidden="1" customHeight="1" x14ac:dyDescent="0.2">
      <c r="A131" s="62" t="s">
        <v>142</v>
      </c>
      <c r="B131" s="62" t="s">
        <v>146</v>
      </c>
      <c r="C131" s="62" t="s">
        <v>143</v>
      </c>
      <c r="D131" s="187" t="s">
        <v>189</v>
      </c>
      <c r="E131" s="188"/>
      <c r="F131" s="189"/>
      <c r="G131" s="63">
        <v>100</v>
      </c>
      <c r="H131" s="62" t="s">
        <v>190</v>
      </c>
      <c r="I131" s="63" t="s">
        <v>153</v>
      </c>
      <c r="J131" s="63" t="s">
        <v>110</v>
      </c>
      <c r="K131" s="57"/>
      <c r="O131" s="38"/>
      <c r="P131" s="38"/>
    </row>
    <row r="132" spans="1:29" s="37" customFormat="1" ht="14.45" hidden="1" customHeight="1" x14ac:dyDescent="0.2">
      <c r="A132" s="62" t="s">
        <v>142</v>
      </c>
      <c r="B132" s="62" t="s">
        <v>146</v>
      </c>
      <c r="C132" s="62" t="s">
        <v>143</v>
      </c>
      <c r="D132" s="187" t="s">
        <v>191</v>
      </c>
      <c r="E132" s="188"/>
      <c r="F132" s="189"/>
      <c r="G132" s="63">
        <v>100</v>
      </c>
      <c r="H132" s="62" t="s">
        <v>181</v>
      </c>
      <c r="I132" s="63" t="s">
        <v>153</v>
      </c>
      <c r="J132" s="63" t="s">
        <v>110</v>
      </c>
      <c r="K132" s="57"/>
      <c r="O132" s="39"/>
      <c r="P132" s="39"/>
    </row>
    <row r="133" spans="1:29" s="37" customFormat="1" ht="14.45" hidden="1" customHeight="1" x14ac:dyDescent="0.2">
      <c r="A133" s="62" t="s">
        <v>173</v>
      </c>
      <c r="B133" s="62" t="s">
        <v>146</v>
      </c>
      <c r="C133" s="62" t="s">
        <v>143</v>
      </c>
      <c r="D133" s="187" t="s">
        <v>189</v>
      </c>
      <c r="E133" s="188"/>
      <c r="F133" s="189"/>
      <c r="G133" s="63">
        <v>50</v>
      </c>
      <c r="H133" s="62" t="s">
        <v>192</v>
      </c>
      <c r="I133" s="63" t="s">
        <v>153</v>
      </c>
      <c r="J133" s="63" t="s">
        <v>110</v>
      </c>
      <c r="K133" s="57"/>
      <c r="O133" s="39"/>
      <c r="P133" s="39"/>
    </row>
    <row r="134" spans="1:29" s="37" customFormat="1" ht="14.45" hidden="1" customHeight="1" x14ac:dyDescent="0.2">
      <c r="A134" s="62" t="s">
        <v>173</v>
      </c>
      <c r="B134" s="62" t="s">
        <v>146</v>
      </c>
      <c r="C134" s="62" t="s">
        <v>143</v>
      </c>
      <c r="D134" s="187" t="s">
        <v>191</v>
      </c>
      <c r="E134" s="188"/>
      <c r="F134" s="189"/>
      <c r="G134" s="63">
        <v>50</v>
      </c>
      <c r="H134" s="62" t="s">
        <v>181</v>
      </c>
      <c r="I134" s="63" t="s">
        <v>153</v>
      </c>
      <c r="J134" s="63" t="s">
        <v>110</v>
      </c>
      <c r="K134" s="57"/>
      <c r="O134" s="38"/>
      <c r="P134" s="38"/>
    </row>
    <row r="135" spans="1:29" s="37" customFormat="1" ht="14.45" hidden="1" customHeight="1" x14ac:dyDescent="0.25">
      <c r="A135" s="62" t="s">
        <v>142</v>
      </c>
      <c r="B135" s="62" t="s">
        <v>146</v>
      </c>
      <c r="C135" s="62" t="s">
        <v>143</v>
      </c>
      <c r="D135" s="187" t="s">
        <v>193</v>
      </c>
      <c r="E135" s="188"/>
      <c r="F135" s="189"/>
      <c r="G135" s="63">
        <v>85</v>
      </c>
      <c r="H135" s="62" t="s">
        <v>194</v>
      </c>
      <c r="I135" s="63" t="s">
        <v>153</v>
      </c>
      <c r="J135" s="63" t="s">
        <v>110</v>
      </c>
      <c r="K135" s="57"/>
      <c r="O135" s="36"/>
      <c r="P135" s="36"/>
    </row>
    <row r="136" spans="1:29" s="37" customFormat="1" ht="14.45" hidden="1" customHeight="1" x14ac:dyDescent="0.25">
      <c r="A136" s="62" t="s">
        <v>173</v>
      </c>
      <c r="B136" s="62" t="s">
        <v>146</v>
      </c>
      <c r="C136" s="62" t="s">
        <v>195</v>
      </c>
      <c r="D136" s="187" t="s">
        <v>196</v>
      </c>
      <c r="E136" s="188"/>
      <c r="F136" s="189"/>
      <c r="G136" s="63">
        <v>0.1</v>
      </c>
      <c r="H136" s="62" t="s">
        <v>197</v>
      </c>
      <c r="I136" s="63">
        <v>150</v>
      </c>
      <c r="J136" s="63" t="s">
        <v>110</v>
      </c>
      <c r="K136" s="57"/>
      <c r="O136" s="36"/>
      <c r="P136" s="36"/>
    </row>
    <row r="137" spans="1:29" s="37" customFormat="1" ht="14.45" customHeight="1" x14ac:dyDescent="0.25">
      <c r="A137" s="62" t="s">
        <v>142</v>
      </c>
      <c r="B137" s="62" t="s">
        <v>49</v>
      </c>
      <c r="C137" s="62" t="s">
        <v>198</v>
      </c>
      <c r="D137" s="187" t="s">
        <v>199</v>
      </c>
      <c r="E137" s="188"/>
      <c r="F137" s="189"/>
      <c r="G137" s="63">
        <v>35</v>
      </c>
      <c r="H137" s="62" t="s">
        <v>181</v>
      </c>
      <c r="I137" s="63" t="s">
        <v>153</v>
      </c>
      <c r="J137" s="63" t="s">
        <v>110</v>
      </c>
      <c r="K137" s="57"/>
      <c r="O137" s="36"/>
      <c r="P137" s="36"/>
    </row>
    <row r="138" spans="1:29" s="37" customFormat="1" ht="14.45" hidden="1" customHeight="1" x14ac:dyDescent="0.25">
      <c r="A138" s="62" t="s">
        <v>142</v>
      </c>
      <c r="B138" s="62" t="s">
        <v>146</v>
      </c>
      <c r="C138" s="62" t="s">
        <v>198</v>
      </c>
      <c r="D138" s="187" t="s">
        <v>200</v>
      </c>
      <c r="E138" s="188"/>
      <c r="F138" s="189"/>
      <c r="G138" s="63">
        <v>7</v>
      </c>
      <c r="H138" s="62" t="s">
        <v>152</v>
      </c>
      <c r="I138" s="63">
        <v>7</v>
      </c>
      <c r="J138" s="63" t="s">
        <v>110</v>
      </c>
      <c r="K138" s="57"/>
      <c r="O138" s="36"/>
      <c r="P138" s="36"/>
    </row>
    <row r="139" spans="1:29" s="37" customFormat="1" ht="14.1" customHeight="1" x14ac:dyDescent="0.25">
      <c r="A139" s="62" t="s">
        <v>142</v>
      </c>
      <c r="B139" s="62" t="s">
        <v>142</v>
      </c>
      <c r="C139" s="62" t="s">
        <v>201</v>
      </c>
      <c r="D139" s="187" t="s">
        <v>202</v>
      </c>
      <c r="E139" s="188"/>
      <c r="F139" s="189"/>
      <c r="G139" s="63">
        <v>40</v>
      </c>
      <c r="H139" s="62" t="s">
        <v>203</v>
      </c>
      <c r="I139" s="63" t="s">
        <v>153</v>
      </c>
      <c r="J139" s="63" t="s">
        <v>110</v>
      </c>
      <c r="K139" s="57"/>
      <c r="O139" s="36"/>
      <c r="P139" s="36"/>
    </row>
    <row r="140" spans="1:29" s="37" customFormat="1" ht="14.1" customHeight="1" x14ac:dyDescent="0.25">
      <c r="A140" s="62" t="s">
        <v>142</v>
      </c>
      <c r="B140" s="62" t="s">
        <v>49</v>
      </c>
      <c r="C140" s="62" t="s">
        <v>143</v>
      </c>
      <c r="D140" s="187" t="s">
        <v>204</v>
      </c>
      <c r="E140" s="188"/>
      <c r="F140" s="189"/>
      <c r="G140" s="63">
        <v>50</v>
      </c>
      <c r="H140" s="62" t="s">
        <v>49</v>
      </c>
      <c r="I140" s="63" t="s">
        <v>153</v>
      </c>
      <c r="J140" s="63" t="s">
        <v>110</v>
      </c>
      <c r="K140" s="57"/>
      <c r="L140" s="38"/>
      <c r="M140" s="38"/>
      <c r="N140" s="38"/>
      <c r="O140" s="36"/>
      <c r="P140" s="36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 spans="1:29" s="39" customFormat="1" ht="14.1" customHeight="1" x14ac:dyDescent="0.25">
      <c r="A141" s="62" t="s">
        <v>142</v>
      </c>
      <c r="B141" s="62" t="s">
        <v>49</v>
      </c>
      <c r="C141" s="62" t="s">
        <v>143</v>
      </c>
      <c r="D141" s="187" t="s">
        <v>205</v>
      </c>
      <c r="E141" s="188"/>
      <c r="F141" s="189"/>
      <c r="G141" s="63">
        <v>200</v>
      </c>
      <c r="H141" s="62" t="s">
        <v>206</v>
      </c>
      <c r="I141" s="63" t="s">
        <v>153</v>
      </c>
      <c r="J141" s="63" t="s">
        <v>110</v>
      </c>
      <c r="K141" s="57"/>
      <c r="O141" s="36"/>
      <c r="P141" s="36"/>
    </row>
    <row r="142" spans="1:29" s="39" customFormat="1" ht="14.1" customHeight="1" x14ac:dyDescent="0.25">
      <c r="A142" s="62" t="s">
        <v>142</v>
      </c>
      <c r="B142" s="62" t="s">
        <v>49</v>
      </c>
      <c r="C142" s="62" t="s">
        <v>143</v>
      </c>
      <c r="D142" s="187" t="s">
        <v>207</v>
      </c>
      <c r="E142" s="188"/>
      <c r="F142" s="189"/>
      <c r="G142" s="63">
        <v>250</v>
      </c>
      <c r="H142" s="62" t="s">
        <v>208</v>
      </c>
      <c r="I142" s="63">
        <v>100</v>
      </c>
      <c r="J142" s="63" t="s">
        <v>110</v>
      </c>
      <c r="K142" s="57"/>
      <c r="L142" s="38"/>
      <c r="M142" s="38"/>
      <c r="N142" s="38"/>
      <c r="O142" s="36"/>
      <c r="P142" s="36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 spans="1:29" s="38" customFormat="1" ht="14.1" customHeight="1" x14ac:dyDescent="0.25">
      <c r="A143" s="62" t="s">
        <v>142</v>
      </c>
      <c r="B143" s="62" t="s">
        <v>49</v>
      </c>
      <c r="C143" s="62" t="s">
        <v>201</v>
      </c>
      <c r="D143" s="187" t="s">
        <v>209</v>
      </c>
      <c r="E143" s="188"/>
      <c r="F143" s="189"/>
      <c r="G143" s="63" t="s">
        <v>210</v>
      </c>
      <c r="H143" s="62"/>
      <c r="I143" s="63" t="s">
        <v>153</v>
      </c>
      <c r="J143" s="63" t="s">
        <v>110</v>
      </c>
      <c r="K143" s="57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:29" s="36" customFormat="1" x14ac:dyDescent="0.25">
      <c r="A144" s="62" t="s">
        <v>142</v>
      </c>
      <c r="B144" s="62" t="s">
        <v>49</v>
      </c>
      <c r="C144" s="62" t="s">
        <v>201</v>
      </c>
      <c r="D144" s="187" t="s">
        <v>211</v>
      </c>
      <c r="E144" s="188"/>
      <c r="F144" s="189"/>
      <c r="G144" s="63" t="s">
        <v>212</v>
      </c>
      <c r="H144" s="62"/>
      <c r="I144" s="63" t="s">
        <v>153</v>
      </c>
      <c r="J144" s="63" t="s">
        <v>110</v>
      </c>
      <c r="K144" s="72"/>
    </row>
    <row r="145" spans="1:11" s="36" customFormat="1" x14ac:dyDescent="0.25">
      <c r="A145" s="62" t="s">
        <v>213</v>
      </c>
      <c r="B145" s="62" t="s">
        <v>49</v>
      </c>
      <c r="C145" s="62" t="s">
        <v>214</v>
      </c>
      <c r="D145" s="187" t="s">
        <v>215</v>
      </c>
      <c r="E145" s="188"/>
      <c r="F145" s="189"/>
      <c r="G145" s="63">
        <v>100</v>
      </c>
      <c r="H145" s="62" t="s">
        <v>49</v>
      </c>
      <c r="I145" s="63">
        <v>100</v>
      </c>
      <c r="J145" s="63" t="s">
        <v>110</v>
      </c>
      <c r="K145" s="72"/>
    </row>
    <row r="146" spans="1:11" s="36" customFormat="1" x14ac:dyDescent="0.25">
      <c r="A146" s="62" t="s">
        <v>213</v>
      </c>
      <c r="B146" s="62" t="s">
        <v>216</v>
      </c>
      <c r="C146" s="62" t="s">
        <v>147</v>
      </c>
      <c r="D146" s="187" t="s">
        <v>217</v>
      </c>
      <c r="E146" s="188"/>
      <c r="F146" s="189"/>
      <c r="G146" s="63">
        <v>50</v>
      </c>
      <c r="H146" s="62"/>
      <c r="I146" s="63">
        <v>50</v>
      </c>
      <c r="J146" s="63" t="s">
        <v>110</v>
      </c>
      <c r="K146" s="72"/>
    </row>
    <row r="147" spans="1:11" s="36" customFormat="1" x14ac:dyDescent="0.25">
      <c r="A147" s="62" t="s">
        <v>150</v>
      </c>
      <c r="B147" s="62" t="s">
        <v>49</v>
      </c>
      <c r="C147" s="62" t="s">
        <v>218</v>
      </c>
      <c r="D147" s="187" t="s">
        <v>219</v>
      </c>
      <c r="E147" s="188"/>
      <c r="F147" s="189"/>
      <c r="G147" s="69" t="s">
        <v>220</v>
      </c>
      <c r="H147" s="67" t="s">
        <v>49</v>
      </c>
      <c r="I147" s="69" t="s">
        <v>153</v>
      </c>
      <c r="J147" s="63" t="s">
        <v>110</v>
      </c>
      <c r="K147" s="72"/>
    </row>
    <row r="148" spans="1:11" s="36" customFormat="1" x14ac:dyDescent="0.25">
      <c r="A148" s="62" t="s">
        <v>221</v>
      </c>
      <c r="B148" s="62" t="s">
        <v>49</v>
      </c>
      <c r="C148" s="62" t="s">
        <v>201</v>
      </c>
      <c r="D148" s="187" t="s">
        <v>222</v>
      </c>
      <c r="E148" s="188"/>
      <c r="F148" s="189"/>
      <c r="G148" s="69" t="s">
        <v>220</v>
      </c>
      <c r="H148" s="67" t="s">
        <v>49</v>
      </c>
      <c r="I148" s="69" t="s">
        <v>153</v>
      </c>
      <c r="J148" s="63" t="s">
        <v>110</v>
      </c>
      <c r="K148" s="72"/>
    </row>
    <row r="149" spans="1:11" s="36" customFormat="1" x14ac:dyDescent="0.25">
      <c r="A149" s="62" t="s">
        <v>142</v>
      </c>
      <c r="B149" s="62" t="s">
        <v>49</v>
      </c>
      <c r="C149" s="62" t="s">
        <v>223</v>
      </c>
      <c r="D149" s="187" t="s">
        <v>224</v>
      </c>
      <c r="E149" s="188"/>
      <c r="F149" s="189"/>
      <c r="G149" s="63" t="s">
        <v>225</v>
      </c>
      <c r="H149" s="62"/>
      <c r="I149" s="63" t="s">
        <v>153</v>
      </c>
      <c r="J149" s="63" t="s">
        <v>110</v>
      </c>
      <c r="K149" s="72"/>
    </row>
    <row r="150" spans="1:11" s="36" customFormat="1" x14ac:dyDescent="0.25">
      <c r="A150" s="62" t="s">
        <v>142</v>
      </c>
      <c r="B150" s="62" t="s">
        <v>49</v>
      </c>
      <c r="C150" s="62" t="s">
        <v>226</v>
      </c>
      <c r="D150" s="187" t="s">
        <v>227</v>
      </c>
      <c r="E150" s="188"/>
      <c r="F150" s="189"/>
      <c r="G150" s="66">
        <v>150</v>
      </c>
      <c r="H150" s="62" t="s">
        <v>49</v>
      </c>
      <c r="I150" s="66">
        <v>150</v>
      </c>
      <c r="J150" s="63" t="s">
        <v>110</v>
      </c>
      <c r="K150" s="72"/>
    </row>
    <row r="151" spans="1:11" s="36" customFormat="1" x14ac:dyDescent="0.25">
      <c r="A151" s="62" t="s">
        <v>142</v>
      </c>
      <c r="B151" s="62" t="s">
        <v>49</v>
      </c>
      <c r="C151" s="62" t="s">
        <v>228</v>
      </c>
      <c r="D151" s="187" t="s">
        <v>229</v>
      </c>
      <c r="E151" s="188"/>
      <c r="F151" s="189"/>
      <c r="G151" s="66">
        <v>25</v>
      </c>
      <c r="H151" s="62" t="s">
        <v>230</v>
      </c>
      <c r="I151" s="66">
        <v>25</v>
      </c>
      <c r="J151" s="63" t="s">
        <v>110</v>
      </c>
      <c r="K151" s="72"/>
    </row>
    <row r="152" spans="1:11" s="36" customFormat="1" hidden="1" x14ac:dyDescent="0.25">
      <c r="A152" s="62" t="s">
        <v>142</v>
      </c>
      <c r="B152" s="62" t="s">
        <v>146</v>
      </c>
      <c r="C152" s="62" t="s">
        <v>198</v>
      </c>
      <c r="D152" s="187" t="s">
        <v>231</v>
      </c>
      <c r="E152" s="188"/>
      <c r="F152" s="189"/>
      <c r="G152" s="66" t="s">
        <v>232</v>
      </c>
      <c r="H152" s="62" t="s">
        <v>149</v>
      </c>
      <c r="I152" s="66" t="s">
        <v>153</v>
      </c>
      <c r="J152" s="63" t="s">
        <v>110</v>
      </c>
      <c r="K152" s="72"/>
    </row>
    <row r="153" spans="1:11" s="36" customFormat="1" hidden="1" x14ac:dyDescent="0.25">
      <c r="A153" s="62" t="s">
        <v>173</v>
      </c>
      <c r="B153" s="62" t="s">
        <v>146</v>
      </c>
      <c r="C153" s="62" t="s">
        <v>233</v>
      </c>
      <c r="D153" s="187" t="s">
        <v>234</v>
      </c>
      <c r="E153" s="188"/>
      <c r="F153" s="189"/>
      <c r="G153" s="66">
        <v>0.5</v>
      </c>
      <c r="H153" s="62" t="s">
        <v>235</v>
      </c>
      <c r="I153" s="66">
        <v>50</v>
      </c>
      <c r="J153" s="63" t="s">
        <v>110</v>
      </c>
      <c r="K153" s="72"/>
    </row>
    <row r="154" spans="1:11" s="36" customFormat="1" hidden="1" x14ac:dyDescent="0.25">
      <c r="A154" s="62" t="s">
        <v>173</v>
      </c>
      <c r="B154" s="62" t="s">
        <v>146</v>
      </c>
      <c r="C154" s="62" t="s">
        <v>201</v>
      </c>
      <c r="D154" s="187" t="s">
        <v>237</v>
      </c>
      <c r="E154" s="188"/>
      <c r="F154" s="189"/>
      <c r="G154" s="66" t="s">
        <v>238</v>
      </c>
      <c r="H154" s="62" t="s">
        <v>235</v>
      </c>
      <c r="I154" s="66">
        <v>50</v>
      </c>
      <c r="J154" s="63" t="s">
        <v>110</v>
      </c>
      <c r="K154" s="72"/>
    </row>
    <row r="155" spans="1:11" s="36" customFormat="1" x14ac:dyDescent="0.25">
      <c r="A155" s="62" t="s">
        <v>239</v>
      </c>
      <c r="B155" s="62" t="s">
        <v>49</v>
      </c>
      <c r="C155" s="62" t="s">
        <v>143</v>
      </c>
      <c r="D155" s="187" t="s">
        <v>240</v>
      </c>
      <c r="E155" s="188"/>
      <c r="F155" s="189"/>
      <c r="G155" s="69" t="s">
        <v>220</v>
      </c>
      <c r="H155" s="67" t="s">
        <v>49</v>
      </c>
      <c r="I155" s="69" t="s">
        <v>153</v>
      </c>
      <c r="J155" s="63" t="s">
        <v>110</v>
      </c>
      <c r="K155" s="72"/>
    </row>
    <row r="156" spans="1:11" s="36" customFormat="1" x14ac:dyDescent="0.25">
      <c r="A156" s="62" t="s">
        <v>142</v>
      </c>
      <c r="B156" s="62" t="s">
        <v>142</v>
      </c>
      <c r="C156" s="62" t="s">
        <v>147</v>
      </c>
      <c r="D156" s="187" t="s">
        <v>241</v>
      </c>
      <c r="E156" s="188"/>
      <c r="F156" s="189"/>
      <c r="G156" s="66" t="s">
        <v>242</v>
      </c>
      <c r="H156" s="62"/>
      <c r="I156" s="66">
        <v>15</v>
      </c>
      <c r="J156" s="63" t="s">
        <v>110</v>
      </c>
      <c r="K156" s="72"/>
    </row>
    <row r="157" spans="1:11" s="36" customFormat="1" x14ac:dyDescent="0.25">
      <c r="A157" s="62" t="s">
        <v>243</v>
      </c>
      <c r="B157" s="62" t="s">
        <v>49</v>
      </c>
      <c r="C157" s="62" t="s">
        <v>143</v>
      </c>
      <c r="D157" s="187" t="s">
        <v>244</v>
      </c>
      <c r="E157" s="188"/>
      <c r="F157" s="189"/>
      <c r="G157" s="66">
        <v>200</v>
      </c>
      <c r="H157" s="62" t="s">
        <v>49</v>
      </c>
      <c r="I157" s="63">
        <v>200</v>
      </c>
      <c r="J157" s="63" t="s">
        <v>110</v>
      </c>
      <c r="K157" s="72"/>
    </row>
    <row r="158" spans="1:11" s="36" customFormat="1" x14ac:dyDescent="0.25">
      <c r="A158" s="62" t="s">
        <v>245</v>
      </c>
      <c r="B158" s="62" t="s">
        <v>49</v>
      </c>
      <c r="C158" s="62" t="s">
        <v>143</v>
      </c>
      <c r="D158" s="187" t="s">
        <v>246</v>
      </c>
      <c r="E158" s="188"/>
      <c r="F158" s="189"/>
      <c r="G158" s="66">
        <v>250</v>
      </c>
      <c r="H158" s="62" t="s">
        <v>49</v>
      </c>
      <c r="I158" s="63">
        <v>100</v>
      </c>
      <c r="J158" s="63" t="s">
        <v>110</v>
      </c>
      <c r="K158" s="72"/>
    </row>
    <row r="159" spans="1:11" s="36" customFormat="1" x14ac:dyDescent="0.25">
      <c r="A159" s="62" t="s">
        <v>247</v>
      </c>
      <c r="B159" s="62" t="s">
        <v>49</v>
      </c>
      <c r="C159" s="62" t="s">
        <v>143</v>
      </c>
      <c r="D159" s="187" t="s">
        <v>248</v>
      </c>
      <c r="E159" s="188"/>
      <c r="F159" s="189"/>
      <c r="G159" s="63">
        <v>250</v>
      </c>
      <c r="H159" s="62" t="s">
        <v>49</v>
      </c>
      <c r="I159" s="63">
        <v>200</v>
      </c>
      <c r="J159" s="63" t="s">
        <v>110</v>
      </c>
      <c r="K159" s="72"/>
    </row>
    <row r="160" spans="1:11" s="36" customFormat="1" x14ac:dyDescent="0.25">
      <c r="A160" s="62" t="s">
        <v>142</v>
      </c>
      <c r="B160" s="62" t="s">
        <v>49</v>
      </c>
      <c r="C160" s="62" t="s">
        <v>143</v>
      </c>
      <c r="D160" s="187" t="s">
        <v>249</v>
      </c>
      <c r="E160" s="188"/>
      <c r="F160" s="189"/>
      <c r="G160" s="63"/>
      <c r="H160" s="62" t="s">
        <v>49</v>
      </c>
      <c r="I160" s="63" t="s">
        <v>153</v>
      </c>
      <c r="J160" s="63" t="s">
        <v>110</v>
      </c>
      <c r="K160" s="72"/>
    </row>
    <row r="161" spans="1:11" s="36" customFormat="1" x14ac:dyDescent="0.25">
      <c r="A161" s="62" t="s">
        <v>250</v>
      </c>
      <c r="B161" s="62" t="s">
        <v>49</v>
      </c>
      <c r="C161" s="62" t="s">
        <v>143</v>
      </c>
      <c r="D161" s="187" t="s">
        <v>251</v>
      </c>
      <c r="E161" s="188"/>
      <c r="F161" s="189"/>
      <c r="G161" s="66">
        <v>350</v>
      </c>
      <c r="H161" s="62" t="s">
        <v>49</v>
      </c>
      <c r="I161" s="63">
        <v>350</v>
      </c>
      <c r="J161" s="63" t="s">
        <v>110</v>
      </c>
      <c r="K161" s="72"/>
    </row>
    <row r="162" spans="1:11" s="36" customFormat="1" x14ac:dyDescent="0.25">
      <c r="A162" s="118"/>
      <c r="B162" s="118"/>
      <c r="C162" s="118"/>
      <c r="D162" s="119"/>
      <c r="E162" s="119"/>
      <c r="F162" s="119"/>
      <c r="G162" s="120"/>
      <c r="H162" s="118"/>
      <c r="I162" s="121"/>
      <c r="J162" s="121"/>
      <c r="K162" s="72"/>
    </row>
    <row r="163" spans="1:11" s="36" customFormat="1" x14ac:dyDescent="0.25">
      <c r="A163" s="180" t="s">
        <v>72</v>
      </c>
      <c r="B163" s="180"/>
      <c r="C163" s="180"/>
      <c r="D163" s="180"/>
      <c r="E163" s="180"/>
      <c r="F163" s="180"/>
      <c r="G163" s="180"/>
      <c r="H163" s="180"/>
      <c r="I163" s="180"/>
      <c r="J163" s="180"/>
      <c r="K163" s="72"/>
    </row>
    <row r="164" spans="1:11" s="36" customFormat="1" x14ac:dyDescent="0.25">
      <c r="A164" s="186" t="s">
        <v>67</v>
      </c>
      <c r="B164" s="186"/>
      <c r="C164" s="186"/>
      <c r="D164" s="186"/>
      <c r="E164" s="186" t="s">
        <v>68</v>
      </c>
      <c r="F164" s="186"/>
      <c r="G164" s="186"/>
      <c r="H164" s="186"/>
      <c r="I164" s="186"/>
      <c r="J164" s="186"/>
      <c r="K164" s="72"/>
    </row>
    <row r="165" spans="1:11" s="36" customFormat="1" x14ac:dyDescent="0.25">
      <c r="A165" s="185" t="s">
        <v>73</v>
      </c>
      <c r="B165" s="185"/>
      <c r="C165" s="185"/>
      <c r="D165" s="185"/>
      <c r="E165" s="185" t="s">
        <v>254</v>
      </c>
      <c r="F165" s="185"/>
      <c r="G165" s="185"/>
      <c r="H165" s="185"/>
      <c r="I165" s="185"/>
      <c r="J165" s="185"/>
      <c r="K165" s="72"/>
    </row>
    <row r="166" spans="1:11" s="36" customFormat="1" ht="15" customHeight="1" x14ac:dyDescent="0.25">
      <c r="A166" s="185" t="s">
        <v>252</v>
      </c>
      <c r="B166" s="185"/>
      <c r="C166" s="185"/>
      <c r="D166" s="185"/>
      <c r="E166" s="185" t="s">
        <v>253</v>
      </c>
      <c r="F166" s="185"/>
      <c r="G166" s="185"/>
      <c r="H166" s="185"/>
      <c r="I166" s="185"/>
      <c r="J166" s="185"/>
      <c r="K166" s="72"/>
    </row>
    <row r="167" spans="1:11" s="36" customFormat="1" ht="15" customHeight="1" x14ac:dyDescent="0.25">
      <c r="A167" s="185" t="s">
        <v>74</v>
      </c>
      <c r="B167" s="185"/>
      <c r="C167" s="185"/>
      <c r="D167" s="185"/>
      <c r="E167" s="185" t="s">
        <v>75</v>
      </c>
      <c r="F167" s="185"/>
      <c r="G167" s="185"/>
      <c r="H167" s="185"/>
      <c r="I167" s="185"/>
      <c r="J167" s="185"/>
      <c r="K167" s="72"/>
    </row>
    <row r="168" spans="1:11" s="36" customFormat="1" x14ac:dyDescent="0.25">
      <c r="A168" s="185" t="s">
        <v>76</v>
      </c>
      <c r="B168" s="185"/>
      <c r="C168" s="185"/>
      <c r="D168" s="185"/>
      <c r="E168" s="185" t="s">
        <v>77</v>
      </c>
      <c r="F168" s="185"/>
      <c r="G168" s="185"/>
      <c r="H168" s="185"/>
      <c r="I168" s="185"/>
      <c r="J168" s="185"/>
      <c r="K168" s="72"/>
    </row>
    <row r="169" spans="1:11" s="36" customFormat="1" ht="15" customHeight="1" x14ac:dyDescent="0.25">
      <c r="A169" s="185" t="s">
        <v>78</v>
      </c>
      <c r="B169" s="185"/>
      <c r="C169" s="185"/>
      <c r="D169" s="185"/>
      <c r="E169" s="185" t="s">
        <v>79</v>
      </c>
      <c r="F169" s="185"/>
      <c r="G169" s="185"/>
      <c r="H169" s="185"/>
      <c r="I169" s="185"/>
      <c r="J169" s="185"/>
      <c r="K169" s="72"/>
    </row>
    <row r="170" spans="1:11" s="36" customFormat="1" ht="15" customHeight="1" x14ac:dyDescent="0.25">
      <c r="A170" s="180" t="s">
        <v>89</v>
      </c>
      <c r="B170" s="180"/>
      <c r="C170" s="180"/>
      <c r="D170" s="180"/>
      <c r="E170" s="180"/>
      <c r="F170" s="180"/>
      <c r="G170" s="180"/>
      <c r="H170" s="180"/>
      <c r="I170" s="180"/>
      <c r="J170" s="180"/>
      <c r="K170" s="72"/>
    </row>
    <row r="171" spans="1:11" s="36" customFormat="1" x14ac:dyDescent="0.25">
      <c r="A171" s="181" t="s">
        <v>80</v>
      </c>
      <c r="B171" s="181"/>
      <c r="C171" s="181"/>
      <c r="D171" s="181"/>
      <c r="E171" s="181"/>
      <c r="F171" s="181"/>
      <c r="G171" s="181"/>
      <c r="H171" s="181"/>
      <c r="I171" s="181"/>
      <c r="J171" s="181"/>
      <c r="K171" s="72"/>
    </row>
    <row r="172" spans="1:11" s="36" customFormat="1" ht="15" customHeight="1" x14ac:dyDescent="0.2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72"/>
    </row>
    <row r="173" spans="1:11" s="36" customFormat="1" x14ac:dyDescent="0.25">
      <c r="A173" s="182" t="s">
        <v>90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72"/>
    </row>
    <row r="174" spans="1:11" s="36" customFormat="1" ht="15" customHeight="1" x14ac:dyDescent="0.25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72"/>
    </row>
    <row r="175" spans="1:11" s="42" customFormat="1" ht="13.9" customHeight="1" x14ac:dyDescent="0.25">
      <c r="A175" s="183" t="s">
        <v>353</v>
      </c>
      <c r="B175" s="183"/>
      <c r="C175" s="183"/>
      <c r="D175" s="183"/>
      <c r="E175" s="183"/>
      <c r="F175" s="183"/>
      <c r="G175" s="183"/>
      <c r="H175" s="183"/>
      <c r="I175" s="183"/>
      <c r="J175" s="48"/>
    </row>
    <row r="176" spans="1:11" s="49" customFormat="1" ht="13.9" customHeight="1" x14ac:dyDescent="0.25">
      <c r="A176" s="184" t="s">
        <v>354</v>
      </c>
      <c r="B176" s="184"/>
      <c r="C176" s="184"/>
      <c r="D176" s="184"/>
      <c r="E176" s="184"/>
      <c r="F176" s="184"/>
      <c r="G176" s="184"/>
      <c r="H176" s="184"/>
      <c r="I176" s="184"/>
      <c r="J176" s="48"/>
    </row>
    <row r="177" spans="10:10" x14ac:dyDescent="0.25">
      <c r="J177" s="48"/>
    </row>
    <row r="178" spans="10:10" x14ac:dyDescent="0.25">
      <c r="J178" s="48"/>
    </row>
    <row r="179" spans="10:10" x14ac:dyDescent="0.25">
      <c r="J179" s="48"/>
    </row>
  </sheetData>
  <protectedRanges>
    <protectedRange algorithmName="SHA-512" hashValue="VF6HSW3Iy4xJ9rvYE/9xGHEoimGCygSu8D4FeqmdsD954MzAHwkkxLcwSP9Q5ui8KTGpWBzFAFpp2yGVfuii3Q==" saltValue="Ht0jMOW+8eakbuvlYpVr7Q==" spinCount="100000" sqref="G63:J68 G38:J40 G42:J44 G46:J51 G13:J36 G70:J77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2:J52 G54:J57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9:J61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97:WWE161" xr:uid="{FA694B6A-433F-4FA4-84BF-050781CB5F76}">
    <filterColumn colId="1">
      <filters>
        <filter val="ALL"/>
        <filter val="CY"/>
      </filters>
    </filterColumn>
    <filterColumn colId="3" showButton="0"/>
    <filterColumn colId="4" showButton="0"/>
  </autoFilter>
  <mergeCells count="151">
    <mergeCell ref="A173:J174"/>
    <mergeCell ref="A175:I175"/>
    <mergeCell ref="A176:I176"/>
    <mergeCell ref="A168:D168"/>
    <mergeCell ref="E168:J168"/>
    <mergeCell ref="A169:D169"/>
    <mergeCell ref="E169:J169"/>
    <mergeCell ref="A170:J170"/>
    <mergeCell ref="A171:J172"/>
    <mergeCell ref="A165:D165"/>
    <mergeCell ref="E165:J165"/>
    <mergeCell ref="A166:D166"/>
    <mergeCell ref="E166:J166"/>
    <mergeCell ref="A167:D167"/>
    <mergeCell ref="E167:J167"/>
    <mergeCell ref="D159:F159"/>
    <mergeCell ref="D160:F160"/>
    <mergeCell ref="D161:F161"/>
    <mergeCell ref="A163:J163"/>
    <mergeCell ref="A164:D164"/>
    <mergeCell ref="E164:J164"/>
    <mergeCell ref="D153:F153"/>
    <mergeCell ref="D154:F154"/>
    <mergeCell ref="D155:F155"/>
    <mergeCell ref="D156:F156"/>
    <mergeCell ref="D157:F157"/>
    <mergeCell ref="D158:F158"/>
    <mergeCell ref="D147:F147"/>
    <mergeCell ref="D148:F148"/>
    <mergeCell ref="D149:F149"/>
    <mergeCell ref="D150:F150"/>
    <mergeCell ref="D151:F151"/>
    <mergeCell ref="D152:F152"/>
    <mergeCell ref="D141:F141"/>
    <mergeCell ref="D142:F142"/>
    <mergeCell ref="D143:F143"/>
    <mergeCell ref="D144:F144"/>
    <mergeCell ref="D145:F145"/>
    <mergeCell ref="D146:F146"/>
    <mergeCell ref="D135:F135"/>
    <mergeCell ref="D136:F136"/>
    <mergeCell ref="D137:F137"/>
    <mergeCell ref="D138:F138"/>
    <mergeCell ref="D139:F139"/>
    <mergeCell ref="D140:F140"/>
    <mergeCell ref="D129:F129"/>
    <mergeCell ref="D130:F130"/>
    <mergeCell ref="D131:F131"/>
    <mergeCell ref="D132:F132"/>
    <mergeCell ref="D133:F133"/>
    <mergeCell ref="D134:F134"/>
    <mergeCell ref="D123:F123"/>
    <mergeCell ref="D124:F124"/>
    <mergeCell ref="D125:F125"/>
    <mergeCell ref="D126:F126"/>
    <mergeCell ref="D127:F127"/>
    <mergeCell ref="D128:F128"/>
    <mergeCell ref="D117:F117"/>
    <mergeCell ref="D118:F118"/>
    <mergeCell ref="D119:F119"/>
    <mergeCell ref="D120:F120"/>
    <mergeCell ref="D121:F121"/>
    <mergeCell ref="D122:F122"/>
    <mergeCell ref="D111:F111"/>
    <mergeCell ref="D112:F112"/>
    <mergeCell ref="D113:F113"/>
    <mergeCell ref="D114:F114"/>
    <mergeCell ref="D115:F115"/>
    <mergeCell ref="D116:F116"/>
    <mergeCell ref="D105:F105"/>
    <mergeCell ref="D106:F106"/>
    <mergeCell ref="D107:F107"/>
    <mergeCell ref="D108:F108"/>
    <mergeCell ref="D109:F109"/>
    <mergeCell ref="D110:F110"/>
    <mergeCell ref="D99:F99"/>
    <mergeCell ref="D100:F100"/>
    <mergeCell ref="D101:F101"/>
    <mergeCell ref="D102:F102"/>
    <mergeCell ref="D103:F103"/>
    <mergeCell ref="D104:F104"/>
    <mergeCell ref="A95:D95"/>
    <mergeCell ref="E95:J95"/>
    <mergeCell ref="L95:Q95"/>
    <mergeCell ref="A96:J96"/>
    <mergeCell ref="D97:F97"/>
    <mergeCell ref="D98:F98"/>
    <mergeCell ref="A93:D93"/>
    <mergeCell ref="G93:J93"/>
    <mergeCell ref="L93:Q93"/>
    <mergeCell ref="A94:D94"/>
    <mergeCell ref="G94:J94"/>
    <mergeCell ref="L94:Q94"/>
    <mergeCell ref="A91:D91"/>
    <mergeCell ref="F91:J91"/>
    <mergeCell ref="L91:Q91"/>
    <mergeCell ref="A92:D92"/>
    <mergeCell ref="G92:J92"/>
    <mergeCell ref="L92:Q92"/>
    <mergeCell ref="L88:Q88"/>
    <mergeCell ref="A89:D89"/>
    <mergeCell ref="F89:J89"/>
    <mergeCell ref="L89:Q89"/>
    <mergeCell ref="A90:D90"/>
    <mergeCell ref="F90:J90"/>
    <mergeCell ref="L90:Q90"/>
    <mergeCell ref="A86:D86"/>
    <mergeCell ref="F86:J86"/>
    <mergeCell ref="A87:D87"/>
    <mergeCell ref="F87:J87"/>
    <mergeCell ref="A88:D88"/>
    <mergeCell ref="F88:J88"/>
    <mergeCell ref="A83:D83"/>
    <mergeCell ref="F83:J83"/>
    <mergeCell ref="L83:Q83"/>
    <mergeCell ref="A84:D84"/>
    <mergeCell ref="F84:J84"/>
    <mergeCell ref="A85:D85"/>
    <mergeCell ref="F85:J85"/>
    <mergeCell ref="A80:J80"/>
    <mergeCell ref="A81:D81"/>
    <mergeCell ref="E81:J81"/>
    <mergeCell ref="L81:Q81"/>
    <mergeCell ref="A82:D82"/>
    <mergeCell ref="F82:J82"/>
    <mergeCell ref="L82:Q82"/>
    <mergeCell ref="E53:F53"/>
    <mergeCell ref="E58:F58"/>
    <mergeCell ref="E62:F62"/>
    <mergeCell ref="E69:F69"/>
    <mergeCell ref="A77:J77"/>
    <mergeCell ref="A79:J79"/>
    <mergeCell ref="E12:F12"/>
    <mergeCell ref="E37:F37"/>
    <mergeCell ref="E41:F41"/>
    <mergeCell ref="E45:F45"/>
    <mergeCell ref="B6:C6"/>
    <mergeCell ref="G6:I6"/>
    <mergeCell ref="E8:I8"/>
    <mergeCell ref="A10:J10"/>
    <mergeCell ref="N10:R10"/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</mergeCells>
  <hyperlinks>
    <hyperlink ref="G6" r:id="rId1" xr:uid="{47A98168-6FFC-41B7-826A-8B2A380BC80E}"/>
    <hyperlink ref="G4" r:id="rId2" display="jchang.lax@oecgroup.com" xr:uid="{C77DF25F-F863-4AD7-AEAD-27208702B2C0}"/>
  </hyperlinks>
  <pageMargins left="0.35" right="0.35" top="0.35" bottom="0.35" header="0.3" footer="0.3"/>
  <pageSetup scale="47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A77CED-CBF2-4EE2-82F0-5C5EAE47E9F0}">
          <x14:formula1>
            <xm:f>'C:\Users\twang\AppData\Local\Microsoft\Windows\Temporary Internet Files\Content.Outlook\U7WJNCNV\[QUOTE TEMPLATE 05-01-21.xltx]Sheet1'!#REF!</xm:f>
          </x14:formula1>
          <xm:sqref>E88:E89 E63:E68 E70:E76 E42:E44 E38:E40 E91:E94 E54:E57 E46:E52 E82:E85</xm:sqref>
        </x14:dataValidation>
        <x14:dataValidation type="list" allowBlank="1" showInputMessage="1" showErrorMessage="1" xr:uid="{F261E3A8-50F6-40C6-A951-B86958FF1ABB}">
          <x14:formula1>
            <xm:f>'C:\Users\twang\AppData\Local\Microsoft\Windows\Temporary Internet Files\Content.Outlook\U7WJNCNV\[QUOTE TEMPLATE 05-01-21.xltx]Sheet1'!#REF!</xm:f>
          </x14:formula1>
          <xm:sqref>C70:C76 C42:C44 C38:C40 C54:C57 C46:C52 C63:C68 Q13:Q15 C13:C36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ED78-4F47-44FB-A31D-0AEA1013D4AF}">
  <sheetPr filterMode="1">
    <pageSetUpPr fitToPage="1"/>
  </sheetPr>
  <dimension ref="A1:AC177"/>
  <sheetViews>
    <sheetView topLeftCell="A19" zoomScale="85" zoomScaleNormal="85" zoomScaleSheetLayoutView="82" workbookViewId="0">
      <pane xSplit="4" topLeftCell="E1" activePane="topRight" state="frozen"/>
      <selection activeCell="A19" sqref="A19"/>
      <selection pane="topRight" activeCell="D25" sqref="D25"/>
    </sheetView>
  </sheetViews>
  <sheetFormatPr defaultColWidth="8.85546875" defaultRowHeight="15" x14ac:dyDescent="0.25"/>
  <cols>
    <col min="1" max="1" width="27.5703125" style="50" customWidth="1"/>
    <col min="2" max="2" width="55.28515625" style="50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44743</v>
      </c>
      <c r="C8" s="45" t="s">
        <v>91</v>
      </c>
      <c r="D8" s="44">
        <v>44756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25.5" x14ac:dyDescent="0.25">
      <c r="A13" s="133" t="s">
        <v>81</v>
      </c>
      <c r="B13" s="51" t="s">
        <v>338</v>
      </c>
      <c r="C13" s="94" t="s">
        <v>54</v>
      </c>
      <c r="D13" s="95" t="s">
        <v>383</v>
      </c>
      <c r="E13" s="96" t="s">
        <v>114</v>
      </c>
      <c r="F13" s="97" t="s">
        <v>387</v>
      </c>
      <c r="G13" s="98">
        <f>CEILING(S13+W13+X13+O13+N13+Y13,10)</f>
        <v>7970</v>
      </c>
      <c r="H13" s="99">
        <f>CEILING(T13+W13+X13+O13+N13+Z13,10)</f>
        <v>8710</v>
      </c>
      <c r="I13" s="99">
        <f>CEILING(U13+W13+X13+O13+N13+AA13,10)</f>
        <v>8710</v>
      </c>
      <c r="J13" s="99">
        <f>CEILING(V13+W13+X13+O13+N13+AB13,10)</f>
        <v>10680</v>
      </c>
      <c r="K13" s="57"/>
      <c r="L13" s="156" t="s">
        <v>384</v>
      </c>
      <c r="M13" s="52" t="s">
        <v>292</v>
      </c>
      <c r="N13" s="40">
        <v>0</v>
      </c>
      <c r="O13" s="53">
        <f>VLOOKUP(B13,DRAYAGE!$A$1:$C$107,3,FALSE)</f>
        <v>1310</v>
      </c>
      <c r="P13" s="40" t="s">
        <v>347</v>
      </c>
      <c r="S13" s="101">
        <f t="shared" ref="S13:S34" si="0">0.9*T13</f>
        <v>6660</v>
      </c>
      <c r="T13" s="54">
        <v>7400</v>
      </c>
      <c r="U13" s="103">
        <f>T13</f>
        <v>7400</v>
      </c>
      <c r="V13" s="104">
        <f>U13*1.266</f>
        <v>9368.4</v>
      </c>
      <c r="X13" s="40">
        <v>0</v>
      </c>
    </row>
    <row r="14" spans="1:29" s="40" customFormat="1" ht="25.5" x14ac:dyDescent="0.25">
      <c r="A14" s="133" t="s">
        <v>55</v>
      </c>
      <c r="B14" s="51" t="s">
        <v>338</v>
      </c>
      <c r="C14" s="94" t="s">
        <v>54</v>
      </c>
      <c r="D14" s="95" t="s">
        <v>383</v>
      </c>
      <c r="E14" s="96" t="s">
        <v>114</v>
      </c>
      <c r="F14" s="97" t="s">
        <v>387</v>
      </c>
      <c r="G14" s="98">
        <f t="shared" ref="G14:G33" si="1">CEILING(S14+W14+X14+O14+N14+Y14,10)</f>
        <v>7880</v>
      </c>
      <c r="H14" s="99">
        <f t="shared" ref="H14:H33" si="2">CEILING(T14+W14+X14+O14+N14+Z14,10)</f>
        <v>8610</v>
      </c>
      <c r="I14" s="99">
        <f t="shared" ref="I14:I33" si="3">CEILING(U14+W14+X14+O14+N14+AA14,10)</f>
        <v>8610</v>
      </c>
      <c r="J14" s="99">
        <f t="shared" ref="J14:J33" si="4">CEILING(V14+W14+X14+O14+N14+AB14,10)</f>
        <v>10560</v>
      </c>
      <c r="K14" s="57"/>
      <c r="L14" s="156" t="s">
        <v>384</v>
      </c>
      <c r="M14" s="52" t="s">
        <v>292</v>
      </c>
      <c r="N14" s="40">
        <v>0</v>
      </c>
      <c r="O14" s="53">
        <f>VLOOKUP(B14,DRAYAGE!$A$1:$C$107,3,FALSE)</f>
        <v>1310</v>
      </c>
      <c r="P14" s="40" t="s">
        <v>347</v>
      </c>
      <c r="S14" s="101">
        <f t="shared" si="0"/>
        <v>6570</v>
      </c>
      <c r="T14" s="54">
        <v>7300</v>
      </c>
      <c r="U14" s="103">
        <f t="shared" ref="U14:U66" si="5">T14</f>
        <v>7300</v>
      </c>
      <c r="V14" s="104">
        <f t="shared" ref="V14:V22" si="6">U14*1.266</f>
        <v>9241.7999999999993</v>
      </c>
      <c r="X14" s="40">
        <v>0</v>
      </c>
    </row>
    <row r="15" spans="1:29" s="40" customFormat="1" ht="25.5" x14ac:dyDescent="0.25">
      <c r="A15" s="133" t="s">
        <v>55</v>
      </c>
      <c r="B15" s="51" t="s">
        <v>338</v>
      </c>
      <c r="C15" s="94" t="s">
        <v>54</v>
      </c>
      <c r="D15" s="153" t="s">
        <v>403</v>
      </c>
      <c r="E15" s="96" t="s">
        <v>114</v>
      </c>
      <c r="F15" s="97" t="s">
        <v>387</v>
      </c>
      <c r="G15" s="163">
        <f t="shared" si="1"/>
        <v>7550</v>
      </c>
      <c r="H15" s="164">
        <f t="shared" si="2"/>
        <v>8230</v>
      </c>
      <c r="I15" s="164">
        <f t="shared" si="3"/>
        <v>8230</v>
      </c>
      <c r="J15" s="164">
        <f t="shared" si="4"/>
        <v>10040</v>
      </c>
      <c r="K15" s="57"/>
      <c r="L15" s="161" t="s">
        <v>403</v>
      </c>
      <c r="M15" s="52" t="s">
        <v>292</v>
      </c>
      <c r="N15" s="40">
        <v>0</v>
      </c>
      <c r="O15" s="53">
        <v>1430</v>
      </c>
      <c r="P15" s="40" t="s">
        <v>347</v>
      </c>
      <c r="R15" s="101">
        <v>6570</v>
      </c>
      <c r="S15" s="101">
        <f>0.9*T15</f>
        <v>6120</v>
      </c>
      <c r="T15" s="162">
        <f>6500+300</f>
        <v>6800</v>
      </c>
      <c r="U15" s="103">
        <f>T15</f>
        <v>6800</v>
      </c>
      <c r="V15" s="104">
        <f>U15*1.266</f>
        <v>8608.7999999999993</v>
      </c>
      <c r="X15" s="40">
        <v>0</v>
      </c>
    </row>
    <row r="16" spans="1:29" s="40" customFormat="1" ht="25.5" x14ac:dyDescent="0.25">
      <c r="A16" s="133" t="s">
        <v>56</v>
      </c>
      <c r="B16" s="51" t="s">
        <v>338</v>
      </c>
      <c r="C16" s="94" t="s">
        <v>54</v>
      </c>
      <c r="D16" s="95" t="s">
        <v>383</v>
      </c>
      <c r="E16" s="96" t="s">
        <v>114</v>
      </c>
      <c r="F16" s="97" t="s">
        <v>387</v>
      </c>
      <c r="G16" s="98">
        <f t="shared" si="1"/>
        <v>8060</v>
      </c>
      <c r="H16" s="99">
        <f t="shared" si="2"/>
        <v>8810</v>
      </c>
      <c r="I16" s="99">
        <f t="shared" si="3"/>
        <v>8810</v>
      </c>
      <c r="J16" s="99">
        <f t="shared" si="4"/>
        <v>10810</v>
      </c>
      <c r="K16" s="57"/>
      <c r="L16" s="156" t="s">
        <v>384</v>
      </c>
      <c r="M16" s="52" t="s">
        <v>292</v>
      </c>
      <c r="N16" s="40">
        <v>0</v>
      </c>
      <c r="O16" s="53">
        <f>VLOOKUP(B16,DRAYAGE!$A$1:$C$107,3,FALSE)</f>
        <v>1310</v>
      </c>
      <c r="P16" s="40" t="s">
        <v>347</v>
      </c>
      <c r="S16" s="101">
        <f t="shared" si="0"/>
        <v>6750</v>
      </c>
      <c r="T16" s="54">
        <v>7500</v>
      </c>
      <c r="U16" s="103">
        <f t="shared" si="5"/>
        <v>7500</v>
      </c>
      <c r="V16" s="104">
        <f t="shared" si="6"/>
        <v>9495</v>
      </c>
      <c r="X16" s="40">
        <v>0</v>
      </c>
    </row>
    <row r="17" spans="1:28" s="40" customFormat="1" ht="25.5" x14ac:dyDescent="0.25">
      <c r="A17" s="133" t="s">
        <v>57</v>
      </c>
      <c r="B17" s="51" t="s">
        <v>338</v>
      </c>
      <c r="C17" s="94" t="s">
        <v>54</v>
      </c>
      <c r="D17" s="95" t="s">
        <v>383</v>
      </c>
      <c r="E17" s="96" t="s">
        <v>114</v>
      </c>
      <c r="F17" s="97" t="s">
        <v>387</v>
      </c>
      <c r="G17" s="98">
        <f t="shared" si="1"/>
        <v>8060</v>
      </c>
      <c r="H17" s="99">
        <f t="shared" si="2"/>
        <v>8810</v>
      </c>
      <c r="I17" s="99">
        <f t="shared" si="3"/>
        <v>8810</v>
      </c>
      <c r="J17" s="99">
        <f t="shared" si="4"/>
        <v>10810</v>
      </c>
      <c r="K17" s="57"/>
      <c r="L17" s="156" t="s">
        <v>384</v>
      </c>
      <c r="M17" s="52" t="s">
        <v>292</v>
      </c>
      <c r="N17" s="40">
        <v>0</v>
      </c>
      <c r="O17" s="53">
        <f>VLOOKUP(B17,DRAYAGE!$A$1:$C$107,3,FALSE)</f>
        <v>1310</v>
      </c>
      <c r="P17" s="40" t="s">
        <v>347</v>
      </c>
      <c r="S17" s="101">
        <f t="shared" si="0"/>
        <v>6750</v>
      </c>
      <c r="T17" s="54">
        <v>7500</v>
      </c>
      <c r="U17" s="103">
        <f t="shared" si="5"/>
        <v>7500</v>
      </c>
      <c r="V17" s="104">
        <f t="shared" si="6"/>
        <v>9495</v>
      </c>
      <c r="X17" s="40">
        <v>0</v>
      </c>
    </row>
    <row r="18" spans="1:28" s="40" customFormat="1" ht="25.5" x14ac:dyDescent="0.25">
      <c r="A18" s="133" t="s">
        <v>57</v>
      </c>
      <c r="B18" s="51" t="s">
        <v>338</v>
      </c>
      <c r="C18" s="94" t="s">
        <v>54</v>
      </c>
      <c r="D18" s="153" t="s">
        <v>403</v>
      </c>
      <c r="E18" s="96" t="s">
        <v>114</v>
      </c>
      <c r="F18" s="97" t="s">
        <v>387</v>
      </c>
      <c r="G18" s="163">
        <f t="shared" si="1"/>
        <v>8090</v>
      </c>
      <c r="H18" s="164">
        <f t="shared" si="2"/>
        <v>8830</v>
      </c>
      <c r="I18" s="164">
        <f t="shared" si="3"/>
        <v>8830</v>
      </c>
      <c r="J18" s="164">
        <f t="shared" si="4"/>
        <v>10800</v>
      </c>
      <c r="K18" s="57"/>
      <c r="L18" s="161" t="s">
        <v>403</v>
      </c>
      <c r="M18" s="52" t="s">
        <v>292</v>
      </c>
      <c r="N18" s="40">
        <v>0</v>
      </c>
      <c r="O18" s="53">
        <v>1430</v>
      </c>
      <c r="P18" s="40" t="s">
        <v>347</v>
      </c>
      <c r="R18" s="101">
        <v>6750</v>
      </c>
      <c r="S18" s="101">
        <f>0.9*T18</f>
        <v>6660</v>
      </c>
      <c r="T18" s="162">
        <f>7200+200</f>
        <v>7400</v>
      </c>
      <c r="U18" s="103">
        <f>T18</f>
        <v>7400</v>
      </c>
      <c r="V18" s="104">
        <f>U18*1.266</f>
        <v>9368.4</v>
      </c>
      <c r="X18" s="40">
        <v>0</v>
      </c>
    </row>
    <row r="19" spans="1:28" s="40" customFormat="1" ht="25.5" x14ac:dyDescent="0.25">
      <c r="A19" s="133" t="s">
        <v>64</v>
      </c>
      <c r="B19" s="51" t="s">
        <v>338</v>
      </c>
      <c r="C19" s="94" t="s">
        <v>54</v>
      </c>
      <c r="D19" s="95" t="s">
        <v>383</v>
      </c>
      <c r="E19" s="96" t="s">
        <v>114</v>
      </c>
      <c r="F19" s="97" t="s">
        <v>387</v>
      </c>
      <c r="G19" s="98">
        <f t="shared" si="1"/>
        <v>8200</v>
      </c>
      <c r="H19" s="99">
        <f t="shared" si="2"/>
        <v>8960</v>
      </c>
      <c r="I19" s="99">
        <f t="shared" si="3"/>
        <v>8960</v>
      </c>
      <c r="J19" s="99">
        <f t="shared" si="4"/>
        <v>11000</v>
      </c>
      <c r="K19" s="57"/>
      <c r="L19" s="156" t="s">
        <v>384</v>
      </c>
      <c r="M19" s="52" t="s">
        <v>292</v>
      </c>
      <c r="N19" s="40">
        <v>0</v>
      </c>
      <c r="O19" s="53">
        <f>VLOOKUP(B19,DRAYAGE!$A$1:$C$107,3,FALSE)</f>
        <v>1310</v>
      </c>
      <c r="P19" s="40" t="s">
        <v>347</v>
      </c>
      <c r="S19" s="101">
        <f>0.9*T19</f>
        <v>6885</v>
      </c>
      <c r="T19" s="54">
        <f>T17+150</f>
        <v>7650</v>
      </c>
      <c r="U19" s="103">
        <f>T19</f>
        <v>7650</v>
      </c>
      <c r="V19" s="104">
        <f>U19*1.266</f>
        <v>9684.9</v>
      </c>
      <c r="X19" s="40">
        <v>0</v>
      </c>
    </row>
    <row r="20" spans="1:28" s="40" customFormat="1" ht="25.5" x14ac:dyDescent="0.25">
      <c r="A20" s="133" t="s">
        <v>366</v>
      </c>
      <c r="B20" s="51" t="s">
        <v>338</v>
      </c>
      <c r="C20" s="94" t="s">
        <v>54</v>
      </c>
      <c r="D20" s="95" t="s">
        <v>383</v>
      </c>
      <c r="E20" s="96" t="s">
        <v>114</v>
      </c>
      <c r="F20" s="97" t="s">
        <v>387</v>
      </c>
      <c r="G20" s="98">
        <f t="shared" si="1"/>
        <v>8560</v>
      </c>
      <c r="H20" s="99">
        <f t="shared" si="2"/>
        <v>9360</v>
      </c>
      <c r="I20" s="99">
        <f t="shared" si="3"/>
        <v>9360</v>
      </c>
      <c r="J20" s="99">
        <f t="shared" si="4"/>
        <v>11510</v>
      </c>
      <c r="K20" s="57"/>
      <c r="L20" s="156" t="s">
        <v>384</v>
      </c>
      <c r="M20" s="52" t="s">
        <v>292</v>
      </c>
      <c r="N20" s="40">
        <v>0</v>
      </c>
      <c r="O20" s="53">
        <f>VLOOKUP(B20,DRAYAGE!$A$1:$C$107,3,FALSE)</f>
        <v>1310</v>
      </c>
      <c r="P20" s="40" t="s">
        <v>347</v>
      </c>
      <c r="S20" s="101">
        <f>0.9*T20</f>
        <v>7245</v>
      </c>
      <c r="T20" s="54">
        <f>T17+550</f>
        <v>8050</v>
      </c>
      <c r="U20" s="103">
        <f>T20</f>
        <v>8050</v>
      </c>
      <c r="V20" s="104">
        <f>U20*1.266</f>
        <v>10191.299999999999</v>
      </c>
      <c r="X20" s="40">
        <v>0</v>
      </c>
    </row>
    <row r="21" spans="1:28" s="40" customFormat="1" ht="25.5" x14ac:dyDescent="0.25">
      <c r="A21" s="133" t="s">
        <v>366</v>
      </c>
      <c r="B21" s="51" t="s">
        <v>338</v>
      </c>
      <c r="C21" s="94" t="s">
        <v>54</v>
      </c>
      <c r="D21" s="153" t="s">
        <v>403</v>
      </c>
      <c r="E21" s="96" t="s">
        <v>114</v>
      </c>
      <c r="F21" s="97" t="s">
        <v>387</v>
      </c>
      <c r="G21" s="163">
        <f t="shared" si="1"/>
        <v>8140</v>
      </c>
      <c r="H21" s="164">
        <f t="shared" si="2"/>
        <v>8880</v>
      </c>
      <c r="I21" s="164">
        <f t="shared" si="3"/>
        <v>8880</v>
      </c>
      <c r="J21" s="164">
        <f t="shared" si="4"/>
        <v>10870</v>
      </c>
      <c r="K21" s="57"/>
      <c r="L21" s="161" t="s">
        <v>403</v>
      </c>
      <c r="M21" s="52" t="s">
        <v>292</v>
      </c>
      <c r="N21" s="40">
        <v>0</v>
      </c>
      <c r="O21" s="53">
        <v>1430</v>
      </c>
      <c r="P21" s="40" t="s">
        <v>347</v>
      </c>
      <c r="R21" s="101">
        <v>7245</v>
      </c>
      <c r="S21" s="101">
        <f>0.9*T21</f>
        <v>6705</v>
      </c>
      <c r="T21" s="162">
        <f>7200+250</f>
        <v>7450</v>
      </c>
      <c r="U21" s="103">
        <f>T21</f>
        <v>7450</v>
      </c>
      <c r="V21" s="104">
        <f>U21*1.266</f>
        <v>9431.7000000000007</v>
      </c>
      <c r="X21" s="40">
        <v>0</v>
      </c>
    </row>
    <row r="22" spans="1:28" s="40" customFormat="1" ht="25.5" x14ac:dyDescent="0.25">
      <c r="A22" s="133" t="s">
        <v>59</v>
      </c>
      <c r="B22" s="51" t="s">
        <v>338</v>
      </c>
      <c r="C22" s="94" t="s">
        <v>54</v>
      </c>
      <c r="D22" s="95" t="s">
        <v>383</v>
      </c>
      <c r="E22" s="96" t="s">
        <v>114</v>
      </c>
      <c r="F22" s="97" t="s">
        <v>387</v>
      </c>
      <c r="G22" s="98">
        <f t="shared" si="1"/>
        <v>7880</v>
      </c>
      <c r="H22" s="99">
        <f t="shared" si="2"/>
        <v>8610</v>
      </c>
      <c r="I22" s="99">
        <f t="shared" si="3"/>
        <v>8610</v>
      </c>
      <c r="J22" s="99">
        <f t="shared" si="4"/>
        <v>10560</v>
      </c>
      <c r="K22" s="57"/>
      <c r="L22" s="156" t="s">
        <v>384</v>
      </c>
      <c r="M22" s="52" t="s">
        <v>292</v>
      </c>
      <c r="N22" s="40">
        <v>0</v>
      </c>
      <c r="O22" s="53">
        <f>VLOOKUP(B22,DRAYAGE!$A$1:$C$107,3,FALSE)</f>
        <v>1310</v>
      </c>
      <c r="P22" s="40" t="s">
        <v>347</v>
      </c>
      <c r="S22" s="101">
        <f t="shared" si="0"/>
        <v>6570</v>
      </c>
      <c r="T22" s="54">
        <v>7300</v>
      </c>
      <c r="U22" s="103">
        <f t="shared" si="5"/>
        <v>7300</v>
      </c>
      <c r="V22" s="104">
        <f t="shared" si="6"/>
        <v>9241.7999999999993</v>
      </c>
      <c r="X22" s="40">
        <v>0</v>
      </c>
    </row>
    <row r="23" spans="1:28" s="40" customFormat="1" ht="25.5" x14ac:dyDescent="0.25">
      <c r="A23" s="133" t="s">
        <v>59</v>
      </c>
      <c r="B23" s="51" t="s">
        <v>338</v>
      </c>
      <c r="C23" s="94" t="s">
        <v>54</v>
      </c>
      <c r="D23" s="153" t="s">
        <v>403</v>
      </c>
      <c r="E23" s="96" t="s">
        <v>114</v>
      </c>
      <c r="F23" s="97" t="s">
        <v>387</v>
      </c>
      <c r="G23" s="163">
        <f>CEILING(S23+W23+X23+O23+N23+Y23,10)</f>
        <v>7910</v>
      </c>
      <c r="H23" s="164">
        <f>CEILING(T23+W23+X23+O23+N23+Z23,10)</f>
        <v>8630</v>
      </c>
      <c r="I23" s="164">
        <f>CEILING(U23+W23+X23+O23+N23+AA23,10)</f>
        <v>8630</v>
      </c>
      <c r="J23" s="164">
        <f>CEILING(V23+W23+X23+O23+N23+AB23,10)</f>
        <v>10550</v>
      </c>
      <c r="K23" s="57"/>
      <c r="L23" s="161" t="s">
        <v>403</v>
      </c>
      <c r="M23" s="52" t="s">
        <v>292</v>
      </c>
      <c r="N23" s="40">
        <v>0</v>
      </c>
      <c r="O23" s="53">
        <v>1430</v>
      </c>
      <c r="P23" s="40" t="s">
        <v>347</v>
      </c>
      <c r="R23" s="101">
        <v>6570</v>
      </c>
      <c r="S23" s="101">
        <f>0.9*T23</f>
        <v>6480</v>
      </c>
      <c r="T23" s="162">
        <f>7000+200</f>
        <v>7200</v>
      </c>
      <c r="U23" s="103">
        <f>T23</f>
        <v>7200</v>
      </c>
      <c r="V23" s="104">
        <f>U23*1.266</f>
        <v>9115.2000000000007</v>
      </c>
      <c r="X23" s="40">
        <v>0</v>
      </c>
    </row>
    <row r="24" spans="1:28" s="40" customFormat="1" ht="25.5" x14ac:dyDescent="0.25">
      <c r="A24" s="133" t="s">
        <v>60</v>
      </c>
      <c r="B24" s="51" t="s">
        <v>338</v>
      </c>
      <c r="C24" s="94" t="s">
        <v>54</v>
      </c>
      <c r="D24" s="95" t="s">
        <v>383</v>
      </c>
      <c r="E24" s="96" t="s">
        <v>114</v>
      </c>
      <c r="F24" s="97" t="s">
        <v>387</v>
      </c>
      <c r="G24" s="98">
        <f t="shared" si="1"/>
        <v>7970</v>
      </c>
      <c r="H24" s="99">
        <f t="shared" si="2"/>
        <v>8710</v>
      </c>
      <c r="I24" s="99">
        <f t="shared" si="3"/>
        <v>8710</v>
      </c>
      <c r="J24" s="99">
        <f t="shared" si="4"/>
        <v>10680</v>
      </c>
      <c r="K24" s="57"/>
      <c r="L24" s="156" t="s">
        <v>384</v>
      </c>
      <c r="M24" s="52" t="s">
        <v>292</v>
      </c>
      <c r="N24" s="40">
        <v>0</v>
      </c>
      <c r="O24" s="53">
        <f>VLOOKUP(B24,DRAYAGE!$A$1:$C$107,3,FALSE)</f>
        <v>1310</v>
      </c>
      <c r="P24" s="40" t="s">
        <v>347</v>
      </c>
      <c r="S24" s="101">
        <f t="shared" si="0"/>
        <v>6660</v>
      </c>
      <c r="T24" s="54">
        <v>7400</v>
      </c>
      <c r="U24" s="103">
        <f t="shared" si="5"/>
        <v>7400</v>
      </c>
      <c r="V24" s="104">
        <f>U24*1.266</f>
        <v>9368.4</v>
      </c>
      <c r="X24" s="40">
        <v>0</v>
      </c>
    </row>
    <row r="25" spans="1:28" s="40" customFormat="1" ht="25.5" x14ac:dyDescent="0.25">
      <c r="A25" s="133" t="s">
        <v>376</v>
      </c>
      <c r="B25" s="51" t="s">
        <v>338</v>
      </c>
      <c r="C25" s="94" t="s">
        <v>54</v>
      </c>
      <c r="D25" s="95" t="s">
        <v>383</v>
      </c>
      <c r="E25" s="96" t="s">
        <v>114</v>
      </c>
      <c r="F25" s="97" t="s">
        <v>387</v>
      </c>
      <c r="G25" s="98">
        <f t="shared" si="1"/>
        <v>7880</v>
      </c>
      <c r="H25" s="99">
        <f t="shared" si="2"/>
        <v>8610</v>
      </c>
      <c r="I25" s="99">
        <f t="shared" si="3"/>
        <v>8610</v>
      </c>
      <c r="J25" s="99">
        <f t="shared" si="4"/>
        <v>10560</v>
      </c>
      <c r="K25" s="57"/>
      <c r="L25" s="156" t="s">
        <v>384</v>
      </c>
      <c r="M25" s="52" t="s">
        <v>292</v>
      </c>
      <c r="N25" s="40">
        <v>0</v>
      </c>
      <c r="O25" s="53">
        <f>VLOOKUP(B25,DRAYAGE!$A$1:$C$107,3,FALSE)</f>
        <v>1310</v>
      </c>
      <c r="P25" s="40" t="s">
        <v>347</v>
      </c>
      <c r="S25" s="101">
        <f t="shared" si="0"/>
        <v>6570</v>
      </c>
      <c r="T25" s="54">
        <v>7300</v>
      </c>
      <c r="U25" s="103">
        <f t="shared" si="5"/>
        <v>7300</v>
      </c>
      <c r="V25" s="104">
        <f t="shared" ref="V25:V34" si="7">U25*1.266</f>
        <v>9241.7999999999993</v>
      </c>
      <c r="X25" s="40">
        <v>0</v>
      </c>
    </row>
    <row r="26" spans="1:28" s="40" customFormat="1" ht="25.5" x14ac:dyDescent="0.25">
      <c r="A26" s="133" t="s">
        <v>376</v>
      </c>
      <c r="B26" s="51" t="s">
        <v>338</v>
      </c>
      <c r="C26" s="94" t="s">
        <v>54</v>
      </c>
      <c r="D26" s="153" t="s">
        <v>403</v>
      </c>
      <c r="E26" s="96" t="s">
        <v>114</v>
      </c>
      <c r="F26" s="97" t="s">
        <v>387</v>
      </c>
      <c r="G26" s="163">
        <f t="shared" si="1"/>
        <v>7910</v>
      </c>
      <c r="H26" s="164">
        <f t="shared" si="2"/>
        <v>8630</v>
      </c>
      <c r="I26" s="164">
        <f t="shared" si="3"/>
        <v>8630</v>
      </c>
      <c r="J26" s="164">
        <f t="shared" si="4"/>
        <v>10550</v>
      </c>
      <c r="K26" s="57"/>
      <c r="L26" s="161" t="s">
        <v>403</v>
      </c>
      <c r="M26" s="52" t="s">
        <v>292</v>
      </c>
      <c r="N26" s="40">
        <v>0</v>
      </c>
      <c r="O26" s="53">
        <v>1430</v>
      </c>
      <c r="P26" s="40" t="s">
        <v>347</v>
      </c>
      <c r="R26" s="101">
        <v>6570</v>
      </c>
      <c r="S26" s="101">
        <f>0.9*T26</f>
        <v>6480</v>
      </c>
      <c r="T26" s="162">
        <f>7000+200</f>
        <v>7200</v>
      </c>
      <c r="U26" s="103">
        <f>T26</f>
        <v>7200</v>
      </c>
      <c r="V26" s="104">
        <f>U26*1.266</f>
        <v>9115.2000000000007</v>
      </c>
      <c r="X26" s="40">
        <v>0</v>
      </c>
    </row>
    <row r="27" spans="1:28" s="40" customFormat="1" ht="25.5" x14ac:dyDescent="0.25">
      <c r="A27" s="133" t="s">
        <v>108</v>
      </c>
      <c r="B27" s="51" t="s">
        <v>338</v>
      </c>
      <c r="C27" s="94" t="s">
        <v>54</v>
      </c>
      <c r="D27" s="95" t="s">
        <v>383</v>
      </c>
      <c r="E27" s="96" t="s">
        <v>114</v>
      </c>
      <c r="F27" s="97" t="s">
        <v>387</v>
      </c>
      <c r="G27" s="98">
        <f t="shared" si="1"/>
        <v>7970</v>
      </c>
      <c r="H27" s="99">
        <f t="shared" si="2"/>
        <v>8710</v>
      </c>
      <c r="I27" s="99">
        <f t="shared" si="3"/>
        <v>8710</v>
      </c>
      <c r="J27" s="99">
        <f t="shared" si="4"/>
        <v>10680</v>
      </c>
      <c r="K27" s="57"/>
      <c r="L27" s="156" t="s">
        <v>384</v>
      </c>
      <c r="M27" s="52" t="s">
        <v>292</v>
      </c>
      <c r="N27" s="40">
        <v>0</v>
      </c>
      <c r="O27" s="53">
        <f>VLOOKUP(B27,DRAYAGE!$A$1:$C$107,3,FALSE)</f>
        <v>1310</v>
      </c>
      <c r="P27" s="40" t="s">
        <v>347</v>
      </c>
      <c r="S27" s="101">
        <f t="shared" si="0"/>
        <v>6660</v>
      </c>
      <c r="T27" s="54">
        <v>7400</v>
      </c>
      <c r="U27" s="103">
        <f t="shared" si="5"/>
        <v>7400</v>
      </c>
      <c r="V27" s="104">
        <f t="shared" si="7"/>
        <v>9368.4</v>
      </c>
      <c r="X27" s="40">
        <v>0</v>
      </c>
    </row>
    <row r="28" spans="1:28" s="40" customFormat="1" ht="25.5" x14ac:dyDescent="0.25">
      <c r="A28" s="133" t="s">
        <v>108</v>
      </c>
      <c r="B28" s="51" t="s">
        <v>338</v>
      </c>
      <c r="C28" s="94" t="s">
        <v>54</v>
      </c>
      <c r="D28" s="153" t="s">
        <v>403</v>
      </c>
      <c r="E28" s="96" t="s">
        <v>114</v>
      </c>
      <c r="F28" s="97" t="s">
        <v>387</v>
      </c>
      <c r="G28" s="163">
        <f t="shared" si="1"/>
        <v>7550</v>
      </c>
      <c r="H28" s="164">
        <f t="shared" si="2"/>
        <v>8230</v>
      </c>
      <c r="I28" s="164">
        <f t="shared" si="3"/>
        <v>8230</v>
      </c>
      <c r="J28" s="164">
        <f t="shared" si="4"/>
        <v>10040</v>
      </c>
      <c r="K28" s="57"/>
      <c r="L28" s="161" t="s">
        <v>403</v>
      </c>
      <c r="M28" s="52" t="s">
        <v>292</v>
      </c>
      <c r="N28" s="40">
        <v>0</v>
      </c>
      <c r="O28" s="53">
        <v>1430</v>
      </c>
      <c r="P28" s="40" t="s">
        <v>347</v>
      </c>
      <c r="R28" s="101">
        <v>6660</v>
      </c>
      <c r="S28" s="101">
        <f>0.9*T28</f>
        <v>6120</v>
      </c>
      <c r="T28" s="162">
        <f>6500+300</f>
        <v>6800</v>
      </c>
      <c r="U28" s="103">
        <f>T28</f>
        <v>6800</v>
      </c>
      <c r="V28" s="104">
        <f>U28*1.266</f>
        <v>8608.7999999999993</v>
      </c>
      <c r="X28" s="40">
        <v>0</v>
      </c>
    </row>
    <row r="29" spans="1:28" s="40" customFormat="1" ht="25.5" x14ac:dyDescent="0.25">
      <c r="A29" s="133" t="s">
        <v>62</v>
      </c>
      <c r="B29" s="51" t="s">
        <v>338</v>
      </c>
      <c r="C29" s="94" t="s">
        <v>54</v>
      </c>
      <c r="D29" s="95" t="s">
        <v>383</v>
      </c>
      <c r="E29" s="96" t="s">
        <v>114</v>
      </c>
      <c r="F29" s="97" t="s">
        <v>387</v>
      </c>
      <c r="G29" s="98">
        <f t="shared" si="1"/>
        <v>8110</v>
      </c>
      <c r="H29" s="99">
        <f t="shared" si="2"/>
        <v>8860</v>
      </c>
      <c r="I29" s="99">
        <f t="shared" si="3"/>
        <v>8860</v>
      </c>
      <c r="J29" s="99">
        <f t="shared" si="4"/>
        <v>10870</v>
      </c>
      <c r="K29" s="57"/>
      <c r="L29" s="156" t="s">
        <v>384</v>
      </c>
      <c r="M29" s="52" t="s">
        <v>292</v>
      </c>
      <c r="N29" s="40">
        <v>0</v>
      </c>
      <c r="O29" s="53">
        <f>VLOOKUP(B29,DRAYAGE!$A$1:$C$107,3,FALSE)</f>
        <v>1310</v>
      </c>
      <c r="P29" s="40" t="s">
        <v>347</v>
      </c>
      <c r="S29" s="101">
        <f t="shared" si="0"/>
        <v>6795</v>
      </c>
      <c r="T29" s="54">
        <v>7550</v>
      </c>
      <c r="U29" s="103">
        <f t="shared" si="5"/>
        <v>7550</v>
      </c>
      <c r="V29" s="104">
        <f t="shared" si="7"/>
        <v>9558.2999999999993</v>
      </c>
      <c r="X29" s="40">
        <v>0</v>
      </c>
      <c r="Y29" s="40">
        <f>0.9*Z29</f>
        <v>0</v>
      </c>
      <c r="AA29" s="40">
        <f>Z29</f>
        <v>0</v>
      </c>
      <c r="AB29" s="40">
        <f>Z29*1.266</f>
        <v>0</v>
      </c>
    </row>
    <row r="30" spans="1:28" s="40" customFormat="1" ht="25.5" x14ac:dyDescent="0.25">
      <c r="A30" s="133" t="s">
        <v>66</v>
      </c>
      <c r="B30" s="51" t="s">
        <v>338</v>
      </c>
      <c r="C30" s="94" t="s">
        <v>54</v>
      </c>
      <c r="D30" s="95" t="s">
        <v>383</v>
      </c>
      <c r="E30" s="96" t="s">
        <v>114</v>
      </c>
      <c r="F30" s="97" t="s">
        <v>387</v>
      </c>
      <c r="G30" s="98">
        <f t="shared" si="1"/>
        <v>8290</v>
      </c>
      <c r="H30" s="99">
        <f t="shared" si="2"/>
        <v>9060</v>
      </c>
      <c r="I30" s="99">
        <f t="shared" si="3"/>
        <v>9060</v>
      </c>
      <c r="J30" s="99">
        <f t="shared" si="4"/>
        <v>11130</v>
      </c>
      <c r="K30" s="57"/>
      <c r="L30" s="156" t="s">
        <v>384</v>
      </c>
      <c r="M30" s="52" t="s">
        <v>292</v>
      </c>
      <c r="N30" s="40">
        <v>0</v>
      </c>
      <c r="O30" s="53">
        <f>VLOOKUP(B30,DRAYAGE!$A$1:$C$107,3,FALSE)</f>
        <v>1310</v>
      </c>
      <c r="P30" s="40" t="s">
        <v>347</v>
      </c>
      <c r="S30" s="101">
        <f t="shared" si="0"/>
        <v>6975</v>
      </c>
      <c r="T30" s="54">
        <f>T24+350</f>
        <v>7750</v>
      </c>
      <c r="U30" s="103">
        <f t="shared" si="5"/>
        <v>7750</v>
      </c>
      <c r="V30" s="104">
        <f t="shared" si="7"/>
        <v>9811.5</v>
      </c>
      <c r="X30" s="40">
        <v>0</v>
      </c>
    </row>
    <row r="31" spans="1:28" s="40" customFormat="1" ht="25.5" x14ac:dyDescent="0.25">
      <c r="A31" s="133" t="s">
        <v>65</v>
      </c>
      <c r="B31" s="51" t="s">
        <v>338</v>
      </c>
      <c r="C31" s="94" t="s">
        <v>54</v>
      </c>
      <c r="D31" s="95" t="s">
        <v>383</v>
      </c>
      <c r="E31" s="96" t="s">
        <v>114</v>
      </c>
      <c r="F31" s="97" t="s">
        <v>387</v>
      </c>
      <c r="G31" s="98">
        <f t="shared" si="1"/>
        <v>8290</v>
      </c>
      <c r="H31" s="99">
        <f t="shared" si="2"/>
        <v>9060</v>
      </c>
      <c r="I31" s="99">
        <f t="shared" si="3"/>
        <v>9060</v>
      </c>
      <c r="J31" s="99">
        <f t="shared" si="4"/>
        <v>11130</v>
      </c>
      <c r="K31" s="57"/>
      <c r="L31" s="156" t="s">
        <v>384</v>
      </c>
      <c r="M31" s="52" t="s">
        <v>292</v>
      </c>
      <c r="N31" s="40">
        <v>0</v>
      </c>
      <c r="O31" s="53">
        <f>VLOOKUP(B31,DRAYAGE!$A$1:$C$107,3,FALSE)</f>
        <v>1310</v>
      </c>
      <c r="P31" s="40" t="s">
        <v>347</v>
      </c>
      <c r="S31" s="101">
        <f t="shared" si="0"/>
        <v>6975</v>
      </c>
      <c r="T31" s="54">
        <f>T24+350</f>
        <v>7750</v>
      </c>
      <c r="U31" s="103">
        <f t="shared" si="5"/>
        <v>7750</v>
      </c>
      <c r="V31" s="104">
        <f t="shared" si="7"/>
        <v>9811.5</v>
      </c>
      <c r="X31" s="40">
        <v>0</v>
      </c>
      <c r="Y31" s="40">
        <f>0.9*Z31</f>
        <v>0</v>
      </c>
      <c r="AA31" s="40">
        <f>Z31</f>
        <v>0</v>
      </c>
      <c r="AB31" s="40">
        <f>Z31*1.266</f>
        <v>0</v>
      </c>
    </row>
    <row r="32" spans="1:28" s="40" customFormat="1" ht="25.5" x14ac:dyDescent="0.25">
      <c r="A32" s="133" t="s">
        <v>63</v>
      </c>
      <c r="B32" s="51" t="s">
        <v>338</v>
      </c>
      <c r="C32" s="94" t="s">
        <v>54</v>
      </c>
      <c r="D32" s="95" t="s">
        <v>383</v>
      </c>
      <c r="E32" s="96" t="s">
        <v>114</v>
      </c>
      <c r="F32" s="97" t="s">
        <v>387</v>
      </c>
      <c r="G32" s="98">
        <f t="shared" si="1"/>
        <v>8290</v>
      </c>
      <c r="H32" s="99">
        <f t="shared" si="2"/>
        <v>9060</v>
      </c>
      <c r="I32" s="99">
        <f t="shared" si="3"/>
        <v>9060</v>
      </c>
      <c r="J32" s="99">
        <f t="shared" si="4"/>
        <v>11130</v>
      </c>
      <c r="K32" s="57"/>
      <c r="L32" s="156" t="s">
        <v>384</v>
      </c>
      <c r="M32" s="52" t="s">
        <v>292</v>
      </c>
      <c r="N32" s="40">
        <v>0</v>
      </c>
      <c r="O32" s="53">
        <f>VLOOKUP(B32,DRAYAGE!$A$1:$C$107,3,FALSE)</f>
        <v>1310</v>
      </c>
      <c r="P32" s="40" t="s">
        <v>347</v>
      </c>
      <c r="S32" s="101">
        <f t="shared" si="0"/>
        <v>6975</v>
      </c>
      <c r="T32" s="54">
        <f>T24+350</f>
        <v>7750</v>
      </c>
      <c r="U32" s="103">
        <f t="shared" si="5"/>
        <v>7750</v>
      </c>
      <c r="V32" s="104">
        <f t="shared" si="7"/>
        <v>9811.5</v>
      </c>
      <c r="X32" s="40">
        <v>0</v>
      </c>
      <c r="Y32" s="40">
        <f>0.9*Z32</f>
        <v>0</v>
      </c>
      <c r="AA32" s="40">
        <f>Z32</f>
        <v>0</v>
      </c>
      <c r="AB32" s="40">
        <f>Z32*1.266</f>
        <v>0</v>
      </c>
    </row>
    <row r="33" spans="1:29" s="45" customFormat="1" ht="25.5" x14ac:dyDescent="0.25">
      <c r="A33" s="133" t="s">
        <v>275</v>
      </c>
      <c r="B33" s="51" t="s">
        <v>338</v>
      </c>
      <c r="C33" s="106" t="s">
        <v>54</v>
      </c>
      <c r="D33" s="95" t="s">
        <v>383</v>
      </c>
      <c r="E33" s="107" t="s">
        <v>114</v>
      </c>
      <c r="F33" s="97" t="s">
        <v>387</v>
      </c>
      <c r="G33" s="98">
        <f t="shared" si="1"/>
        <v>8290</v>
      </c>
      <c r="H33" s="99">
        <f t="shared" si="2"/>
        <v>9060</v>
      </c>
      <c r="I33" s="99">
        <f t="shared" si="3"/>
        <v>9060</v>
      </c>
      <c r="J33" s="99">
        <f t="shared" si="4"/>
        <v>11130</v>
      </c>
      <c r="K33" s="111"/>
      <c r="L33" s="156" t="s">
        <v>384</v>
      </c>
      <c r="M33" s="52" t="s">
        <v>292</v>
      </c>
      <c r="N33" s="45">
        <v>0</v>
      </c>
      <c r="O33" s="53">
        <f>VLOOKUP(B33,DRAYAGE!$A$1:$C$107,3,FALSE)</f>
        <v>1310</v>
      </c>
      <c r="P33" s="40" t="s">
        <v>347</v>
      </c>
      <c r="R33" s="105"/>
      <c r="S33" s="113">
        <f t="shared" si="0"/>
        <v>6975</v>
      </c>
      <c r="T33" s="54">
        <f>T24+350</f>
        <v>7750</v>
      </c>
      <c r="U33" s="103">
        <f t="shared" si="5"/>
        <v>7750</v>
      </c>
      <c r="V33" s="114">
        <f t="shared" si="7"/>
        <v>9811.5</v>
      </c>
      <c r="X33" s="45">
        <v>0</v>
      </c>
      <c r="Y33" s="40">
        <f>0.9*Z33</f>
        <v>0</v>
      </c>
      <c r="AA33" s="40">
        <f>Z33</f>
        <v>0</v>
      </c>
      <c r="AB33" s="40">
        <f>Z33*1.266</f>
        <v>0</v>
      </c>
    </row>
    <row r="34" spans="1:29" s="45" customFormat="1" ht="25.5" x14ac:dyDescent="0.25">
      <c r="A34" s="133" t="s">
        <v>275</v>
      </c>
      <c r="B34" s="51" t="s">
        <v>338</v>
      </c>
      <c r="C34" s="106" t="s">
        <v>54</v>
      </c>
      <c r="D34" s="153" t="s">
        <v>403</v>
      </c>
      <c r="E34" s="107" t="s">
        <v>114</v>
      </c>
      <c r="F34" s="97" t="s">
        <v>387</v>
      </c>
      <c r="G34" s="163">
        <f>CEILING(S34+W34+X34+O34+N34+Y34,10)</f>
        <v>7550</v>
      </c>
      <c r="H34" s="164">
        <f>CEILING(T34+W34+X34+O34+N34+Z34,10)</f>
        <v>8230</v>
      </c>
      <c r="I34" s="164">
        <f>CEILING(U34+W34+X34+O34+N34+AA34,10)</f>
        <v>8230</v>
      </c>
      <c r="J34" s="164">
        <f>CEILING(V34+W34+X34+O34+N34+AB34,10)</f>
        <v>10040</v>
      </c>
      <c r="K34" s="111"/>
      <c r="L34" s="161" t="s">
        <v>403</v>
      </c>
      <c r="M34" s="52" t="s">
        <v>292</v>
      </c>
      <c r="N34" s="45">
        <v>0</v>
      </c>
      <c r="O34" s="53">
        <v>1430</v>
      </c>
      <c r="P34" s="40" t="s">
        <v>347</v>
      </c>
      <c r="R34" s="113">
        <v>6975</v>
      </c>
      <c r="S34" s="101">
        <f t="shared" si="0"/>
        <v>6120</v>
      </c>
      <c r="T34" s="162">
        <f>6500+300</f>
        <v>6800</v>
      </c>
      <c r="U34" s="103">
        <f t="shared" si="5"/>
        <v>6800</v>
      </c>
      <c r="V34" s="104">
        <f t="shared" si="7"/>
        <v>8608.7999999999993</v>
      </c>
      <c r="W34" s="40"/>
      <c r="X34" s="40">
        <v>0</v>
      </c>
      <c r="Y34" s="40"/>
      <c r="Z34" s="40"/>
      <c r="AA34" s="40"/>
      <c r="AB34" s="40"/>
      <c r="AC34" s="40"/>
    </row>
    <row r="35" spans="1:29" s="40" customFormat="1" ht="14.45" customHeight="1" x14ac:dyDescent="0.25">
      <c r="A35" s="134" t="s">
        <v>333</v>
      </c>
      <c r="B35" s="88"/>
      <c r="C35" s="88"/>
      <c r="D35" s="88"/>
      <c r="E35" s="210"/>
      <c r="F35" s="211"/>
      <c r="G35" s="88"/>
      <c r="H35" s="88"/>
      <c r="I35" s="88"/>
      <c r="J35" s="88"/>
      <c r="K35" s="57"/>
      <c r="L35" s="89" t="s">
        <v>48</v>
      </c>
      <c r="M35" s="89" t="s">
        <v>261</v>
      </c>
      <c r="N35" s="90" t="s">
        <v>51</v>
      </c>
      <c r="O35" s="91" t="s">
        <v>50</v>
      </c>
      <c r="P35" s="91" t="s">
        <v>262</v>
      </c>
      <c r="Q35" s="91" t="s">
        <v>263</v>
      </c>
      <c r="R35" s="91" t="s">
        <v>264</v>
      </c>
      <c r="S35" s="92" t="s">
        <v>52</v>
      </c>
      <c r="T35" s="92" t="s">
        <v>53</v>
      </c>
      <c r="U35" s="92" t="s">
        <v>265</v>
      </c>
      <c r="V35" s="92" t="s">
        <v>266</v>
      </c>
      <c r="W35" s="92" t="s">
        <v>267</v>
      </c>
      <c r="X35" s="92" t="s">
        <v>268</v>
      </c>
      <c r="Y35" s="92" t="s">
        <v>52</v>
      </c>
      <c r="Z35" s="92" t="s">
        <v>53</v>
      </c>
      <c r="AA35" s="92" t="s">
        <v>265</v>
      </c>
      <c r="AB35" s="92" t="s">
        <v>266</v>
      </c>
      <c r="AC35" s="93" t="s">
        <v>269</v>
      </c>
    </row>
    <row r="36" spans="1:29" s="40" customFormat="1" ht="14.45" customHeight="1" x14ac:dyDescent="0.25">
      <c r="A36" s="133" t="s">
        <v>58</v>
      </c>
      <c r="B36" s="51" t="s">
        <v>339</v>
      </c>
      <c r="C36" s="94" t="s">
        <v>54</v>
      </c>
      <c r="D36" s="95" t="s">
        <v>383</v>
      </c>
      <c r="E36" s="96" t="s">
        <v>114</v>
      </c>
      <c r="F36" s="97" t="s">
        <v>270</v>
      </c>
      <c r="G36" s="98">
        <f>CEILING(S36+W36+X36+O36+N36+Y36,10)</f>
        <v>11490</v>
      </c>
      <c r="H36" s="99">
        <f>CEILING(T36+W36+X36+O36+N36+Z36,10)</f>
        <v>12470</v>
      </c>
      <c r="I36" s="99">
        <f>CEILING(U36+W36+X36+O36+N36+AA36,10)</f>
        <v>12470</v>
      </c>
      <c r="J36" s="99">
        <f>CEILING(V36+W36+X36+O36+N36+AB36,10)</f>
        <v>15080</v>
      </c>
      <c r="K36" s="57"/>
      <c r="L36" s="156" t="s">
        <v>384</v>
      </c>
      <c r="M36" s="52" t="s">
        <v>293</v>
      </c>
      <c r="N36" s="40">
        <v>0</v>
      </c>
      <c r="O36" s="53">
        <f>VLOOKUP(B36,DRAYAGE!$A$1:$C$107,3,FALSE)</f>
        <v>2665</v>
      </c>
      <c r="P36" s="40" t="s">
        <v>299</v>
      </c>
      <c r="S36" s="101">
        <f>0.9*T36</f>
        <v>8820</v>
      </c>
      <c r="T36" s="54">
        <f>9500+300</f>
        <v>9800</v>
      </c>
      <c r="U36" s="103">
        <f t="shared" si="5"/>
        <v>9800</v>
      </c>
      <c r="V36" s="104">
        <f>U36*1.266</f>
        <v>12406.8</v>
      </c>
    </row>
    <row r="37" spans="1:29" s="40" customFormat="1" ht="14.45" customHeight="1" x14ac:dyDescent="0.25">
      <c r="A37" s="133" t="s">
        <v>55</v>
      </c>
      <c r="B37" s="51" t="s">
        <v>339</v>
      </c>
      <c r="C37" s="94" t="s">
        <v>54</v>
      </c>
      <c r="D37" s="95" t="s">
        <v>383</v>
      </c>
      <c r="E37" s="96" t="s">
        <v>114</v>
      </c>
      <c r="F37" s="97" t="s">
        <v>270</v>
      </c>
      <c r="G37" s="98">
        <f>CEILING(S37+W37+X37+O37+N37+Y37,10)</f>
        <v>11310</v>
      </c>
      <c r="H37" s="99">
        <f>CEILING(T37+W37+X37+O37+N37+Z37,10)</f>
        <v>12270</v>
      </c>
      <c r="I37" s="99">
        <f>CEILING(U37+W37+X37+O37+N37+AA37,10)</f>
        <v>12270</v>
      </c>
      <c r="J37" s="99">
        <f>CEILING(V37+W37+X37+O37+N37+AB37,10)</f>
        <v>14820</v>
      </c>
      <c r="K37" s="57"/>
      <c r="L37" s="156" t="s">
        <v>384</v>
      </c>
      <c r="M37" s="52" t="s">
        <v>293</v>
      </c>
      <c r="N37" s="40">
        <v>0</v>
      </c>
      <c r="O37" s="53">
        <f>VLOOKUP(B37,DRAYAGE!$A$1:$C$107,3,FALSE)</f>
        <v>2665</v>
      </c>
      <c r="P37" s="40" t="s">
        <v>299</v>
      </c>
      <c r="S37" s="101">
        <f>0.9*T37</f>
        <v>8640</v>
      </c>
      <c r="T37" s="54">
        <v>9600</v>
      </c>
      <c r="U37" s="103">
        <f t="shared" si="5"/>
        <v>9600</v>
      </c>
      <c r="V37" s="104">
        <f>U37*1.266</f>
        <v>12153.6</v>
      </c>
    </row>
    <row r="38" spans="1:29" s="40" customFormat="1" ht="14.45" customHeight="1" x14ac:dyDescent="0.25">
      <c r="A38" s="133" t="s">
        <v>61</v>
      </c>
      <c r="B38" s="51" t="s">
        <v>339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>CEILING(S38+W38+X38+O38+N38+Y38,10)</f>
        <v>11310</v>
      </c>
      <c r="H38" s="99">
        <f>CEILING(T38+W38+X38+O38+N38+Z38,10)</f>
        <v>12270</v>
      </c>
      <c r="I38" s="99">
        <f>CEILING(U38+W38+X38+O38+N38+AA38,10)</f>
        <v>12270</v>
      </c>
      <c r="J38" s="99">
        <f>CEILING(V38+W38+X38+O38+N38+AB38,10)</f>
        <v>14820</v>
      </c>
      <c r="K38" s="57"/>
      <c r="L38" s="156" t="s">
        <v>384</v>
      </c>
      <c r="M38" s="52" t="s">
        <v>293</v>
      </c>
      <c r="N38" s="40">
        <v>0</v>
      </c>
      <c r="O38" s="53">
        <f>VLOOKUP(B38,DRAYAGE!$A$1:$C$107,3,FALSE)</f>
        <v>2665</v>
      </c>
      <c r="P38" s="40" t="s">
        <v>299</v>
      </c>
      <c r="S38" s="101">
        <f>0.9*T38</f>
        <v>8640</v>
      </c>
      <c r="T38" s="54">
        <v>9600</v>
      </c>
      <c r="U38" s="103">
        <f t="shared" si="5"/>
        <v>9600</v>
      </c>
      <c r="V38" s="104">
        <f>U38*1.266</f>
        <v>12153.6</v>
      </c>
    </row>
    <row r="39" spans="1:29" s="40" customFormat="1" ht="14.45" customHeight="1" x14ac:dyDescent="0.25">
      <c r="A39" s="134" t="s">
        <v>334</v>
      </c>
      <c r="B39" s="88"/>
      <c r="C39" s="88"/>
      <c r="D39" s="88"/>
      <c r="E39" s="210"/>
      <c r="F39" s="211"/>
      <c r="G39" s="88"/>
      <c r="H39" s="88"/>
      <c r="I39" s="88"/>
      <c r="J39" s="88"/>
      <c r="K39" s="57"/>
      <c r="L39" s="89" t="s">
        <v>48</v>
      </c>
      <c r="M39" s="89" t="s">
        <v>261</v>
      </c>
      <c r="N39" s="90" t="s">
        <v>51</v>
      </c>
      <c r="O39" s="91" t="s">
        <v>50</v>
      </c>
      <c r="P39" s="91" t="s">
        <v>262</v>
      </c>
      <c r="Q39" s="91" t="s">
        <v>263</v>
      </c>
      <c r="R39" s="91" t="s">
        <v>264</v>
      </c>
      <c r="S39" s="92" t="s">
        <v>52</v>
      </c>
      <c r="T39" s="92" t="s">
        <v>53</v>
      </c>
      <c r="U39" s="92" t="s">
        <v>265</v>
      </c>
      <c r="V39" s="92" t="s">
        <v>266</v>
      </c>
      <c r="W39" s="92" t="s">
        <v>267</v>
      </c>
      <c r="X39" s="92" t="s">
        <v>268</v>
      </c>
      <c r="Y39" s="92" t="s">
        <v>52</v>
      </c>
      <c r="Z39" s="92" t="s">
        <v>53</v>
      </c>
      <c r="AA39" s="92" t="s">
        <v>265</v>
      </c>
      <c r="AB39" s="92" t="s">
        <v>266</v>
      </c>
      <c r="AC39" s="93" t="s">
        <v>269</v>
      </c>
    </row>
    <row r="40" spans="1:29" s="40" customFormat="1" ht="14.45" customHeight="1" x14ac:dyDescent="0.25">
      <c r="A40" s="133" t="s">
        <v>58</v>
      </c>
      <c r="B40" s="51" t="s">
        <v>341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>CEILING(S40+W40+X40+O40+N40+Y40,10)</f>
        <v>10510</v>
      </c>
      <c r="H40" s="99">
        <f>CEILING(T40+W40+X40+O40+N40+Z40,10)</f>
        <v>11490</v>
      </c>
      <c r="I40" s="99">
        <f>CEILING(U40+W40+X40+O40+N40+AA40,10)</f>
        <v>11490</v>
      </c>
      <c r="J40" s="99">
        <f>CEILING(V40+W40+X40+O40+N40+AB40,10)</f>
        <v>14100</v>
      </c>
      <c r="K40" s="57"/>
      <c r="L40" s="156" t="s">
        <v>384</v>
      </c>
      <c r="M40" s="52" t="s">
        <v>293</v>
      </c>
      <c r="N40" s="40">
        <v>0</v>
      </c>
      <c r="O40" s="53">
        <f>VLOOKUP(B40,DRAYAGE!$A$1:$C$107,3,FALSE)</f>
        <v>1690</v>
      </c>
      <c r="P40" s="40" t="s">
        <v>299</v>
      </c>
      <c r="S40" s="101">
        <f>0.9*T40</f>
        <v>8820</v>
      </c>
      <c r="T40" s="54">
        <f>T36</f>
        <v>9800</v>
      </c>
      <c r="U40" s="103">
        <f t="shared" si="5"/>
        <v>9800</v>
      </c>
      <c r="V40" s="104">
        <f>U40*1.266</f>
        <v>12406.8</v>
      </c>
      <c r="X40" s="40">
        <v>0</v>
      </c>
    </row>
    <row r="41" spans="1:29" s="40" customFormat="1" ht="14.45" customHeight="1" x14ac:dyDescent="0.25">
      <c r="A41" s="133" t="s">
        <v>55</v>
      </c>
      <c r="B41" s="51" t="s">
        <v>341</v>
      </c>
      <c r="C41" s="94" t="s">
        <v>54</v>
      </c>
      <c r="D41" s="95" t="s">
        <v>383</v>
      </c>
      <c r="E41" s="96" t="s">
        <v>114</v>
      </c>
      <c r="F41" s="97" t="s">
        <v>270</v>
      </c>
      <c r="G41" s="98">
        <f>CEILING(S41+W41+X41+O41+N41+Y41,10)</f>
        <v>10330</v>
      </c>
      <c r="H41" s="99">
        <f>CEILING(T41+W41+X41+O41+N41+Z41,10)</f>
        <v>11290</v>
      </c>
      <c r="I41" s="99">
        <f>CEILING(U41+W41+X41+O41+N41+AA41,10)</f>
        <v>11290</v>
      </c>
      <c r="J41" s="99">
        <f>CEILING(V41+W41+X41+O41+N41+AB41,10)</f>
        <v>13850</v>
      </c>
      <c r="K41" s="57"/>
      <c r="L41" s="156" t="s">
        <v>384</v>
      </c>
      <c r="M41" s="52" t="s">
        <v>293</v>
      </c>
      <c r="N41" s="40">
        <v>0</v>
      </c>
      <c r="O41" s="53">
        <f>VLOOKUP(B41,DRAYAGE!$A$1:$C$107,3,FALSE)</f>
        <v>1690</v>
      </c>
      <c r="P41" s="40" t="s">
        <v>299</v>
      </c>
      <c r="S41" s="101">
        <f>0.9*T41</f>
        <v>8640</v>
      </c>
      <c r="T41" s="54">
        <f>T37</f>
        <v>9600</v>
      </c>
      <c r="U41" s="103">
        <f t="shared" si="5"/>
        <v>9600</v>
      </c>
      <c r="V41" s="104">
        <f>U41*1.266</f>
        <v>12153.6</v>
      </c>
      <c r="X41" s="40">
        <v>0</v>
      </c>
    </row>
    <row r="42" spans="1:29" s="40" customFormat="1" ht="14.45" customHeight="1" x14ac:dyDescent="0.25">
      <c r="A42" s="133" t="s">
        <v>61</v>
      </c>
      <c r="B42" s="51" t="s">
        <v>341</v>
      </c>
      <c r="C42" s="94" t="s">
        <v>54</v>
      </c>
      <c r="D42" s="95" t="s">
        <v>383</v>
      </c>
      <c r="E42" s="96" t="s">
        <v>114</v>
      </c>
      <c r="F42" s="97" t="s">
        <v>270</v>
      </c>
      <c r="G42" s="98">
        <f>CEILING(S42+W42+X42+O42+N42+Y42,10)</f>
        <v>10330</v>
      </c>
      <c r="H42" s="99">
        <f>CEILING(T42+W42+X42+O42+N42+Z42,10)</f>
        <v>11290</v>
      </c>
      <c r="I42" s="99">
        <f>CEILING(U42+W42+X42+O42+N42+AA42,10)</f>
        <v>11290</v>
      </c>
      <c r="J42" s="99">
        <f>CEILING(V42+W42+X42+O42+N42+AB42,10)</f>
        <v>13850</v>
      </c>
      <c r="K42" s="57"/>
      <c r="L42" s="156" t="s">
        <v>384</v>
      </c>
      <c r="M42" s="52" t="s">
        <v>293</v>
      </c>
      <c r="N42" s="40">
        <v>0</v>
      </c>
      <c r="O42" s="53">
        <f>VLOOKUP(B42,DRAYAGE!$A$1:$C$107,3,FALSE)</f>
        <v>1690</v>
      </c>
      <c r="P42" s="40" t="s">
        <v>299</v>
      </c>
      <c r="S42" s="101">
        <f>0.9*T42</f>
        <v>8640</v>
      </c>
      <c r="T42" s="54">
        <f>T38</f>
        <v>9600</v>
      </c>
      <c r="U42" s="103">
        <f t="shared" si="5"/>
        <v>9600</v>
      </c>
      <c r="V42" s="104">
        <f>U42*1.266</f>
        <v>12153.6</v>
      </c>
      <c r="X42" s="40">
        <v>0</v>
      </c>
    </row>
    <row r="43" spans="1:29" s="40" customFormat="1" ht="14.45" customHeight="1" x14ac:dyDescent="0.25">
      <c r="A43" s="134" t="s">
        <v>335</v>
      </c>
      <c r="B43" s="88"/>
      <c r="C43" s="88"/>
      <c r="D43" s="88"/>
      <c r="E43" s="210"/>
      <c r="F43" s="211"/>
      <c r="G43" s="88"/>
      <c r="H43" s="88"/>
      <c r="I43" s="88"/>
      <c r="J43" s="88"/>
      <c r="K43" s="57"/>
      <c r="L43" s="89" t="s">
        <v>48</v>
      </c>
      <c r="M43" s="89" t="s">
        <v>261</v>
      </c>
      <c r="N43" s="90" t="s">
        <v>51</v>
      </c>
      <c r="O43" s="91" t="s">
        <v>50</v>
      </c>
      <c r="P43" s="91" t="s">
        <v>262</v>
      </c>
      <c r="Q43" s="91" t="s">
        <v>263</v>
      </c>
      <c r="R43" s="91" t="s">
        <v>264</v>
      </c>
      <c r="S43" s="92" t="s">
        <v>52</v>
      </c>
      <c r="T43" s="92" t="s">
        <v>53</v>
      </c>
      <c r="U43" s="92" t="s">
        <v>265</v>
      </c>
      <c r="V43" s="92" t="s">
        <v>266</v>
      </c>
      <c r="W43" s="92" t="s">
        <v>267</v>
      </c>
      <c r="X43" s="92" t="s">
        <v>268</v>
      </c>
      <c r="Y43" s="92" t="s">
        <v>52</v>
      </c>
      <c r="Z43" s="92" t="s">
        <v>53</v>
      </c>
      <c r="AA43" s="92" t="s">
        <v>265</v>
      </c>
      <c r="AB43" s="92" t="s">
        <v>266</v>
      </c>
      <c r="AC43" s="93" t="s">
        <v>269</v>
      </c>
    </row>
    <row r="44" spans="1:29" s="40" customFormat="1" ht="18.75" x14ac:dyDescent="0.25">
      <c r="A44" s="133" t="s">
        <v>81</v>
      </c>
      <c r="B44" s="51" t="s">
        <v>340</v>
      </c>
      <c r="C44" s="94" t="s">
        <v>54</v>
      </c>
      <c r="D44" s="95" t="s">
        <v>383</v>
      </c>
      <c r="E44" s="96" t="s">
        <v>114</v>
      </c>
      <c r="F44" s="97" t="s">
        <v>270</v>
      </c>
      <c r="G44" s="98">
        <f t="shared" ref="G44:G50" si="8">CEILING(S44+W44+X44+O44+N44+Y44,10)</f>
        <v>11440</v>
      </c>
      <c r="H44" s="99">
        <f t="shared" ref="H44:H50" si="9">CEILING(T44+W44+X44+O44+N44+Z44,10)</f>
        <v>12510</v>
      </c>
      <c r="I44" s="99">
        <f t="shared" ref="I44:I50" si="10">CEILING(U44+W44+X44+O44+N44+AA44,10)</f>
        <v>12510</v>
      </c>
      <c r="J44" s="99">
        <f t="shared" ref="J44:J50" si="11">CEILING(V44+W44+X44+O44+N44+AB44,10)</f>
        <v>15360</v>
      </c>
      <c r="K44" s="57"/>
      <c r="L44" s="156" t="s">
        <v>384</v>
      </c>
      <c r="M44" s="52" t="s">
        <v>294</v>
      </c>
      <c r="N44" s="40">
        <v>0</v>
      </c>
      <c r="O44" s="53">
        <f>VLOOKUP(B44,DRAYAGE!$A$1:$C$107,3,FALSE)</f>
        <v>1805</v>
      </c>
      <c r="P44" s="40" t="s">
        <v>300</v>
      </c>
      <c r="S44" s="101">
        <f t="shared" ref="S44:S50" si="12">0.9*T44</f>
        <v>9630</v>
      </c>
      <c r="T44" s="54">
        <v>10700</v>
      </c>
      <c r="U44" s="103">
        <f t="shared" si="5"/>
        <v>10700</v>
      </c>
      <c r="V44" s="104">
        <f t="shared" ref="V44:V50" si="13">U44*1.266</f>
        <v>13546.2</v>
      </c>
      <c r="X44" s="40">
        <v>0</v>
      </c>
    </row>
    <row r="45" spans="1:29" s="40" customFormat="1" ht="27" customHeight="1" x14ac:dyDescent="0.25">
      <c r="A45" s="133" t="s">
        <v>55</v>
      </c>
      <c r="B45" s="51" t="s">
        <v>340</v>
      </c>
      <c r="C45" s="94" t="s">
        <v>54</v>
      </c>
      <c r="D45" s="95" t="s">
        <v>383</v>
      </c>
      <c r="E45" s="96" t="s">
        <v>114</v>
      </c>
      <c r="F45" s="97" t="s">
        <v>270</v>
      </c>
      <c r="G45" s="98">
        <f t="shared" si="8"/>
        <v>11440</v>
      </c>
      <c r="H45" s="99">
        <f t="shared" si="9"/>
        <v>12510</v>
      </c>
      <c r="I45" s="99">
        <f t="shared" si="10"/>
        <v>12510</v>
      </c>
      <c r="J45" s="99">
        <f t="shared" si="11"/>
        <v>15360</v>
      </c>
      <c r="K45" s="57"/>
      <c r="L45" s="156" t="s">
        <v>384</v>
      </c>
      <c r="M45" s="52" t="s">
        <v>294</v>
      </c>
      <c r="N45" s="40">
        <v>0</v>
      </c>
      <c r="O45" s="53">
        <f>VLOOKUP(B45,DRAYAGE!$A$1:$C$107,3,FALSE)</f>
        <v>1805</v>
      </c>
      <c r="P45" s="40" t="s">
        <v>300</v>
      </c>
      <c r="S45" s="101">
        <f t="shared" si="12"/>
        <v>9630</v>
      </c>
      <c r="T45" s="54">
        <v>10700</v>
      </c>
      <c r="U45" s="103">
        <f t="shared" si="5"/>
        <v>10700</v>
      </c>
      <c r="V45" s="104">
        <f t="shared" si="13"/>
        <v>13546.2</v>
      </c>
      <c r="X45" s="40">
        <v>0</v>
      </c>
    </row>
    <row r="46" spans="1:29" s="40" customFormat="1" ht="14.45" customHeight="1" x14ac:dyDescent="0.25">
      <c r="A46" s="133" t="s">
        <v>59</v>
      </c>
      <c r="B46" s="51" t="s">
        <v>340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 t="shared" si="8"/>
        <v>11440</v>
      </c>
      <c r="H46" s="99">
        <f t="shared" si="9"/>
        <v>12510</v>
      </c>
      <c r="I46" s="99">
        <f t="shared" si="10"/>
        <v>12510</v>
      </c>
      <c r="J46" s="99">
        <f t="shared" si="11"/>
        <v>15360</v>
      </c>
      <c r="K46" s="57"/>
      <c r="L46" s="156" t="s">
        <v>384</v>
      </c>
      <c r="M46" s="52" t="s">
        <v>294</v>
      </c>
      <c r="N46" s="40">
        <v>0</v>
      </c>
      <c r="O46" s="53">
        <f>VLOOKUP(B46,DRAYAGE!$A$1:$C$107,3,FALSE)</f>
        <v>1805</v>
      </c>
      <c r="P46" s="40" t="s">
        <v>300</v>
      </c>
      <c r="S46" s="101">
        <f t="shared" si="12"/>
        <v>9630</v>
      </c>
      <c r="T46" s="54">
        <v>10700</v>
      </c>
      <c r="U46" s="103">
        <f t="shared" si="5"/>
        <v>10700</v>
      </c>
      <c r="V46" s="104">
        <f t="shared" si="13"/>
        <v>13546.2</v>
      </c>
      <c r="X46" s="40">
        <v>0</v>
      </c>
    </row>
    <row r="47" spans="1:29" s="40" customFormat="1" ht="18.75" x14ac:dyDescent="0.25">
      <c r="A47" s="133" t="s">
        <v>60</v>
      </c>
      <c r="B47" s="51" t="s">
        <v>340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 t="shared" si="8"/>
        <v>11440</v>
      </c>
      <c r="H47" s="99">
        <f t="shared" si="9"/>
        <v>12510</v>
      </c>
      <c r="I47" s="99">
        <f t="shared" si="10"/>
        <v>12510</v>
      </c>
      <c r="J47" s="99">
        <f t="shared" si="11"/>
        <v>15360</v>
      </c>
      <c r="K47" s="57"/>
      <c r="L47" s="156" t="s">
        <v>384</v>
      </c>
      <c r="M47" s="52" t="s">
        <v>294</v>
      </c>
      <c r="N47" s="40">
        <v>0</v>
      </c>
      <c r="O47" s="53">
        <f>VLOOKUP(B47,DRAYAGE!$A$1:$C$107,3,FALSE)</f>
        <v>1805</v>
      </c>
      <c r="P47" s="40" t="s">
        <v>300</v>
      </c>
      <c r="S47" s="101">
        <f t="shared" si="12"/>
        <v>9630</v>
      </c>
      <c r="T47" s="54">
        <v>10700</v>
      </c>
      <c r="U47" s="103">
        <f t="shared" si="5"/>
        <v>10700</v>
      </c>
      <c r="V47" s="104">
        <f t="shared" si="13"/>
        <v>13546.2</v>
      </c>
      <c r="X47" s="40">
        <v>0</v>
      </c>
    </row>
    <row r="48" spans="1:29" s="45" customFormat="1" ht="14.45" customHeight="1" x14ac:dyDescent="0.25">
      <c r="A48" s="133" t="s">
        <v>61</v>
      </c>
      <c r="B48" s="51" t="s">
        <v>340</v>
      </c>
      <c r="C48" s="106" t="s">
        <v>54</v>
      </c>
      <c r="D48" s="95" t="s">
        <v>383</v>
      </c>
      <c r="E48" s="107" t="s">
        <v>114</v>
      </c>
      <c r="F48" s="108" t="s">
        <v>270</v>
      </c>
      <c r="G48" s="109">
        <f t="shared" si="8"/>
        <v>11440</v>
      </c>
      <c r="H48" s="110">
        <f t="shared" si="9"/>
        <v>12510</v>
      </c>
      <c r="I48" s="110">
        <f t="shared" si="10"/>
        <v>12510</v>
      </c>
      <c r="J48" s="110">
        <f t="shared" si="11"/>
        <v>15360</v>
      </c>
      <c r="K48" s="111"/>
      <c r="L48" s="156" t="s">
        <v>384</v>
      </c>
      <c r="M48" s="52" t="s">
        <v>294</v>
      </c>
      <c r="N48" s="45">
        <v>0</v>
      </c>
      <c r="O48" s="53">
        <f>VLOOKUP(B48,DRAYAGE!$A$1:$C$107,3,FALSE)</f>
        <v>1805</v>
      </c>
      <c r="P48" s="40" t="s">
        <v>300</v>
      </c>
      <c r="R48" s="40"/>
      <c r="S48" s="113">
        <f t="shared" si="12"/>
        <v>9630</v>
      </c>
      <c r="T48" s="54">
        <v>10700</v>
      </c>
      <c r="U48" s="103">
        <f t="shared" si="5"/>
        <v>10700</v>
      </c>
      <c r="V48" s="114">
        <f t="shared" si="13"/>
        <v>13546.2</v>
      </c>
      <c r="X48" s="45">
        <v>0</v>
      </c>
      <c r="Y48" s="40"/>
      <c r="Z48" s="40"/>
      <c r="AA48" s="40"/>
      <c r="AB48" s="40"/>
    </row>
    <row r="49" spans="1:29" s="40" customFormat="1" ht="18.75" x14ac:dyDescent="0.25">
      <c r="A49" s="133" t="s">
        <v>273</v>
      </c>
      <c r="B49" s="51" t="s">
        <v>340</v>
      </c>
      <c r="C49" s="94" t="s">
        <v>54</v>
      </c>
      <c r="D49" s="95" t="s">
        <v>383</v>
      </c>
      <c r="E49" s="96" t="s">
        <v>114</v>
      </c>
      <c r="F49" s="97" t="s">
        <v>270</v>
      </c>
      <c r="G49" s="98">
        <f t="shared" si="8"/>
        <v>12290</v>
      </c>
      <c r="H49" s="99">
        <f t="shared" si="9"/>
        <v>13460</v>
      </c>
      <c r="I49" s="99">
        <f t="shared" si="10"/>
        <v>13460</v>
      </c>
      <c r="J49" s="99">
        <f t="shared" si="11"/>
        <v>16560</v>
      </c>
      <c r="K49" s="57"/>
      <c r="L49" s="156" t="s">
        <v>384</v>
      </c>
      <c r="M49" s="52" t="s">
        <v>294</v>
      </c>
      <c r="N49" s="40">
        <v>0</v>
      </c>
      <c r="O49" s="53">
        <f>VLOOKUP(B49,DRAYAGE!$A$1:$C$107,3,FALSE)</f>
        <v>1805</v>
      </c>
      <c r="P49" s="40" t="s">
        <v>300</v>
      </c>
      <c r="S49" s="101">
        <f t="shared" si="12"/>
        <v>10485</v>
      </c>
      <c r="T49" s="54">
        <f>11500+150</f>
        <v>11650</v>
      </c>
      <c r="U49" s="103">
        <f t="shared" si="5"/>
        <v>11650</v>
      </c>
      <c r="V49" s="104">
        <f t="shared" si="13"/>
        <v>14748.9</v>
      </c>
      <c r="X49" s="40">
        <v>0</v>
      </c>
    </row>
    <row r="50" spans="1:29" s="40" customFormat="1" ht="14.45" customHeight="1" x14ac:dyDescent="0.25">
      <c r="A50" s="133" t="s">
        <v>58</v>
      </c>
      <c r="B50" s="51" t="s">
        <v>340</v>
      </c>
      <c r="C50" s="94" t="s">
        <v>54</v>
      </c>
      <c r="D50" s="95" t="s">
        <v>383</v>
      </c>
      <c r="E50" s="96" t="s">
        <v>114</v>
      </c>
      <c r="F50" s="97" t="s">
        <v>270</v>
      </c>
      <c r="G50" s="98">
        <f t="shared" si="8"/>
        <v>12430</v>
      </c>
      <c r="H50" s="99">
        <f t="shared" si="9"/>
        <v>13610</v>
      </c>
      <c r="I50" s="99">
        <f t="shared" si="10"/>
        <v>13610</v>
      </c>
      <c r="J50" s="99">
        <f t="shared" si="11"/>
        <v>16750</v>
      </c>
      <c r="K50" s="57"/>
      <c r="L50" s="156" t="s">
        <v>384</v>
      </c>
      <c r="M50" s="52" t="s">
        <v>294</v>
      </c>
      <c r="N50" s="40">
        <v>0</v>
      </c>
      <c r="O50" s="53">
        <f>VLOOKUP(B50,DRAYAGE!$A$1:$C$107,3,FALSE)</f>
        <v>1805</v>
      </c>
      <c r="P50" s="40" t="s">
        <v>300</v>
      </c>
      <c r="S50" s="101">
        <f t="shared" si="12"/>
        <v>10620</v>
      </c>
      <c r="T50" s="54">
        <f>11500+300</f>
        <v>11800</v>
      </c>
      <c r="U50" s="103">
        <f t="shared" si="5"/>
        <v>11800</v>
      </c>
      <c r="V50" s="104">
        <f t="shared" si="13"/>
        <v>14938.8</v>
      </c>
      <c r="X50" s="40">
        <v>0</v>
      </c>
    </row>
    <row r="51" spans="1:29" s="40" customFormat="1" ht="14.45" customHeight="1" x14ac:dyDescent="0.25">
      <c r="A51" s="134" t="s">
        <v>98</v>
      </c>
      <c r="B51" s="88"/>
      <c r="C51" s="88"/>
      <c r="D51" s="88"/>
      <c r="E51" s="210"/>
      <c r="F51" s="211"/>
      <c r="G51" s="88"/>
      <c r="H51" s="88"/>
      <c r="I51" s="88"/>
      <c r="J51" s="88"/>
      <c r="K51" s="57"/>
      <c r="L51" s="89" t="s">
        <v>48</v>
      </c>
      <c r="M51" s="89" t="s">
        <v>261</v>
      </c>
      <c r="N51" s="90" t="s">
        <v>51</v>
      </c>
      <c r="O51" s="91" t="s">
        <v>50</v>
      </c>
      <c r="P51" s="91" t="s">
        <v>262</v>
      </c>
      <c r="Q51" s="91" t="s">
        <v>263</v>
      </c>
      <c r="R51" s="92" t="s">
        <v>52</v>
      </c>
      <c r="S51" s="92" t="s">
        <v>52</v>
      </c>
      <c r="T51" s="92" t="s">
        <v>53</v>
      </c>
      <c r="U51" s="92" t="s">
        <v>265</v>
      </c>
      <c r="V51" s="92" t="s">
        <v>266</v>
      </c>
      <c r="W51" s="92" t="s">
        <v>267</v>
      </c>
      <c r="X51" s="92" t="s">
        <v>268</v>
      </c>
      <c r="Y51" s="92" t="s">
        <v>52</v>
      </c>
      <c r="Z51" s="92" t="s">
        <v>53</v>
      </c>
      <c r="AA51" s="92" t="s">
        <v>265</v>
      </c>
      <c r="AB51" s="92" t="s">
        <v>266</v>
      </c>
      <c r="AC51" s="93" t="s">
        <v>269</v>
      </c>
    </row>
    <row r="52" spans="1:29" s="40" customFormat="1" ht="14.45" customHeight="1" x14ac:dyDescent="0.25">
      <c r="A52" s="133" t="s">
        <v>331</v>
      </c>
      <c r="B52" s="51" t="s">
        <v>342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f>CEILING(S52+W52+X52+O52+N52+Y52,10)</f>
        <v>11730</v>
      </c>
      <c r="H52" s="99">
        <f>CEILING(T52+W52+X52+O52+N52+Z52,10)</f>
        <v>12700</v>
      </c>
      <c r="I52" s="99">
        <f>CEILING(U52+W52+X52+O52+N52+AA52,10)</f>
        <v>12700</v>
      </c>
      <c r="J52" s="99">
        <f>CEILING(V52+W52+X52+O52+N52+AB52,10)</f>
        <v>15280</v>
      </c>
      <c r="K52" s="57"/>
      <c r="L52" s="156" t="s">
        <v>384</v>
      </c>
      <c r="M52" s="52" t="s">
        <v>293</v>
      </c>
      <c r="N52" s="40">
        <v>0</v>
      </c>
      <c r="O52" s="53">
        <f>VLOOKUP(B52,DRAYAGE!$A$1:$C$107,3,FALSE)</f>
        <v>2995</v>
      </c>
      <c r="P52" s="40" t="s">
        <v>302</v>
      </c>
      <c r="R52" s="101">
        <v>19800</v>
      </c>
      <c r="S52" s="101">
        <f>0.9*T52</f>
        <v>8730</v>
      </c>
      <c r="T52" s="54">
        <f>9500+200</f>
        <v>9700</v>
      </c>
      <c r="U52" s="103">
        <f>T52</f>
        <v>9700</v>
      </c>
      <c r="V52" s="104">
        <f>U52*1.266</f>
        <v>12280.2</v>
      </c>
      <c r="W52" s="40">
        <v>0</v>
      </c>
    </row>
    <row r="53" spans="1:29" s="40" customFormat="1" ht="14.45" customHeight="1" x14ac:dyDescent="0.25">
      <c r="A53" s="133" t="s">
        <v>328</v>
      </c>
      <c r="B53" s="51" t="s">
        <v>342</v>
      </c>
      <c r="C53" s="94" t="s">
        <v>54</v>
      </c>
      <c r="D53" s="95" t="s">
        <v>383</v>
      </c>
      <c r="E53" s="96" t="s">
        <v>114</v>
      </c>
      <c r="F53" s="97" t="s">
        <v>270</v>
      </c>
      <c r="G53" s="98">
        <f>CEILING(S53+W53+X53+O53+N53+Y53,10)</f>
        <v>12000</v>
      </c>
      <c r="H53" s="99">
        <f>CEILING(T53+W53+X53+O53+N53+Z53,10)</f>
        <v>13000</v>
      </c>
      <c r="I53" s="99">
        <f>CEILING(U53+W53+X53+O53+N53+AA53,10)</f>
        <v>13000</v>
      </c>
      <c r="J53" s="99">
        <f>CEILING(V53+W53+X53+O53+N53+AB53,10)</f>
        <v>15660</v>
      </c>
      <c r="K53" s="57"/>
      <c r="L53" s="156" t="s">
        <v>384</v>
      </c>
      <c r="M53" s="52" t="s">
        <v>293</v>
      </c>
      <c r="N53" s="40">
        <v>0</v>
      </c>
      <c r="O53" s="53">
        <f>VLOOKUP(B53,DRAYAGE!$A$1:$C$107,3,FALSE)</f>
        <v>2995</v>
      </c>
      <c r="P53" s="40" t="s">
        <v>302</v>
      </c>
      <c r="R53" s="101">
        <v>19800</v>
      </c>
      <c r="S53" s="101">
        <f>0.9*T53</f>
        <v>9000</v>
      </c>
      <c r="T53" s="54">
        <f>9500+500</f>
        <v>10000</v>
      </c>
      <c r="U53" s="103">
        <f>T53</f>
        <v>10000</v>
      </c>
      <c r="V53" s="104">
        <f>U53*1.266</f>
        <v>12660</v>
      </c>
      <c r="W53" s="40">
        <v>0</v>
      </c>
    </row>
    <row r="54" spans="1:29" s="40" customFormat="1" ht="14.45" customHeight="1" x14ac:dyDescent="0.25">
      <c r="A54" s="133" t="s">
        <v>58</v>
      </c>
      <c r="B54" s="51" t="s">
        <v>342</v>
      </c>
      <c r="C54" s="94" t="s">
        <v>54</v>
      </c>
      <c r="D54" s="95" t="s">
        <v>383</v>
      </c>
      <c r="E54" s="96" t="s">
        <v>114</v>
      </c>
      <c r="F54" s="97" t="s">
        <v>270</v>
      </c>
      <c r="G54" s="98">
        <f>CEILING(S54+W54+X54+O54+N54+Y54,10)</f>
        <v>12450</v>
      </c>
      <c r="H54" s="99">
        <f>CEILING(T54+W54+X54+O54+N54+Z54,10)</f>
        <v>13500</v>
      </c>
      <c r="I54" s="99">
        <f>CEILING(U54+W54+X54+O54+N54+AA54,10)</f>
        <v>13500</v>
      </c>
      <c r="J54" s="99">
        <f>CEILING(V54+W54+X54+O54+N54+AB54,10)</f>
        <v>16290</v>
      </c>
      <c r="K54" s="57"/>
      <c r="L54" s="156" t="s">
        <v>384</v>
      </c>
      <c r="M54" s="52" t="s">
        <v>293</v>
      </c>
      <c r="N54" s="40">
        <v>0</v>
      </c>
      <c r="O54" s="53">
        <f>VLOOKUP(B54,DRAYAGE!$A$1:$C$107,3,FALSE)</f>
        <v>2995</v>
      </c>
      <c r="P54" s="40" t="s">
        <v>302</v>
      </c>
      <c r="R54" s="101">
        <v>19800</v>
      </c>
      <c r="S54" s="101">
        <f>0.9*T54</f>
        <v>9450</v>
      </c>
      <c r="T54" s="54">
        <f>10000+500</f>
        <v>10500</v>
      </c>
      <c r="U54" s="103">
        <f>T54</f>
        <v>10500</v>
      </c>
      <c r="V54" s="104">
        <f>U54*1.266</f>
        <v>13293</v>
      </c>
      <c r="W54" s="40">
        <v>0</v>
      </c>
    </row>
    <row r="55" spans="1:29" s="40" customFormat="1" ht="14.45" customHeight="1" x14ac:dyDescent="0.25">
      <c r="A55" s="133" t="s">
        <v>330</v>
      </c>
      <c r="B55" s="51" t="s">
        <v>342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>CEILING(S55+W55+X55+O55+N55+Y55,10)</f>
        <v>11730</v>
      </c>
      <c r="H55" s="99">
        <f>CEILING(T55+W55+X55+O55+N55+Z55,10)</f>
        <v>12700</v>
      </c>
      <c r="I55" s="99">
        <f>CEILING(U55+W55+X55+O55+N55+AA55,10)</f>
        <v>12700</v>
      </c>
      <c r="J55" s="99">
        <f>CEILING(V55+W55+X55+O55+N55+AB55,10)</f>
        <v>15280</v>
      </c>
      <c r="K55" s="57"/>
      <c r="L55" s="156" t="s">
        <v>384</v>
      </c>
      <c r="M55" s="52" t="s">
        <v>293</v>
      </c>
      <c r="N55" s="40">
        <v>0</v>
      </c>
      <c r="O55" s="53">
        <f>VLOOKUP(B55,DRAYAGE!$A$1:$C$107,3,FALSE)</f>
        <v>2995</v>
      </c>
      <c r="P55" s="40" t="s">
        <v>302</v>
      </c>
      <c r="R55" s="101">
        <v>19800</v>
      </c>
      <c r="S55" s="101">
        <f>0.9*T55</f>
        <v>8730</v>
      </c>
      <c r="T55" s="54">
        <f>9500+200</f>
        <v>9700</v>
      </c>
      <c r="U55" s="103">
        <f>T55</f>
        <v>9700</v>
      </c>
      <c r="V55" s="104">
        <f>U55*1.266</f>
        <v>12280.2</v>
      </c>
      <c r="W55" s="40">
        <v>0</v>
      </c>
    </row>
    <row r="56" spans="1:29" s="40" customFormat="1" ht="14.45" customHeight="1" x14ac:dyDescent="0.25">
      <c r="A56" s="134" t="s">
        <v>336</v>
      </c>
      <c r="B56" s="88"/>
      <c r="C56" s="88"/>
      <c r="D56" s="88"/>
      <c r="E56" s="210"/>
      <c r="F56" s="211"/>
      <c r="G56" s="88"/>
      <c r="H56" s="88"/>
      <c r="I56" s="88"/>
      <c r="J56" s="88"/>
      <c r="K56" s="57"/>
      <c r="L56" s="89" t="s">
        <v>48</v>
      </c>
      <c r="M56" s="89" t="s">
        <v>261</v>
      </c>
      <c r="N56" s="90" t="s">
        <v>51</v>
      </c>
      <c r="O56" s="91" t="s">
        <v>50</v>
      </c>
      <c r="P56" s="91" t="s">
        <v>262</v>
      </c>
      <c r="Q56" s="91" t="s">
        <v>263</v>
      </c>
      <c r="R56" s="92" t="s">
        <v>52</v>
      </c>
      <c r="S56" s="92" t="s">
        <v>52</v>
      </c>
      <c r="T56" s="92" t="s">
        <v>53</v>
      </c>
      <c r="U56" s="92" t="s">
        <v>265</v>
      </c>
      <c r="V56" s="92" t="s">
        <v>266</v>
      </c>
      <c r="W56" s="92" t="s">
        <v>267</v>
      </c>
      <c r="X56" s="92" t="s">
        <v>268</v>
      </c>
      <c r="Y56" s="92" t="s">
        <v>52</v>
      </c>
      <c r="Z56" s="92" t="s">
        <v>53</v>
      </c>
      <c r="AA56" s="92" t="s">
        <v>265</v>
      </c>
      <c r="AB56" s="92" t="s">
        <v>266</v>
      </c>
      <c r="AC56" s="93" t="s">
        <v>269</v>
      </c>
    </row>
    <row r="57" spans="1:29" s="40" customFormat="1" ht="14.45" customHeight="1" x14ac:dyDescent="0.25">
      <c r="A57" s="133" t="s">
        <v>326</v>
      </c>
      <c r="B57" s="51" t="s">
        <v>343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v>18510</v>
      </c>
      <c r="H57" s="99">
        <v>20510</v>
      </c>
      <c r="I57" s="99">
        <v>20510</v>
      </c>
      <c r="J57" s="99">
        <v>25830</v>
      </c>
      <c r="K57" s="57"/>
      <c r="L57" s="156" t="s">
        <v>384</v>
      </c>
      <c r="M57" s="52" t="s">
        <v>295</v>
      </c>
      <c r="N57" s="40">
        <v>0</v>
      </c>
      <c r="O57" s="53">
        <f>VLOOKUP(B57,DRAYAGE!$A$1:$C$107,3,FALSE)</f>
        <v>1185</v>
      </c>
      <c r="P57" s="40" t="s">
        <v>361</v>
      </c>
      <c r="R57" s="101">
        <v>18000</v>
      </c>
      <c r="S57" s="101">
        <f>0.9*T57</f>
        <v>12285</v>
      </c>
      <c r="T57" s="54">
        <f>13250+400</f>
        <v>13650</v>
      </c>
      <c r="U57" s="103">
        <f>T57</f>
        <v>13650</v>
      </c>
      <c r="V57" s="104">
        <f>U57*1.266</f>
        <v>17280.900000000001</v>
      </c>
      <c r="W57" s="40">
        <v>0</v>
      </c>
    </row>
    <row r="58" spans="1:29" s="40" customFormat="1" ht="14.45" customHeight="1" x14ac:dyDescent="0.25">
      <c r="A58" s="133" t="s">
        <v>327</v>
      </c>
      <c r="B58" s="51" t="s">
        <v>343</v>
      </c>
      <c r="C58" s="94" t="s">
        <v>54</v>
      </c>
      <c r="D58" s="95" t="s">
        <v>383</v>
      </c>
      <c r="E58" s="96" t="s">
        <v>114</v>
      </c>
      <c r="F58" s="97" t="s">
        <v>270</v>
      </c>
      <c r="G58" s="98">
        <v>18510</v>
      </c>
      <c r="H58" s="99">
        <v>20510</v>
      </c>
      <c r="I58" s="99">
        <v>20510</v>
      </c>
      <c r="J58" s="99">
        <v>25830</v>
      </c>
      <c r="K58" s="57"/>
      <c r="L58" s="156" t="s">
        <v>384</v>
      </c>
      <c r="M58" s="52" t="s">
        <v>295</v>
      </c>
      <c r="N58" s="40">
        <v>0</v>
      </c>
      <c r="O58" s="53">
        <f>VLOOKUP(B58,DRAYAGE!$A$1:$C$107,3,FALSE)</f>
        <v>1185</v>
      </c>
      <c r="P58" s="40" t="s">
        <v>361</v>
      </c>
      <c r="R58" s="101">
        <v>18000</v>
      </c>
      <c r="S58" s="101">
        <f>0.9*T58</f>
        <v>12285</v>
      </c>
      <c r="T58" s="54">
        <f>13250+400</f>
        <v>13650</v>
      </c>
      <c r="U58" s="103">
        <f>T58</f>
        <v>13650</v>
      </c>
      <c r="V58" s="104">
        <f>U58*1.266</f>
        <v>17280.900000000001</v>
      </c>
      <c r="W58" s="40">
        <v>0</v>
      </c>
    </row>
    <row r="59" spans="1:29" s="40" customFormat="1" ht="14.45" customHeight="1" x14ac:dyDescent="0.25">
      <c r="A59" s="133" t="s">
        <v>328</v>
      </c>
      <c r="B59" s="51" t="s">
        <v>343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v>18510</v>
      </c>
      <c r="H59" s="99">
        <v>20510</v>
      </c>
      <c r="I59" s="99">
        <v>20510</v>
      </c>
      <c r="J59" s="99">
        <v>25830</v>
      </c>
      <c r="K59" s="57"/>
      <c r="L59" s="156" t="s">
        <v>384</v>
      </c>
      <c r="M59" s="52" t="s">
        <v>295</v>
      </c>
      <c r="N59" s="40">
        <v>0</v>
      </c>
      <c r="O59" s="53">
        <f>VLOOKUP(B59,DRAYAGE!$A$1:$C$107,3,FALSE)</f>
        <v>1185</v>
      </c>
      <c r="P59" s="40" t="s">
        <v>361</v>
      </c>
      <c r="R59" s="101">
        <v>18000</v>
      </c>
      <c r="S59" s="101">
        <f>0.9*T59</f>
        <v>12465</v>
      </c>
      <c r="T59" s="54">
        <f>13250+600</f>
        <v>13850</v>
      </c>
      <c r="U59" s="103">
        <f>T59</f>
        <v>13850</v>
      </c>
      <c r="V59" s="104">
        <f>U59*1.266</f>
        <v>17534.099999999999</v>
      </c>
      <c r="W59" s="40">
        <v>0</v>
      </c>
    </row>
    <row r="60" spans="1:29" s="40" customFormat="1" ht="14.45" customHeight="1" x14ac:dyDescent="0.25">
      <c r="A60" s="134" t="s">
        <v>337</v>
      </c>
      <c r="B60" s="88"/>
      <c r="C60" s="88"/>
      <c r="D60" s="88"/>
      <c r="E60" s="210"/>
      <c r="F60" s="211"/>
      <c r="G60" s="88"/>
      <c r="H60" s="88"/>
      <c r="I60" s="88"/>
      <c r="J60" s="88"/>
      <c r="K60" s="57"/>
      <c r="L60" s="89" t="s">
        <v>48</v>
      </c>
      <c r="M60" s="89" t="s">
        <v>261</v>
      </c>
      <c r="N60" s="90" t="s">
        <v>51</v>
      </c>
      <c r="O60" s="91" t="s">
        <v>50</v>
      </c>
      <c r="P60" s="91" t="s">
        <v>262</v>
      </c>
      <c r="Q60" s="91" t="s">
        <v>263</v>
      </c>
      <c r="R60" s="91" t="s">
        <v>264</v>
      </c>
      <c r="S60" s="92" t="s">
        <v>52</v>
      </c>
      <c r="T60" s="92" t="s">
        <v>53</v>
      </c>
      <c r="U60" s="92" t="s">
        <v>265</v>
      </c>
      <c r="V60" s="92" t="s">
        <v>266</v>
      </c>
      <c r="W60" s="92" t="s">
        <v>267</v>
      </c>
      <c r="X60" s="92" t="s">
        <v>268</v>
      </c>
      <c r="Y60" s="92" t="s">
        <v>52</v>
      </c>
      <c r="Z60" s="92" t="s">
        <v>53</v>
      </c>
      <c r="AA60" s="92" t="s">
        <v>265</v>
      </c>
      <c r="AB60" s="92" t="s">
        <v>266</v>
      </c>
      <c r="AC60" s="93" t="s">
        <v>269</v>
      </c>
    </row>
    <row r="61" spans="1:29" s="40" customFormat="1" ht="18.75" x14ac:dyDescent="0.25">
      <c r="A61" s="133" t="s">
        <v>81</v>
      </c>
      <c r="B61" s="51" t="s">
        <v>344</v>
      </c>
      <c r="C61" s="94" t="s">
        <v>54</v>
      </c>
      <c r="D61" s="95" t="s">
        <v>383</v>
      </c>
      <c r="E61" s="96" t="s">
        <v>114</v>
      </c>
      <c r="F61" s="97" t="s">
        <v>270</v>
      </c>
      <c r="G61" s="98">
        <f t="shared" ref="G61:G66" si="14">CEILING(S61+W61+X61+O61+N61+Y61,10)</f>
        <v>10980</v>
      </c>
      <c r="H61" s="99">
        <f t="shared" ref="H61:H66" si="15">CEILING(T61+W61+X61+O61+N61+Z61,10)</f>
        <v>12050</v>
      </c>
      <c r="I61" s="99">
        <f t="shared" ref="I61:I66" si="16">CEILING(U61+W61+X61+O61+N61+AA61,10)</f>
        <v>12050</v>
      </c>
      <c r="J61" s="99">
        <f t="shared" ref="J61:J66" si="17">CEILING(V61+W61+X61+O61+N61+AB61,10)</f>
        <v>14900</v>
      </c>
      <c r="K61" s="57"/>
      <c r="L61" s="156" t="s">
        <v>384</v>
      </c>
      <c r="M61" s="52" t="s">
        <v>294</v>
      </c>
      <c r="N61" s="40">
        <v>0</v>
      </c>
      <c r="O61" s="53">
        <f>VLOOKUP(B61,DRAYAGE!$A$1:$C$107,3,FALSE)</f>
        <v>1345</v>
      </c>
      <c r="P61" s="40" t="s">
        <v>301</v>
      </c>
      <c r="S61" s="101">
        <f t="shared" ref="S61:S74" si="18">0.9*T61</f>
        <v>9630</v>
      </c>
      <c r="T61" s="54">
        <f t="shared" ref="T61:T66" si="19">T44</f>
        <v>10700</v>
      </c>
      <c r="U61" s="103">
        <f t="shared" si="5"/>
        <v>10700</v>
      </c>
      <c r="V61" s="104">
        <f t="shared" ref="V61:V66" si="20">U61*1.266</f>
        <v>13546.2</v>
      </c>
      <c r="X61" s="40">
        <v>0</v>
      </c>
    </row>
    <row r="62" spans="1:29" s="40" customFormat="1" ht="14.45" customHeight="1" x14ac:dyDescent="0.25">
      <c r="A62" s="133" t="s">
        <v>55</v>
      </c>
      <c r="B62" s="51" t="s">
        <v>344</v>
      </c>
      <c r="C62" s="94" t="s">
        <v>54</v>
      </c>
      <c r="D62" s="95" t="s">
        <v>383</v>
      </c>
      <c r="E62" s="96" t="s">
        <v>114</v>
      </c>
      <c r="F62" s="97" t="s">
        <v>270</v>
      </c>
      <c r="G62" s="98">
        <f t="shared" si="14"/>
        <v>10980</v>
      </c>
      <c r="H62" s="99">
        <f t="shared" si="15"/>
        <v>12050</v>
      </c>
      <c r="I62" s="99">
        <f t="shared" si="16"/>
        <v>12050</v>
      </c>
      <c r="J62" s="99">
        <f t="shared" si="17"/>
        <v>14900</v>
      </c>
      <c r="K62" s="57"/>
      <c r="L62" s="156" t="s">
        <v>384</v>
      </c>
      <c r="M62" s="52" t="s">
        <v>294</v>
      </c>
      <c r="N62" s="40">
        <v>0</v>
      </c>
      <c r="O62" s="53">
        <f>VLOOKUP(B62,DRAYAGE!$A$1:$C$107,3,FALSE)</f>
        <v>1345</v>
      </c>
      <c r="P62" s="40" t="s">
        <v>301</v>
      </c>
      <c r="S62" s="101">
        <f t="shared" si="18"/>
        <v>9630</v>
      </c>
      <c r="T62" s="54">
        <f t="shared" si="19"/>
        <v>10700</v>
      </c>
      <c r="U62" s="103">
        <f t="shared" si="5"/>
        <v>10700</v>
      </c>
      <c r="V62" s="104">
        <f t="shared" si="20"/>
        <v>13546.2</v>
      </c>
      <c r="X62" s="40">
        <v>0</v>
      </c>
    </row>
    <row r="63" spans="1:29" s="40" customFormat="1" ht="14.45" customHeight="1" x14ac:dyDescent="0.25">
      <c r="A63" s="133" t="s">
        <v>59</v>
      </c>
      <c r="B63" s="51" t="s">
        <v>344</v>
      </c>
      <c r="C63" s="94" t="s">
        <v>54</v>
      </c>
      <c r="D63" s="95" t="s">
        <v>383</v>
      </c>
      <c r="E63" s="96" t="s">
        <v>114</v>
      </c>
      <c r="F63" s="97" t="s">
        <v>270</v>
      </c>
      <c r="G63" s="98">
        <f t="shared" si="14"/>
        <v>10980</v>
      </c>
      <c r="H63" s="99">
        <f t="shared" si="15"/>
        <v>12050</v>
      </c>
      <c r="I63" s="99">
        <f t="shared" si="16"/>
        <v>12050</v>
      </c>
      <c r="J63" s="99">
        <f t="shared" si="17"/>
        <v>14900</v>
      </c>
      <c r="K63" s="57"/>
      <c r="L63" s="156" t="s">
        <v>384</v>
      </c>
      <c r="M63" s="52" t="s">
        <v>294</v>
      </c>
      <c r="N63" s="40">
        <v>0</v>
      </c>
      <c r="O63" s="53">
        <f>VLOOKUP(B63,DRAYAGE!$A$1:$C$107,3,FALSE)</f>
        <v>1345</v>
      </c>
      <c r="P63" s="40" t="s">
        <v>301</v>
      </c>
      <c r="S63" s="101">
        <f t="shared" si="18"/>
        <v>9630</v>
      </c>
      <c r="T63" s="54">
        <f t="shared" si="19"/>
        <v>10700</v>
      </c>
      <c r="U63" s="103">
        <f t="shared" si="5"/>
        <v>10700</v>
      </c>
      <c r="V63" s="104">
        <f t="shared" si="20"/>
        <v>13546.2</v>
      </c>
      <c r="X63" s="40">
        <v>0</v>
      </c>
    </row>
    <row r="64" spans="1:29" s="40" customFormat="1" ht="18.75" x14ac:dyDescent="0.25">
      <c r="A64" s="133" t="s">
        <v>60</v>
      </c>
      <c r="B64" s="51" t="s">
        <v>344</v>
      </c>
      <c r="C64" s="94" t="s">
        <v>54</v>
      </c>
      <c r="D64" s="95" t="s">
        <v>383</v>
      </c>
      <c r="E64" s="96" t="s">
        <v>114</v>
      </c>
      <c r="F64" s="97" t="s">
        <v>270</v>
      </c>
      <c r="G64" s="98">
        <f t="shared" si="14"/>
        <v>10980</v>
      </c>
      <c r="H64" s="99">
        <f t="shared" si="15"/>
        <v>12050</v>
      </c>
      <c r="I64" s="99">
        <f t="shared" si="16"/>
        <v>12050</v>
      </c>
      <c r="J64" s="99">
        <f t="shared" si="17"/>
        <v>14900</v>
      </c>
      <c r="K64" s="57"/>
      <c r="L64" s="156" t="s">
        <v>384</v>
      </c>
      <c r="M64" s="52" t="s">
        <v>294</v>
      </c>
      <c r="N64" s="40">
        <v>0</v>
      </c>
      <c r="O64" s="53">
        <f>VLOOKUP(B64,DRAYAGE!$A$1:$C$107,3,FALSE)</f>
        <v>1345</v>
      </c>
      <c r="P64" s="40" t="s">
        <v>301</v>
      </c>
      <c r="S64" s="101">
        <f t="shared" si="18"/>
        <v>9630</v>
      </c>
      <c r="T64" s="54">
        <f t="shared" si="19"/>
        <v>10700</v>
      </c>
      <c r="U64" s="103">
        <f t="shared" si="5"/>
        <v>10700</v>
      </c>
      <c r="V64" s="104">
        <f t="shared" si="20"/>
        <v>13546.2</v>
      </c>
      <c r="X64" s="40">
        <v>0</v>
      </c>
    </row>
    <row r="65" spans="1:29" s="40" customFormat="1" ht="14.45" customHeight="1" x14ac:dyDescent="0.25">
      <c r="A65" s="133" t="s">
        <v>61</v>
      </c>
      <c r="B65" s="51" t="s">
        <v>344</v>
      </c>
      <c r="C65" s="94" t="s">
        <v>54</v>
      </c>
      <c r="D65" s="95" t="s">
        <v>383</v>
      </c>
      <c r="E65" s="96" t="s">
        <v>114</v>
      </c>
      <c r="F65" s="97" t="s">
        <v>270</v>
      </c>
      <c r="G65" s="98">
        <f t="shared" si="14"/>
        <v>10980</v>
      </c>
      <c r="H65" s="99">
        <f t="shared" si="15"/>
        <v>12050</v>
      </c>
      <c r="I65" s="99">
        <f t="shared" si="16"/>
        <v>12050</v>
      </c>
      <c r="J65" s="99">
        <f t="shared" si="17"/>
        <v>14900</v>
      </c>
      <c r="K65" s="57"/>
      <c r="L65" s="156" t="s">
        <v>384</v>
      </c>
      <c r="M65" s="52" t="s">
        <v>294</v>
      </c>
      <c r="N65" s="40">
        <v>0</v>
      </c>
      <c r="O65" s="53">
        <f>VLOOKUP(B65,DRAYAGE!$A$1:$C$107,3,FALSE)</f>
        <v>1345</v>
      </c>
      <c r="P65" s="40" t="s">
        <v>301</v>
      </c>
      <c r="S65" s="101">
        <f t="shared" si="18"/>
        <v>9630</v>
      </c>
      <c r="T65" s="54">
        <f t="shared" si="19"/>
        <v>10700</v>
      </c>
      <c r="U65" s="103">
        <f t="shared" si="5"/>
        <v>10700</v>
      </c>
      <c r="V65" s="104">
        <f t="shared" si="20"/>
        <v>13546.2</v>
      </c>
      <c r="X65" s="40">
        <v>0</v>
      </c>
    </row>
    <row r="66" spans="1:29" s="40" customFormat="1" ht="18.75" x14ac:dyDescent="0.25">
      <c r="A66" s="133" t="s">
        <v>273</v>
      </c>
      <c r="B66" s="51" t="s">
        <v>344</v>
      </c>
      <c r="C66" s="94" t="s">
        <v>54</v>
      </c>
      <c r="D66" s="95" t="s">
        <v>383</v>
      </c>
      <c r="E66" s="96" t="s">
        <v>114</v>
      </c>
      <c r="F66" s="97" t="s">
        <v>270</v>
      </c>
      <c r="G66" s="98">
        <f t="shared" si="14"/>
        <v>11830</v>
      </c>
      <c r="H66" s="99">
        <f t="shared" si="15"/>
        <v>13000</v>
      </c>
      <c r="I66" s="99">
        <f t="shared" si="16"/>
        <v>13000</v>
      </c>
      <c r="J66" s="99">
        <f t="shared" si="17"/>
        <v>16100</v>
      </c>
      <c r="K66" s="57"/>
      <c r="L66" s="156" t="s">
        <v>384</v>
      </c>
      <c r="M66" s="52" t="s">
        <v>294</v>
      </c>
      <c r="N66" s="40">
        <v>0</v>
      </c>
      <c r="O66" s="53">
        <f>VLOOKUP(B66,DRAYAGE!$A$1:$C$107,3,FALSE)</f>
        <v>1345</v>
      </c>
      <c r="P66" s="40" t="s">
        <v>301</v>
      </c>
      <c r="S66" s="101">
        <f t="shared" si="18"/>
        <v>10485</v>
      </c>
      <c r="T66" s="54">
        <f t="shared" si="19"/>
        <v>11650</v>
      </c>
      <c r="U66" s="103">
        <f t="shared" si="5"/>
        <v>11650</v>
      </c>
      <c r="V66" s="104">
        <f t="shared" si="20"/>
        <v>14748.9</v>
      </c>
      <c r="X66" s="40">
        <v>0</v>
      </c>
    </row>
    <row r="67" spans="1:29" s="40" customFormat="1" ht="15.75" x14ac:dyDescent="0.25">
      <c r="A67" s="134" t="s">
        <v>389</v>
      </c>
      <c r="B67" s="88"/>
      <c r="C67" s="88"/>
      <c r="D67" s="88"/>
      <c r="E67" s="210"/>
      <c r="F67" s="211"/>
      <c r="G67" s="88"/>
      <c r="H67" s="88"/>
      <c r="I67" s="88"/>
      <c r="J67" s="88"/>
      <c r="K67" s="57"/>
      <c r="L67" s="89" t="s">
        <v>48</v>
      </c>
      <c r="M67" s="89" t="s">
        <v>261</v>
      </c>
      <c r="N67" s="90" t="s">
        <v>51</v>
      </c>
      <c r="O67" s="91" t="s">
        <v>50</v>
      </c>
      <c r="P67" s="91" t="s">
        <v>262</v>
      </c>
      <c r="Q67" s="91" t="s">
        <v>263</v>
      </c>
      <c r="R67" s="92" t="s">
        <v>52</v>
      </c>
      <c r="S67" s="92" t="s">
        <v>52</v>
      </c>
      <c r="T67" s="92" t="s">
        <v>53</v>
      </c>
      <c r="U67" s="92" t="s">
        <v>265</v>
      </c>
      <c r="V67" s="92" t="s">
        <v>266</v>
      </c>
      <c r="W67" s="92" t="s">
        <v>267</v>
      </c>
      <c r="X67" s="92" t="s">
        <v>268</v>
      </c>
      <c r="Y67" s="92" t="s">
        <v>52</v>
      </c>
      <c r="Z67" s="92" t="s">
        <v>53</v>
      </c>
      <c r="AA67" s="92" t="s">
        <v>265</v>
      </c>
      <c r="AB67" s="92" t="s">
        <v>266</v>
      </c>
      <c r="AC67" s="93" t="s">
        <v>269</v>
      </c>
    </row>
    <row r="68" spans="1:29" s="40" customFormat="1" ht="18.75" x14ac:dyDescent="0.25">
      <c r="A68" s="133" t="s">
        <v>55</v>
      </c>
      <c r="B68" s="51" t="s">
        <v>390</v>
      </c>
      <c r="C68" s="94" t="s">
        <v>54</v>
      </c>
      <c r="D68" s="95" t="s">
        <v>383</v>
      </c>
      <c r="E68" s="96" t="s">
        <v>114</v>
      </c>
      <c r="F68" s="97" t="s">
        <v>270</v>
      </c>
      <c r="G68" s="98" t="s">
        <v>402</v>
      </c>
      <c r="H68" s="98" t="s">
        <v>402</v>
      </c>
      <c r="I68" s="98" t="s">
        <v>402</v>
      </c>
      <c r="J68" s="98" t="s">
        <v>402</v>
      </c>
      <c r="K68" s="57"/>
      <c r="L68" s="156" t="s">
        <v>384</v>
      </c>
      <c r="M68" s="52" t="s">
        <v>397</v>
      </c>
      <c r="N68" s="40">
        <v>0</v>
      </c>
      <c r="O68" s="53">
        <f>VLOOKUP(B68,DRAYAGE!$A$1:$C$107,3,FALSE)</f>
        <v>1915</v>
      </c>
      <c r="R68" s="54">
        <v>11000</v>
      </c>
      <c r="S68" s="101">
        <f t="shared" si="18"/>
        <v>13365</v>
      </c>
      <c r="T68" s="54">
        <f>14550+300</f>
        <v>14850</v>
      </c>
      <c r="U68" s="103">
        <f t="shared" ref="U68:U73" si="21">T68</f>
        <v>14850</v>
      </c>
      <c r="V68" s="104">
        <f t="shared" ref="V68:V74" si="22">U68*1.266</f>
        <v>18800.099999999999</v>
      </c>
    </row>
    <row r="69" spans="1:29" s="40" customFormat="1" ht="18.75" x14ac:dyDescent="0.25">
      <c r="A69" s="133" t="s">
        <v>55</v>
      </c>
      <c r="B69" s="51" t="s">
        <v>391</v>
      </c>
      <c r="C69" s="94" t="s">
        <v>54</v>
      </c>
      <c r="D69" s="95" t="s">
        <v>383</v>
      </c>
      <c r="E69" s="96" t="s">
        <v>114</v>
      </c>
      <c r="F69" s="97" t="s">
        <v>270</v>
      </c>
      <c r="G69" s="98" t="s">
        <v>402</v>
      </c>
      <c r="H69" s="98" t="s">
        <v>402</v>
      </c>
      <c r="I69" s="98" t="s">
        <v>402</v>
      </c>
      <c r="J69" s="98" t="s">
        <v>402</v>
      </c>
      <c r="K69" s="57"/>
      <c r="L69" s="156" t="s">
        <v>384</v>
      </c>
      <c r="M69" s="52" t="s">
        <v>398</v>
      </c>
      <c r="N69" s="40">
        <v>0</v>
      </c>
      <c r="O69" s="53">
        <f>VLOOKUP(B69,DRAYAGE!$A$1:$C$107,3,FALSE)</f>
        <v>6620</v>
      </c>
      <c r="R69" s="54">
        <v>11000</v>
      </c>
      <c r="S69" s="101">
        <f t="shared" si="18"/>
        <v>11520</v>
      </c>
      <c r="T69" s="54">
        <f>12500+300</f>
        <v>12800</v>
      </c>
      <c r="U69" s="103">
        <f t="shared" si="21"/>
        <v>12800</v>
      </c>
      <c r="V69" s="104">
        <f t="shared" si="22"/>
        <v>16204.8</v>
      </c>
    </row>
    <row r="70" spans="1:29" s="40" customFormat="1" ht="18.75" x14ac:dyDescent="0.25">
      <c r="A70" s="133" t="s">
        <v>55</v>
      </c>
      <c r="B70" s="51" t="s">
        <v>396</v>
      </c>
      <c r="C70" s="94" t="s">
        <v>54</v>
      </c>
      <c r="D70" s="95" t="s">
        <v>383</v>
      </c>
      <c r="E70" s="96" t="s">
        <v>114</v>
      </c>
      <c r="F70" s="97" t="s">
        <v>270</v>
      </c>
      <c r="G70" s="98" t="s">
        <v>402</v>
      </c>
      <c r="H70" s="98" t="s">
        <v>402</v>
      </c>
      <c r="I70" s="98" t="s">
        <v>402</v>
      </c>
      <c r="J70" s="98" t="s">
        <v>402</v>
      </c>
      <c r="K70" s="57"/>
      <c r="L70" s="156" t="s">
        <v>384</v>
      </c>
      <c r="M70" s="52" t="s">
        <v>399</v>
      </c>
      <c r="N70" s="40">
        <v>0</v>
      </c>
      <c r="O70" s="53">
        <f>VLOOKUP(B70,DRAYAGE!$A$1:$C$107,3,FALSE)</f>
        <v>3320</v>
      </c>
      <c r="R70" s="103">
        <v>11000</v>
      </c>
      <c r="S70" s="101">
        <f t="shared" si="18"/>
        <v>12600</v>
      </c>
      <c r="T70" s="54">
        <f>13550+450</f>
        <v>14000</v>
      </c>
      <c r="U70" s="103">
        <f t="shared" si="21"/>
        <v>14000</v>
      </c>
      <c r="V70" s="104">
        <f t="shared" si="22"/>
        <v>17724</v>
      </c>
    </row>
    <row r="71" spans="1:29" s="40" customFormat="1" ht="18.75" x14ac:dyDescent="0.25">
      <c r="A71" s="133" t="s">
        <v>55</v>
      </c>
      <c r="B71" s="51" t="s">
        <v>392</v>
      </c>
      <c r="C71" s="94" t="s">
        <v>54</v>
      </c>
      <c r="D71" s="95" t="s">
        <v>383</v>
      </c>
      <c r="E71" s="96" t="s">
        <v>114</v>
      </c>
      <c r="F71" s="97" t="s">
        <v>270</v>
      </c>
      <c r="G71" s="98" t="s">
        <v>402</v>
      </c>
      <c r="H71" s="98" t="s">
        <v>402</v>
      </c>
      <c r="I71" s="98" t="s">
        <v>402</v>
      </c>
      <c r="J71" s="98" t="s">
        <v>402</v>
      </c>
      <c r="K71" s="57"/>
      <c r="L71" s="156" t="s">
        <v>384</v>
      </c>
      <c r="M71" s="52" t="s">
        <v>398</v>
      </c>
      <c r="N71" s="40">
        <v>0</v>
      </c>
      <c r="O71" s="53">
        <f>VLOOKUP(B71,DRAYAGE!$A$1:$C$107,3,FALSE)</f>
        <v>4155</v>
      </c>
      <c r="R71" s="103">
        <v>11000</v>
      </c>
      <c r="S71" s="101">
        <f t="shared" si="18"/>
        <v>11520</v>
      </c>
      <c r="T71" s="54">
        <f>T69</f>
        <v>12800</v>
      </c>
      <c r="U71" s="103">
        <f t="shared" si="21"/>
        <v>12800</v>
      </c>
      <c r="V71" s="104">
        <f t="shared" si="22"/>
        <v>16204.8</v>
      </c>
    </row>
    <row r="72" spans="1:29" s="40" customFormat="1" ht="18.75" x14ac:dyDescent="0.25">
      <c r="A72" s="133" t="s">
        <v>55</v>
      </c>
      <c r="B72" s="51" t="s">
        <v>395</v>
      </c>
      <c r="C72" s="94" t="s">
        <v>54</v>
      </c>
      <c r="D72" s="95" t="s">
        <v>383</v>
      </c>
      <c r="E72" s="96" t="s">
        <v>114</v>
      </c>
      <c r="F72" s="97" t="s">
        <v>270</v>
      </c>
      <c r="G72" s="98" t="s">
        <v>402</v>
      </c>
      <c r="H72" s="98" t="s">
        <v>402</v>
      </c>
      <c r="I72" s="98" t="s">
        <v>402</v>
      </c>
      <c r="J72" s="98" t="s">
        <v>402</v>
      </c>
      <c r="K72" s="57"/>
      <c r="L72" s="156" t="s">
        <v>384</v>
      </c>
      <c r="M72" s="52" t="s">
        <v>400</v>
      </c>
      <c r="N72" s="40">
        <v>0</v>
      </c>
      <c r="O72" s="53">
        <f>VLOOKUP(B72,DRAYAGE!$A$1:$C$107,3,FALSE)</f>
        <v>2280</v>
      </c>
      <c r="R72" s="54">
        <v>11000</v>
      </c>
      <c r="S72" s="101">
        <f t="shared" si="18"/>
        <v>12510</v>
      </c>
      <c r="T72" s="54">
        <f>13500+400</f>
        <v>13900</v>
      </c>
      <c r="U72" s="103">
        <f t="shared" si="21"/>
        <v>13900</v>
      </c>
      <c r="V72" s="104">
        <f t="shared" si="22"/>
        <v>17597.400000000001</v>
      </c>
    </row>
    <row r="73" spans="1:29" s="40" customFormat="1" ht="18.75" x14ac:dyDescent="0.25">
      <c r="A73" s="133" t="s">
        <v>55</v>
      </c>
      <c r="B73" s="51" t="s">
        <v>393</v>
      </c>
      <c r="C73" s="94" t="s">
        <v>54</v>
      </c>
      <c r="D73" s="95" t="s">
        <v>383</v>
      </c>
      <c r="E73" s="96" t="s">
        <v>114</v>
      </c>
      <c r="F73" s="97" t="s">
        <v>270</v>
      </c>
      <c r="G73" s="98" t="s">
        <v>402</v>
      </c>
      <c r="H73" s="98" t="s">
        <v>402</v>
      </c>
      <c r="I73" s="98" t="s">
        <v>402</v>
      </c>
      <c r="J73" s="98" t="s">
        <v>402</v>
      </c>
      <c r="K73" s="57"/>
      <c r="L73" s="156" t="s">
        <v>384</v>
      </c>
      <c r="M73" s="52" t="s">
        <v>398</v>
      </c>
      <c r="N73" s="40">
        <v>0</v>
      </c>
      <c r="O73" s="53">
        <f>VLOOKUP(B73,DRAYAGE!$A$1:$C$107,3,FALSE)</f>
        <v>2805</v>
      </c>
      <c r="R73" s="54">
        <v>11000</v>
      </c>
      <c r="S73" s="101">
        <f t="shared" si="18"/>
        <v>11520</v>
      </c>
      <c r="T73" s="54">
        <f>T69</f>
        <v>12800</v>
      </c>
      <c r="U73" s="103">
        <f t="shared" si="21"/>
        <v>12800</v>
      </c>
      <c r="V73" s="104">
        <f t="shared" si="22"/>
        <v>16204.8</v>
      </c>
    </row>
    <row r="74" spans="1:29" s="40" customFormat="1" ht="18.75" x14ac:dyDescent="0.25">
      <c r="A74" s="133" t="s">
        <v>55</v>
      </c>
      <c r="B74" s="51" t="s">
        <v>394</v>
      </c>
      <c r="C74" s="94" t="s">
        <v>54</v>
      </c>
      <c r="D74" s="95" t="s">
        <v>383</v>
      </c>
      <c r="E74" s="96" t="s">
        <v>114</v>
      </c>
      <c r="F74" s="97" t="s">
        <v>270</v>
      </c>
      <c r="G74" s="98" t="s">
        <v>402</v>
      </c>
      <c r="H74" s="98" t="s">
        <v>402</v>
      </c>
      <c r="I74" s="98" t="s">
        <v>402</v>
      </c>
      <c r="J74" s="98" t="s">
        <v>402</v>
      </c>
      <c r="K74" s="57"/>
      <c r="L74" s="156" t="s">
        <v>384</v>
      </c>
      <c r="M74" s="52" t="s">
        <v>401</v>
      </c>
      <c r="N74" s="40">
        <v>0</v>
      </c>
      <c r="O74" s="53">
        <f>VLOOKUP(B74,DRAYAGE!$A$1:$C$107,3,FALSE)</f>
        <v>1785</v>
      </c>
      <c r="R74" s="101">
        <v>9900</v>
      </c>
      <c r="S74" s="101">
        <f t="shared" si="18"/>
        <v>11925</v>
      </c>
      <c r="T74" s="54">
        <f>12850+400</f>
        <v>13250</v>
      </c>
      <c r="U74" s="103">
        <f>T74</f>
        <v>13250</v>
      </c>
      <c r="V74" s="104">
        <f t="shared" si="22"/>
        <v>16774.5</v>
      </c>
    </row>
    <row r="75" spans="1:29" s="40" customFormat="1" ht="14.45" customHeight="1" x14ac:dyDescent="0.25">
      <c r="A75" s="212" t="s">
        <v>271</v>
      </c>
      <c r="B75" s="212"/>
      <c r="C75" s="212"/>
      <c r="D75" s="212"/>
      <c r="E75" s="212"/>
      <c r="F75" s="212"/>
      <c r="G75" s="212"/>
      <c r="H75" s="212"/>
      <c r="I75" s="212"/>
      <c r="J75" s="212"/>
      <c r="K75" s="57"/>
      <c r="L75" s="100"/>
      <c r="M75" s="100"/>
      <c r="S75" s="37"/>
      <c r="T75" s="37"/>
      <c r="U75" s="37"/>
      <c r="V75" s="37"/>
      <c r="W75" s="37"/>
    </row>
    <row r="76" spans="1:29" s="32" customFormat="1" ht="12.75" x14ac:dyDescent="0.2">
      <c r="A76" s="31"/>
      <c r="B76" s="33"/>
      <c r="C76" s="33"/>
      <c r="D76" s="33"/>
      <c r="E76" s="33"/>
      <c r="F76" s="34"/>
      <c r="G76" s="34"/>
      <c r="H76" s="34"/>
      <c r="I76" s="34"/>
      <c r="J76" s="34"/>
      <c r="K76" s="57"/>
      <c r="L76" s="27"/>
      <c r="M76" s="27"/>
      <c r="N76" s="30"/>
      <c r="O76" s="30"/>
      <c r="P76" s="30"/>
      <c r="Q76" s="30"/>
      <c r="R76" s="30"/>
      <c r="S76" s="37"/>
      <c r="T76" s="37"/>
      <c r="U76" s="37"/>
      <c r="V76" s="37"/>
      <c r="W76" s="37"/>
    </row>
    <row r="77" spans="1:29" s="37" customFormat="1" ht="14.45" customHeight="1" x14ac:dyDescent="0.25">
      <c r="A77" s="180" t="s">
        <v>111</v>
      </c>
      <c r="B77" s="180"/>
      <c r="C77" s="180"/>
      <c r="D77" s="180"/>
      <c r="E77" s="180"/>
      <c r="F77" s="180"/>
      <c r="G77" s="180"/>
      <c r="H77" s="180"/>
      <c r="I77" s="180"/>
      <c r="J77" s="180"/>
      <c r="K77" s="57"/>
    </row>
    <row r="78" spans="1:29" s="37" customFormat="1" ht="14.45" customHeight="1" x14ac:dyDescent="0.25">
      <c r="A78" s="208" t="s">
        <v>112</v>
      </c>
      <c r="B78" s="208"/>
      <c r="C78" s="208"/>
      <c r="D78" s="208"/>
      <c r="E78" s="208"/>
      <c r="F78" s="208"/>
      <c r="G78" s="208"/>
      <c r="H78" s="208"/>
      <c r="I78" s="208"/>
      <c r="J78" s="208"/>
      <c r="K78" s="57"/>
    </row>
    <row r="79" spans="1:29" s="37" customFormat="1" ht="14.45" customHeight="1" x14ac:dyDescent="0.25">
      <c r="A79" s="186" t="s">
        <v>67</v>
      </c>
      <c r="B79" s="186"/>
      <c r="C79" s="186"/>
      <c r="D79" s="186"/>
      <c r="E79" s="186" t="s">
        <v>68</v>
      </c>
      <c r="F79" s="186"/>
      <c r="G79" s="186"/>
      <c r="H79" s="186"/>
      <c r="I79" s="186"/>
      <c r="J79" s="186"/>
      <c r="K79" s="57"/>
      <c r="L79" s="209" t="s">
        <v>113</v>
      </c>
      <c r="M79" s="209"/>
      <c r="N79" s="209"/>
      <c r="O79" s="209"/>
      <c r="P79" s="209"/>
      <c r="Q79" s="209"/>
    </row>
    <row r="80" spans="1:29" s="37" customFormat="1" ht="14.45" customHeight="1" x14ac:dyDescent="0.25">
      <c r="A80" s="196" t="s">
        <v>69</v>
      </c>
      <c r="B80" s="196"/>
      <c r="C80" s="196"/>
      <c r="D80" s="196"/>
      <c r="E80" s="58" t="s">
        <v>114</v>
      </c>
      <c r="F80" s="196" t="s">
        <v>70</v>
      </c>
      <c r="G80" s="196"/>
      <c r="H80" s="196"/>
      <c r="I80" s="196"/>
      <c r="J80" s="196"/>
      <c r="K80" s="57"/>
      <c r="L80" s="197" t="s">
        <v>115</v>
      </c>
      <c r="M80" s="197"/>
      <c r="N80" s="197"/>
      <c r="O80" s="197"/>
      <c r="P80" s="197"/>
      <c r="Q80" s="197"/>
    </row>
    <row r="81" spans="1:17" s="37" customFormat="1" ht="14.45" customHeight="1" x14ac:dyDescent="0.25">
      <c r="A81" s="196" t="s">
        <v>71</v>
      </c>
      <c r="B81" s="196"/>
      <c r="C81" s="196"/>
      <c r="D81" s="201"/>
      <c r="E81" s="58" t="s">
        <v>114</v>
      </c>
      <c r="F81" s="196" t="s">
        <v>116</v>
      </c>
      <c r="G81" s="196"/>
      <c r="H81" s="196"/>
      <c r="I81" s="196"/>
      <c r="J81" s="196"/>
      <c r="K81" s="57"/>
      <c r="L81" s="197"/>
      <c r="M81" s="197"/>
      <c r="N81" s="197"/>
      <c r="O81" s="197"/>
      <c r="P81" s="197"/>
      <c r="Q81" s="197"/>
    </row>
    <row r="82" spans="1:17" s="37" customFormat="1" ht="18" customHeight="1" x14ac:dyDescent="0.25">
      <c r="A82" s="196" t="s">
        <v>117</v>
      </c>
      <c r="B82" s="196"/>
      <c r="C82" s="196"/>
      <c r="D82" s="201"/>
      <c r="E82" s="58" t="s">
        <v>114</v>
      </c>
      <c r="F82" s="196" t="s">
        <v>306</v>
      </c>
      <c r="G82" s="196"/>
      <c r="H82" s="196"/>
      <c r="I82" s="196"/>
      <c r="J82" s="196"/>
      <c r="K82" s="57"/>
      <c r="L82" s="59" t="s">
        <v>118</v>
      </c>
      <c r="M82" s="129"/>
      <c r="N82" s="129"/>
      <c r="O82" s="129"/>
      <c r="P82" s="129"/>
      <c r="Q82" s="129"/>
    </row>
    <row r="83" spans="1:17" s="37" customFormat="1" ht="32.65" customHeight="1" x14ac:dyDescent="0.25">
      <c r="A83" s="202" t="s">
        <v>388</v>
      </c>
      <c r="B83" s="202"/>
      <c r="C83" s="202"/>
      <c r="D83" s="203"/>
      <c r="E83" s="131" t="s">
        <v>114</v>
      </c>
      <c r="F83" s="185" t="s">
        <v>381</v>
      </c>
      <c r="G83" s="185"/>
      <c r="H83" s="185"/>
      <c r="I83" s="185"/>
      <c r="J83" s="185"/>
      <c r="K83" s="57"/>
      <c r="L83" s="59" t="s">
        <v>118</v>
      </c>
      <c r="M83" s="129"/>
      <c r="N83" s="129"/>
      <c r="O83" s="129"/>
      <c r="P83" s="129"/>
      <c r="Q83" s="129"/>
    </row>
    <row r="84" spans="1:17" s="37" customFormat="1" ht="36.950000000000003" customHeight="1" x14ac:dyDescent="0.25">
      <c r="A84" s="196" t="s">
        <v>367</v>
      </c>
      <c r="B84" s="196"/>
      <c r="C84" s="196"/>
      <c r="D84" s="201"/>
      <c r="E84" s="58" t="s">
        <v>114</v>
      </c>
      <c r="F84" s="185" t="s">
        <v>368</v>
      </c>
      <c r="G84" s="185"/>
      <c r="H84" s="185"/>
      <c r="I84" s="185"/>
      <c r="J84" s="185"/>
      <c r="K84" s="57"/>
      <c r="L84" s="59" t="s">
        <v>118</v>
      </c>
      <c r="M84" s="129"/>
      <c r="N84" s="129"/>
      <c r="O84" s="129"/>
      <c r="P84" s="129"/>
      <c r="Q84" s="129"/>
    </row>
    <row r="85" spans="1:17" s="37" customFormat="1" ht="40.5" customHeight="1" x14ac:dyDescent="0.25">
      <c r="A85" s="229" t="s">
        <v>309</v>
      </c>
      <c r="B85" s="229"/>
      <c r="C85" s="229"/>
      <c r="D85" s="198"/>
      <c r="E85" s="131" t="s">
        <v>114</v>
      </c>
      <c r="F85" s="229" t="s">
        <v>310</v>
      </c>
      <c r="G85" s="229"/>
      <c r="H85" s="229"/>
      <c r="I85" s="229"/>
      <c r="J85" s="229"/>
      <c r="K85" s="132"/>
      <c r="L85" s="59" t="s">
        <v>118</v>
      </c>
      <c r="M85" s="129"/>
      <c r="N85" s="129"/>
      <c r="O85" s="129"/>
      <c r="P85" s="129"/>
      <c r="Q85" s="129"/>
    </row>
    <row r="86" spans="1:17" s="37" customFormat="1" ht="14.45" customHeight="1" x14ac:dyDescent="0.25">
      <c r="A86" s="196" t="s">
        <v>119</v>
      </c>
      <c r="B86" s="196"/>
      <c r="C86" s="196"/>
      <c r="D86" s="196"/>
      <c r="E86" s="58" t="s">
        <v>114</v>
      </c>
      <c r="F86" s="196" t="s">
        <v>120</v>
      </c>
      <c r="G86" s="196"/>
      <c r="H86" s="196"/>
      <c r="I86" s="196"/>
      <c r="J86" s="196"/>
      <c r="K86" s="132"/>
      <c r="L86" s="197" t="s">
        <v>121</v>
      </c>
      <c r="M86" s="197"/>
      <c r="N86" s="197"/>
      <c r="O86" s="197"/>
      <c r="P86" s="197"/>
      <c r="Q86" s="197"/>
    </row>
    <row r="87" spans="1:17" s="37" customFormat="1" ht="14.45" customHeight="1" x14ac:dyDescent="0.25">
      <c r="A87" s="196" t="s">
        <v>122</v>
      </c>
      <c r="B87" s="196"/>
      <c r="C87" s="196"/>
      <c r="D87" s="196"/>
      <c r="E87" s="58" t="s">
        <v>114</v>
      </c>
      <c r="F87" s="196" t="s">
        <v>123</v>
      </c>
      <c r="G87" s="196"/>
      <c r="H87" s="196"/>
      <c r="I87" s="196"/>
      <c r="J87" s="196"/>
      <c r="K87" s="132"/>
      <c r="L87" s="197"/>
      <c r="M87" s="197"/>
      <c r="N87" s="197"/>
      <c r="O87" s="197"/>
      <c r="P87" s="197"/>
      <c r="Q87" s="197"/>
    </row>
    <row r="88" spans="1:17" s="37" customFormat="1" ht="14.45" customHeight="1" x14ac:dyDescent="0.25">
      <c r="A88" s="196" t="s">
        <v>277</v>
      </c>
      <c r="B88" s="196"/>
      <c r="C88" s="196"/>
      <c r="D88" s="196"/>
      <c r="E88" s="58" t="s">
        <v>114</v>
      </c>
      <c r="F88" s="196" t="s">
        <v>278</v>
      </c>
      <c r="G88" s="196"/>
      <c r="H88" s="196"/>
      <c r="I88" s="196"/>
      <c r="J88" s="196"/>
      <c r="K88" s="132"/>
      <c r="L88" s="197"/>
      <c r="M88" s="197"/>
      <c r="N88" s="197"/>
      <c r="O88" s="197"/>
      <c r="P88" s="197"/>
      <c r="Q88" s="197"/>
    </row>
    <row r="89" spans="1:17" s="37" customFormat="1" ht="14.45" customHeight="1" x14ac:dyDescent="0.25">
      <c r="A89" s="196" t="s">
        <v>124</v>
      </c>
      <c r="B89" s="196"/>
      <c r="C89" s="196"/>
      <c r="D89" s="196"/>
      <c r="E89" s="58" t="s">
        <v>114</v>
      </c>
      <c r="F89" s="196" t="s">
        <v>125</v>
      </c>
      <c r="G89" s="196"/>
      <c r="H89" s="196"/>
      <c r="I89" s="196"/>
      <c r="J89" s="196"/>
      <c r="K89" s="132"/>
      <c r="L89" s="197"/>
      <c r="M89" s="197"/>
      <c r="N89" s="197"/>
      <c r="O89" s="197"/>
      <c r="P89" s="197"/>
      <c r="Q89" s="197"/>
    </row>
    <row r="90" spans="1:17" s="37" customFormat="1" ht="18.95" customHeight="1" x14ac:dyDescent="0.25">
      <c r="A90" s="196" t="s">
        <v>126</v>
      </c>
      <c r="B90" s="196"/>
      <c r="C90" s="196"/>
      <c r="D90" s="201"/>
      <c r="E90" s="58" t="s">
        <v>127</v>
      </c>
      <c r="F90" s="128" t="s">
        <v>128</v>
      </c>
      <c r="G90" s="185" t="s">
        <v>386</v>
      </c>
      <c r="H90" s="185"/>
      <c r="I90" s="185"/>
      <c r="J90" s="185"/>
      <c r="K90" s="132"/>
      <c r="L90" s="197" t="s">
        <v>130</v>
      </c>
      <c r="M90" s="197"/>
      <c r="N90" s="197"/>
      <c r="O90" s="197"/>
      <c r="P90" s="197"/>
      <c r="Q90" s="197"/>
    </row>
    <row r="91" spans="1:17" s="37" customFormat="1" ht="24.95" customHeight="1" x14ac:dyDescent="0.25">
      <c r="A91" s="196" t="s">
        <v>126</v>
      </c>
      <c r="B91" s="196"/>
      <c r="C91" s="196"/>
      <c r="D91" s="196"/>
      <c r="E91" s="58" t="s">
        <v>127</v>
      </c>
      <c r="F91" s="128" t="s">
        <v>131</v>
      </c>
      <c r="G91" s="185" t="s">
        <v>374</v>
      </c>
      <c r="H91" s="185"/>
      <c r="I91" s="185"/>
      <c r="J91" s="185"/>
      <c r="K91" s="132"/>
      <c r="L91" s="197" t="s">
        <v>130</v>
      </c>
      <c r="M91" s="197"/>
      <c r="N91" s="197"/>
      <c r="O91" s="197"/>
      <c r="P91" s="197"/>
      <c r="Q91" s="197"/>
    </row>
    <row r="92" spans="1:17" s="37" customFormat="1" ht="24.95" customHeight="1" x14ac:dyDescent="0.25">
      <c r="A92" s="196" t="s">
        <v>372</v>
      </c>
      <c r="B92" s="196"/>
      <c r="C92" s="196"/>
      <c r="D92" s="196"/>
      <c r="E92" s="58" t="s">
        <v>127</v>
      </c>
      <c r="F92" s="128" t="s">
        <v>131</v>
      </c>
      <c r="G92" s="185" t="s">
        <v>385</v>
      </c>
      <c r="H92" s="185"/>
      <c r="I92" s="185"/>
      <c r="J92" s="185"/>
      <c r="K92" s="132"/>
      <c r="L92" s="197" t="s">
        <v>130</v>
      </c>
      <c r="M92" s="197"/>
      <c r="N92" s="197"/>
      <c r="O92" s="197"/>
      <c r="P92" s="197"/>
      <c r="Q92" s="197"/>
    </row>
    <row r="93" spans="1:17" s="37" customFormat="1" ht="37.5" customHeight="1" x14ac:dyDescent="0.25">
      <c r="A93" s="198" t="s">
        <v>311</v>
      </c>
      <c r="B93" s="199"/>
      <c r="C93" s="199"/>
      <c r="D93" s="200"/>
      <c r="E93" s="198" t="s">
        <v>312</v>
      </c>
      <c r="F93" s="199"/>
      <c r="G93" s="199"/>
      <c r="H93" s="199"/>
      <c r="I93" s="199"/>
      <c r="J93" s="200"/>
      <c r="K93" s="132"/>
      <c r="L93" s="197"/>
      <c r="M93" s="197"/>
      <c r="N93" s="197"/>
      <c r="O93" s="197"/>
      <c r="P93" s="197"/>
      <c r="Q93" s="197"/>
    </row>
    <row r="94" spans="1:17" s="37" customFormat="1" ht="14.45" customHeight="1" x14ac:dyDescent="0.25">
      <c r="A94" s="180" t="s">
        <v>133</v>
      </c>
      <c r="B94" s="180"/>
      <c r="C94" s="180"/>
      <c r="D94" s="180"/>
      <c r="E94" s="180"/>
      <c r="F94" s="180"/>
      <c r="G94" s="180"/>
      <c r="H94" s="180"/>
      <c r="I94" s="180"/>
      <c r="J94" s="180"/>
      <c r="K94" s="57"/>
      <c r="L94" s="129"/>
      <c r="M94" s="129"/>
    </row>
    <row r="95" spans="1:17" s="37" customFormat="1" ht="14.45" customHeight="1" x14ac:dyDescent="0.2">
      <c r="A95" s="60" t="s">
        <v>134</v>
      </c>
      <c r="B95" s="60" t="s">
        <v>135</v>
      </c>
      <c r="C95" s="60" t="s">
        <v>136</v>
      </c>
      <c r="D95" s="193" t="s">
        <v>137</v>
      </c>
      <c r="E95" s="194"/>
      <c r="F95" s="195"/>
      <c r="G95" s="61" t="s">
        <v>138</v>
      </c>
      <c r="H95" s="60" t="s">
        <v>139</v>
      </c>
      <c r="I95" s="61" t="s">
        <v>140</v>
      </c>
      <c r="J95" s="61" t="s">
        <v>141</v>
      </c>
      <c r="K95" s="57"/>
      <c r="L95" s="129"/>
      <c r="M95" s="129"/>
    </row>
    <row r="96" spans="1:17" s="37" customFormat="1" ht="14.45" customHeight="1" x14ac:dyDescent="0.2">
      <c r="A96" s="62" t="s">
        <v>142</v>
      </c>
      <c r="B96" s="62" t="s">
        <v>49</v>
      </c>
      <c r="C96" s="62" t="s">
        <v>143</v>
      </c>
      <c r="D96" s="187" t="s">
        <v>144</v>
      </c>
      <c r="E96" s="188"/>
      <c r="F96" s="189"/>
      <c r="G96" s="63">
        <v>50</v>
      </c>
      <c r="H96" s="62" t="s">
        <v>145</v>
      </c>
      <c r="I96" s="63">
        <v>150</v>
      </c>
      <c r="J96" s="63" t="s">
        <v>110</v>
      </c>
      <c r="K96" s="57"/>
      <c r="L96" s="129"/>
      <c r="M96" s="129"/>
    </row>
    <row r="97" spans="1:13" s="37" customFormat="1" ht="14.45" hidden="1" customHeight="1" x14ac:dyDescent="0.2">
      <c r="A97" s="62" t="s">
        <v>142</v>
      </c>
      <c r="B97" s="62" t="s">
        <v>146</v>
      </c>
      <c r="C97" s="62" t="s">
        <v>147</v>
      </c>
      <c r="D97" s="187" t="s">
        <v>148</v>
      </c>
      <c r="E97" s="188"/>
      <c r="F97" s="189"/>
      <c r="G97" s="63">
        <v>3</v>
      </c>
      <c r="H97" s="62" t="s">
        <v>149</v>
      </c>
      <c r="I97" s="63">
        <v>3</v>
      </c>
      <c r="J97" s="63" t="s">
        <v>110</v>
      </c>
      <c r="K97" s="57"/>
      <c r="L97" s="129"/>
      <c r="M97" s="129"/>
    </row>
    <row r="98" spans="1:13" s="37" customFormat="1" ht="14.45" hidden="1" customHeight="1" x14ac:dyDescent="0.2">
      <c r="A98" s="62" t="s">
        <v>150</v>
      </c>
      <c r="B98" s="62" t="s">
        <v>146</v>
      </c>
      <c r="C98" s="62" t="s">
        <v>147</v>
      </c>
      <c r="D98" s="187" t="s">
        <v>151</v>
      </c>
      <c r="E98" s="188"/>
      <c r="F98" s="189"/>
      <c r="G98" s="63">
        <v>3</v>
      </c>
      <c r="H98" s="62" t="s">
        <v>152</v>
      </c>
      <c r="I98" s="63">
        <v>3</v>
      </c>
      <c r="J98" s="63" t="s">
        <v>110</v>
      </c>
      <c r="K98" s="57"/>
      <c r="L98" s="129"/>
      <c r="M98" s="129"/>
    </row>
    <row r="99" spans="1:13" s="37" customFormat="1" ht="14.45" customHeight="1" x14ac:dyDescent="0.2">
      <c r="A99" s="62" t="s">
        <v>173</v>
      </c>
      <c r="B99" s="62" t="s">
        <v>49</v>
      </c>
      <c r="C99" s="62" t="s">
        <v>143</v>
      </c>
      <c r="D99" s="187" t="s">
        <v>313</v>
      </c>
      <c r="E99" s="188"/>
      <c r="F99" s="189"/>
      <c r="G99" s="66">
        <v>75</v>
      </c>
      <c r="H99" s="62" t="s">
        <v>145</v>
      </c>
      <c r="I99" s="66">
        <f>75*3</f>
        <v>225</v>
      </c>
      <c r="J99" s="66" t="s">
        <v>314</v>
      </c>
      <c r="K99" s="132"/>
      <c r="L99" s="129"/>
      <c r="M99" s="129"/>
    </row>
    <row r="100" spans="1:13" s="37" customFormat="1" ht="14.45" customHeight="1" x14ac:dyDescent="0.2">
      <c r="A100" s="62" t="s">
        <v>142</v>
      </c>
      <c r="B100" s="62" t="s">
        <v>49</v>
      </c>
      <c r="C100" s="62" t="s">
        <v>143</v>
      </c>
      <c r="D100" s="187" t="s">
        <v>279</v>
      </c>
      <c r="E100" s="188"/>
      <c r="F100" s="189"/>
      <c r="G100" s="63">
        <v>150</v>
      </c>
      <c r="H100" s="62" t="s">
        <v>280</v>
      </c>
      <c r="I100" s="63" t="s">
        <v>153</v>
      </c>
      <c r="J100" s="63" t="s">
        <v>110</v>
      </c>
      <c r="K100" s="57"/>
      <c r="L100" s="129"/>
      <c r="M100" s="129"/>
    </row>
    <row r="101" spans="1:13" s="37" customFormat="1" ht="14.45" customHeight="1" x14ac:dyDescent="0.2">
      <c r="A101" s="62" t="s">
        <v>154</v>
      </c>
      <c r="B101" s="62" t="s">
        <v>49</v>
      </c>
      <c r="C101" s="62" t="s">
        <v>143</v>
      </c>
      <c r="D101" s="187" t="s">
        <v>155</v>
      </c>
      <c r="E101" s="188"/>
      <c r="F101" s="189"/>
      <c r="G101" s="63">
        <v>250</v>
      </c>
      <c r="H101" s="62" t="s">
        <v>49</v>
      </c>
      <c r="I101" s="63" t="s">
        <v>153</v>
      </c>
      <c r="J101" s="63" t="s">
        <v>110</v>
      </c>
      <c r="K101" s="57"/>
      <c r="L101" s="129"/>
      <c r="M101" s="129"/>
    </row>
    <row r="102" spans="1:13" s="37" customFormat="1" ht="14.45" customHeight="1" x14ac:dyDescent="0.2">
      <c r="A102" s="65" t="s">
        <v>156</v>
      </c>
      <c r="B102" s="65" t="s">
        <v>49</v>
      </c>
      <c r="C102" s="65" t="s">
        <v>143</v>
      </c>
      <c r="D102" s="187" t="s">
        <v>157</v>
      </c>
      <c r="E102" s="188"/>
      <c r="F102" s="189"/>
      <c r="G102" s="63">
        <v>250</v>
      </c>
      <c r="H102" s="62" t="s">
        <v>49</v>
      </c>
      <c r="I102" s="63" t="s">
        <v>153</v>
      </c>
      <c r="J102" s="63" t="s">
        <v>110</v>
      </c>
      <c r="K102" s="57"/>
      <c r="L102" s="129"/>
      <c r="M102" s="129"/>
    </row>
    <row r="103" spans="1:13" s="37" customFormat="1" ht="14.45" customHeight="1" x14ac:dyDescent="0.2">
      <c r="A103" s="62" t="s">
        <v>142</v>
      </c>
      <c r="B103" s="62" t="s">
        <v>49</v>
      </c>
      <c r="C103" s="62" t="s">
        <v>143</v>
      </c>
      <c r="D103" s="187" t="s">
        <v>281</v>
      </c>
      <c r="E103" s="188"/>
      <c r="F103" s="189"/>
      <c r="G103" s="63">
        <v>200</v>
      </c>
      <c r="H103" s="62" t="s">
        <v>280</v>
      </c>
      <c r="I103" s="63" t="s">
        <v>153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2" t="s">
        <v>142</v>
      </c>
      <c r="B104" s="62" t="s">
        <v>49</v>
      </c>
      <c r="C104" s="62" t="s">
        <v>143</v>
      </c>
      <c r="D104" s="187" t="s">
        <v>158</v>
      </c>
      <c r="E104" s="188"/>
      <c r="F104" s="189"/>
      <c r="G104" s="66">
        <v>150</v>
      </c>
      <c r="H104" s="62" t="s">
        <v>49</v>
      </c>
      <c r="I104" s="66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150</v>
      </c>
      <c r="B105" s="67" t="s">
        <v>49</v>
      </c>
      <c r="C105" s="62" t="s">
        <v>143</v>
      </c>
      <c r="D105" s="187" t="s">
        <v>159</v>
      </c>
      <c r="E105" s="188"/>
      <c r="F105" s="189"/>
      <c r="G105" s="68">
        <v>180</v>
      </c>
      <c r="H105" s="67" t="s">
        <v>49</v>
      </c>
      <c r="I105" s="68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160</v>
      </c>
      <c r="B106" s="67" t="s">
        <v>49</v>
      </c>
      <c r="C106" s="62" t="s">
        <v>143</v>
      </c>
      <c r="D106" s="187" t="s">
        <v>161</v>
      </c>
      <c r="E106" s="188"/>
      <c r="F106" s="189"/>
      <c r="G106" s="69">
        <v>47.9</v>
      </c>
      <c r="H106" s="67" t="s">
        <v>24</v>
      </c>
      <c r="I106" s="69">
        <v>47.9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160</v>
      </c>
      <c r="B107" s="67" t="s">
        <v>49</v>
      </c>
      <c r="C107" s="62" t="s">
        <v>143</v>
      </c>
      <c r="D107" s="187" t="s">
        <v>161</v>
      </c>
      <c r="E107" s="188"/>
      <c r="F107" s="189"/>
      <c r="G107" s="69">
        <v>65.400000000000006</v>
      </c>
      <c r="H107" s="67" t="s">
        <v>162</v>
      </c>
      <c r="I107" s="69">
        <v>65.400000000000006</v>
      </c>
      <c r="J107" s="63" t="s">
        <v>110</v>
      </c>
      <c r="K107" s="57"/>
      <c r="L107" s="129"/>
      <c r="M107" s="129"/>
    </row>
    <row r="108" spans="1:13" s="37" customFormat="1" ht="14.1" customHeight="1" x14ac:dyDescent="0.2">
      <c r="A108" s="62" t="s">
        <v>163</v>
      </c>
      <c r="B108" s="67" t="s">
        <v>49</v>
      </c>
      <c r="C108" s="62" t="s">
        <v>143</v>
      </c>
      <c r="D108" s="187" t="s">
        <v>164</v>
      </c>
      <c r="E108" s="188"/>
      <c r="F108" s="189"/>
      <c r="G108" s="69">
        <v>48</v>
      </c>
      <c r="H108" s="67" t="s">
        <v>49</v>
      </c>
      <c r="I108" s="69">
        <v>48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163</v>
      </c>
      <c r="B109" s="67" t="s">
        <v>49</v>
      </c>
      <c r="C109" s="62" t="s">
        <v>143</v>
      </c>
      <c r="D109" s="187" t="s">
        <v>165</v>
      </c>
      <c r="E109" s="188"/>
      <c r="F109" s="189"/>
      <c r="G109" s="69">
        <v>18</v>
      </c>
      <c r="H109" s="67" t="s">
        <v>49</v>
      </c>
      <c r="I109" s="69">
        <v>18</v>
      </c>
      <c r="J109" s="63" t="s">
        <v>110</v>
      </c>
      <c r="K109" s="57"/>
      <c r="L109" s="129"/>
      <c r="M109" s="129"/>
    </row>
    <row r="110" spans="1:13" s="37" customFormat="1" ht="14.45" customHeight="1" x14ac:dyDescent="0.2">
      <c r="A110" s="62" t="s">
        <v>163</v>
      </c>
      <c r="B110" s="67" t="s">
        <v>49</v>
      </c>
      <c r="C110" s="62" t="s">
        <v>143</v>
      </c>
      <c r="D110" s="187" t="s">
        <v>166</v>
      </c>
      <c r="E110" s="188"/>
      <c r="F110" s="189"/>
      <c r="G110" s="69">
        <v>42</v>
      </c>
      <c r="H110" s="67" t="s">
        <v>49</v>
      </c>
      <c r="I110" s="69">
        <v>42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167</v>
      </c>
      <c r="B111" s="62" t="s">
        <v>49</v>
      </c>
      <c r="C111" s="62" t="s">
        <v>143</v>
      </c>
      <c r="D111" s="187" t="s">
        <v>168</v>
      </c>
      <c r="E111" s="188"/>
      <c r="F111" s="189"/>
      <c r="G111" s="66">
        <v>54</v>
      </c>
      <c r="H111" s="62" t="s">
        <v>49</v>
      </c>
      <c r="I111" s="66">
        <v>54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7" t="s">
        <v>169</v>
      </c>
      <c r="B112" s="67" t="s">
        <v>49</v>
      </c>
      <c r="C112" s="67" t="s">
        <v>147</v>
      </c>
      <c r="D112" s="187" t="s">
        <v>170</v>
      </c>
      <c r="E112" s="188"/>
      <c r="F112" s="189"/>
      <c r="G112" s="70">
        <v>35</v>
      </c>
      <c r="H112" s="70" t="s">
        <v>280</v>
      </c>
      <c r="I112" s="70">
        <v>35</v>
      </c>
      <c r="J112" s="63" t="s">
        <v>110</v>
      </c>
      <c r="K112" s="57"/>
      <c r="L112" s="129"/>
      <c r="M112" s="129"/>
    </row>
    <row r="113" spans="1:13" s="37" customFormat="1" ht="14.45" customHeight="1" x14ac:dyDescent="0.2">
      <c r="A113" s="62" t="s">
        <v>142</v>
      </c>
      <c r="B113" s="62" t="s">
        <v>49</v>
      </c>
      <c r="C113" s="62" t="s">
        <v>143</v>
      </c>
      <c r="D113" s="187" t="s">
        <v>171</v>
      </c>
      <c r="E113" s="188"/>
      <c r="F113" s="189"/>
      <c r="G113" s="63">
        <v>85</v>
      </c>
      <c r="H113" s="62" t="s">
        <v>172</v>
      </c>
      <c r="I113" s="63" t="s">
        <v>153</v>
      </c>
      <c r="J113" s="63" t="s">
        <v>110</v>
      </c>
      <c r="K113" s="57"/>
      <c r="L113" s="129"/>
      <c r="M113" s="129"/>
    </row>
    <row r="114" spans="1:13" s="37" customFormat="1" ht="14.45" hidden="1" customHeight="1" x14ac:dyDescent="0.2">
      <c r="A114" s="62" t="s">
        <v>173</v>
      </c>
      <c r="B114" s="62" t="s">
        <v>146</v>
      </c>
      <c r="C114" s="62" t="s">
        <v>147</v>
      </c>
      <c r="D114" s="187" t="s">
        <v>174</v>
      </c>
      <c r="E114" s="188"/>
      <c r="F114" s="189"/>
      <c r="G114" s="63">
        <v>4</v>
      </c>
      <c r="H114" s="62" t="s">
        <v>149</v>
      </c>
      <c r="I114" s="63">
        <v>4</v>
      </c>
      <c r="J114" s="63" t="s">
        <v>110</v>
      </c>
      <c r="K114" s="57"/>
      <c r="L114" s="129"/>
      <c r="M114" s="129"/>
    </row>
    <row r="115" spans="1:13" s="37" customFormat="1" ht="24" customHeight="1" x14ac:dyDescent="0.2">
      <c r="A115" s="62" t="s">
        <v>173</v>
      </c>
      <c r="B115" s="62" t="s">
        <v>49</v>
      </c>
      <c r="C115" s="62" t="s">
        <v>143</v>
      </c>
      <c r="D115" s="187" t="s">
        <v>175</v>
      </c>
      <c r="E115" s="188"/>
      <c r="F115" s="189"/>
      <c r="G115" s="137" t="s">
        <v>348</v>
      </c>
      <c r="H115" s="62" t="s">
        <v>24</v>
      </c>
      <c r="I115" s="66" t="s">
        <v>153</v>
      </c>
      <c r="J115" s="63" t="s">
        <v>282</v>
      </c>
      <c r="K115" s="57"/>
      <c r="L115" s="129"/>
      <c r="M115" s="129"/>
    </row>
    <row r="116" spans="1:13" s="37" customFormat="1" ht="27" customHeight="1" x14ac:dyDescent="0.2">
      <c r="A116" s="62" t="s">
        <v>173</v>
      </c>
      <c r="B116" s="62" t="s">
        <v>49</v>
      </c>
      <c r="C116" s="62" t="s">
        <v>143</v>
      </c>
      <c r="D116" s="187" t="s">
        <v>176</v>
      </c>
      <c r="E116" s="188"/>
      <c r="F116" s="189"/>
      <c r="G116" s="137" t="s">
        <v>348</v>
      </c>
      <c r="H116" s="62" t="s">
        <v>162</v>
      </c>
      <c r="I116" s="66" t="s">
        <v>153</v>
      </c>
      <c r="J116" s="63" t="s">
        <v>282</v>
      </c>
      <c r="K116" s="57"/>
      <c r="L116" s="129"/>
      <c r="M116" s="129"/>
    </row>
    <row r="117" spans="1:13" s="152" customFormat="1" ht="52.35" customHeight="1" x14ac:dyDescent="0.2">
      <c r="A117" s="67" t="s">
        <v>142</v>
      </c>
      <c r="B117" s="67" t="s">
        <v>49</v>
      </c>
      <c r="C117" s="147" t="s">
        <v>362</v>
      </c>
      <c r="D117" s="190" t="s">
        <v>363</v>
      </c>
      <c r="E117" s="191"/>
      <c r="F117" s="192"/>
      <c r="G117" s="146" t="s">
        <v>371</v>
      </c>
      <c r="H117" s="148" t="s">
        <v>280</v>
      </c>
      <c r="I117" s="69" t="s">
        <v>153</v>
      </c>
      <c r="J117" s="149" t="s">
        <v>365</v>
      </c>
      <c r="K117" s="111"/>
      <c r="L117" s="151"/>
      <c r="M117" s="151"/>
    </row>
    <row r="118" spans="1:13" s="37" customFormat="1" ht="14.45" hidden="1" customHeight="1" x14ac:dyDescent="0.2">
      <c r="A118" s="62" t="s">
        <v>173</v>
      </c>
      <c r="B118" s="62" t="s">
        <v>146</v>
      </c>
      <c r="C118" s="62" t="s">
        <v>147</v>
      </c>
      <c r="D118" s="187" t="s">
        <v>177</v>
      </c>
      <c r="E118" s="188"/>
      <c r="F118" s="189"/>
      <c r="G118" s="63">
        <v>2</v>
      </c>
      <c r="H118" s="62" t="s">
        <v>149</v>
      </c>
      <c r="I118" s="63">
        <v>2</v>
      </c>
      <c r="J118" s="63" t="s">
        <v>110</v>
      </c>
      <c r="K118" s="57"/>
      <c r="L118" s="129"/>
      <c r="M118" s="129"/>
    </row>
    <row r="119" spans="1:13" s="37" customFormat="1" ht="14.45" hidden="1" customHeight="1" x14ac:dyDescent="0.2">
      <c r="A119" s="62" t="s">
        <v>173</v>
      </c>
      <c r="B119" s="62" t="s">
        <v>146</v>
      </c>
      <c r="C119" s="62" t="s">
        <v>283</v>
      </c>
      <c r="D119" s="187" t="s">
        <v>284</v>
      </c>
      <c r="E119" s="188"/>
      <c r="F119" s="189"/>
      <c r="G119" s="63">
        <v>10</v>
      </c>
      <c r="H119" s="62" t="s">
        <v>285</v>
      </c>
      <c r="I119" s="63" t="s">
        <v>153</v>
      </c>
      <c r="J119" s="63" t="s">
        <v>110</v>
      </c>
      <c r="K119" s="57"/>
      <c r="L119" s="129"/>
      <c r="M119" s="129"/>
    </row>
    <row r="120" spans="1:13" s="37" customFormat="1" ht="14.45" customHeight="1" x14ac:dyDescent="0.2">
      <c r="A120" s="62" t="s">
        <v>142</v>
      </c>
      <c r="B120" s="62" t="s">
        <v>49</v>
      </c>
      <c r="C120" s="62" t="s">
        <v>143</v>
      </c>
      <c r="D120" s="187" t="s">
        <v>178</v>
      </c>
      <c r="E120" s="188"/>
      <c r="F120" s="189"/>
      <c r="G120" s="63">
        <v>50</v>
      </c>
      <c r="H120" s="62" t="s">
        <v>145</v>
      </c>
      <c r="I120" s="63" t="s">
        <v>153</v>
      </c>
      <c r="J120" s="63" t="s">
        <v>110</v>
      </c>
      <c r="K120" s="57"/>
      <c r="L120" s="129"/>
      <c r="M120" s="129"/>
    </row>
    <row r="121" spans="1:13" s="37" customFormat="1" ht="14.45" customHeight="1" x14ac:dyDescent="0.2">
      <c r="A121" s="62" t="s">
        <v>173</v>
      </c>
      <c r="B121" s="62" t="s">
        <v>49</v>
      </c>
      <c r="C121" s="62" t="s">
        <v>143</v>
      </c>
      <c r="D121" s="187" t="s">
        <v>179</v>
      </c>
      <c r="E121" s="188"/>
      <c r="F121" s="189"/>
      <c r="G121" s="63">
        <v>175</v>
      </c>
      <c r="H121" s="62" t="s">
        <v>49</v>
      </c>
      <c r="I121" s="63" t="s">
        <v>153</v>
      </c>
      <c r="J121" s="63" t="s">
        <v>110</v>
      </c>
      <c r="K121" s="57"/>
      <c r="L121" s="129"/>
      <c r="M121" s="129"/>
    </row>
    <row r="122" spans="1:13" s="37" customFormat="1" ht="14.45" customHeight="1" x14ac:dyDescent="0.2">
      <c r="A122" s="62" t="s">
        <v>142</v>
      </c>
      <c r="B122" s="62" t="s">
        <v>49</v>
      </c>
      <c r="C122" s="62" t="s">
        <v>147</v>
      </c>
      <c r="D122" s="187" t="s">
        <v>180</v>
      </c>
      <c r="E122" s="188"/>
      <c r="F122" s="189"/>
      <c r="G122" s="63">
        <v>40</v>
      </c>
      <c r="H122" s="62" t="s">
        <v>181</v>
      </c>
      <c r="I122" s="63" t="s">
        <v>153</v>
      </c>
      <c r="J122" s="63" t="s">
        <v>110</v>
      </c>
      <c r="K122" s="57"/>
      <c r="L122" s="129"/>
      <c r="M122" s="129"/>
    </row>
    <row r="123" spans="1:13" s="37" customFormat="1" ht="14.45" hidden="1" customHeight="1" x14ac:dyDescent="0.2">
      <c r="A123" s="62" t="s">
        <v>173</v>
      </c>
      <c r="B123" s="62" t="s">
        <v>146</v>
      </c>
      <c r="C123" s="62" t="s">
        <v>147</v>
      </c>
      <c r="D123" s="187" t="s">
        <v>182</v>
      </c>
      <c r="E123" s="188"/>
      <c r="F123" s="189"/>
      <c r="G123" s="63">
        <v>7.5</v>
      </c>
      <c r="H123" s="62" t="s">
        <v>152</v>
      </c>
      <c r="I123" s="63">
        <v>75</v>
      </c>
      <c r="J123" s="63" t="s">
        <v>110</v>
      </c>
      <c r="K123" s="57"/>
      <c r="L123" s="129"/>
      <c r="M123" s="129"/>
    </row>
    <row r="124" spans="1:13" s="37" customFormat="1" ht="14.45" hidden="1" customHeight="1" x14ac:dyDescent="0.2">
      <c r="A124" s="62" t="s">
        <v>142</v>
      </c>
      <c r="B124" s="62" t="s">
        <v>146</v>
      </c>
      <c r="C124" s="62" t="s">
        <v>147</v>
      </c>
      <c r="D124" s="187" t="s">
        <v>183</v>
      </c>
      <c r="E124" s="188"/>
      <c r="F124" s="189"/>
      <c r="G124" s="63">
        <v>20</v>
      </c>
      <c r="H124" s="62" t="s">
        <v>184</v>
      </c>
      <c r="I124" s="63" t="s">
        <v>153</v>
      </c>
      <c r="J124" s="63" t="s">
        <v>110</v>
      </c>
      <c r="K124" s="57"/>
      <c r="L124" s="129"/>
      <c r="M124" s="129"/>
    </row>
    <row r="125" spans="1:13" s="37" customFormat="1" ht="14.45" hidden="1" customHeight="1" x14ac:dyDescent="0.2">
      <c r="A125" s="62" t="s">
        <v>142</v>
      </c>
      <c r="B125" s="62" t="s">
        <v>146</v>
      </c>
      <c r="C125" s="62" t="s">
        <v>147</v>
      </c>
      <c r="D125" s="187" t="s">
        <v>185</v>
      </c>
      <c r="E125" s="188"/>
      <c r="F125" s="189"/>
      <c r="G125" s="63">
        <v>25</v>
      </c>
      <c r="H125" s="62" t="s">
        <v>184</v>
      </c>
      <c r="I125" s="63" t="s">
        <v>153</v>
      </c>
      <c r="J125" s="63" t="s">
        <v>110</v>
      </c>
      <c r="K125" s="57"/>
      <c r="L125" s="129"/>
      <c r="M125" s="129"/>
    </row>
    <row r="126" spans="1:13" s="37" customFormat="1" ht="14.45" customHeight="1" x14ac:dyDescent="0.2">
      <c r="A126" s="62" t="s">
        <v>142</v>
      </c>
      <c r="B126" s="62" t="s">
        <v>142</v>
      </c>
      <c r="C126" s="62" t="s">
        <v>147</v>
      </c>
      <c r="D126" s="187" t="s">
        <v>186</v>
      </c>
      <c r="E126" s="188"/>
      <c r="F126" s="189"/>
      <c r="G126" s="68">
        <v>75</v>
      </c>
      <c r="H126" s="62" t="s">
        <v>181</v>
      </c>
      <c r="I126" s="63" t="s">
        <v>153</v>
      </c>
      <c r="J126" s="63" t="s">
        <v>110</v>
      </c>
      <c r="K126" s="57"/>
      <c r="L126" s="129"/>
      <c r="M126" s="129"/>
    </row>
    <row r="127" spans="1:13" s="37" customFormat="1" ht="14.45" customHeight="1" x14ac:dyDescent="0.2">
      <c r="A127" s="62" t="s">
        <v>142</v>
      </c>
      <c r="B127" s="62" t="s">
        <v>142</v>
      </c>
      <c r="C127" s="62" t="s">
        <v>147</v>
      </c>
      <c r="D127" s="187" t="s">
        <v>187</v>
      </c>
      <c r="E127" s="188"/>
      <c r="F127" s="189"/>
      <c r="G127" s="63">
        <v>35</v>
      </c>
      <c r="H127" s="62" t="s">
        <v>181</v>
      </c>
      <c r="I127" s="63" t="s">
        <v>153</v>
      </c>
      <c r="J127" s="63" t="s">
        <v>110</v>
      </c>
      <c r="K127" s="57"/>
      <c r="L127" s="129"/>
      <c r="M127" s="129"/>
    </row>
    <row r="128" spans="1:13" s="37" customFormat="1" ht="14.45" hidden="1" customHeight="1" x14ac:dyDescent="0.2">
      <c r="A128" s="62" t="s">
        <v>142</v>
      </c>
      <c r="B128" s="62" t="s">
        <v>146</v>
      </c>
      <c r="C128" s="62" t="s">
        <v>143</v>
      </c>
      <c r="D128" s="187" t="s">
        <v>188</v>
      </c>
      <c r="E128" s="188"/>
      <c r="F128" s="189"/>
      <c r="G128" s="63">
        <v>100</v>
      </c>
      <c r="H128" s="62" t="s">
        <v>181</v>
      </c>
      <c r="I128" s="63" t="s">
        <v>153</v>
      </c>
      <c r="J128" s="63" t="s">
        <v>110</v>
      </c>
      <c r="K128" s="57"/>
      <c r="L128" s="129"/>
      <c r="M128" s="129"/>
    </row>
    <row r="129" spans="1:29" s="37" customFormat="1" ht="14.45" hidden="1" customHeight="1" x14ac:dyDescent="0.2">
      <c r="A129" s="62" t="s">
        <v>142</v>
      </c>
      <c r="B129" s="62" t="s">
        <v>146</v>
      </c>
      <c r="C129" s="62" t="s">
        <v>143</v>
      </c>
      <c r="D129" s="187" t="s">
        <v>189</v>
      </c>
      <c r="E129" s="188"/>
      <c r="F129" s="189"/>
      <c r="G129" s="63">
        <v>100</v>
      </c>
      <c r="H129" s="62" t="s">
        <v>190</v>
      </c>
      <c r="I129" s="63" t="s">
        <v>153</v>
      </c>
      <c r="J129" s="63" t="s">
        <v>110</v>
      </c>
      <c r="K129" s="57"/>
      <c r="O129" s="38"/>
      <c r="P129" s="38"/>
    </row>
    <row r="130" spans="1:29" s="37" customFormat="1" ht="14.45" hidden="1" customHeight="1" x14ac:dyDescent="0.2">
      <c r="A130" s="62" t="s">
        <v>142</v>
      </c>
      <c r="B130" s="62" t="s">
        <v>146</v>
      </c>
      <c r="C130" s="62" t="s">
        <v>143</v>
      </c>
      <c r="D130" s="187" t="s">
        <v>191</v>
      </c>
      <c r="E130" s="188"/>
      <c r="F130" s="189"/>
      <c r="G130" s="63">
        <v>100</v>
      </c>
      <c r="H130" s="62" t="s">
        <v>181</v>
      </c>
      <c r="I130" s="63" t="s">
        <v>153</v>
      </c>
      <c r="J130" s="63" t="s">
        <v>110</v>
      </c>
      <c r="K130" s="57"/>
      <c r="O130" s="39"/>
      <c r="P130" s="39"/>
    </row>
    <row r="131" spans="1:29" s="37" customFormat="1" ht="14.45" hidden="1" customHeight="1" x14ac:dyDescent="0.2">
      <c r="A131" s="62" t="s">
        <v>173</v>
      </c>
      <c r="B131" s="62" t="s">
        <v>146</v>
      </c>
      <c r="C131" s="62" t="s">
        <v>143</v>
      </c>
      <c r="D131" s="187" t="s">
        <v>189</v>
      </c>
      <c r="E131" s="188"/>
      <c r="F131" s="189"/>
      <c r="G131" s="63">
        <v>50</v>
      </c>
      <c r="H131" s="62" t="s">
        <v>192</v>
      </c>
      <c r="I131" s="63" t="s">
        <v>153</v>
      </c>
      <c r="J131" s="63" t="s">
        <v>110</v>
      </c>
      <c r="K131" s="57"/>
      <c r="O131" s="39"/>
      <c r="P131" s="39"/>
    </row>
    <row r="132" spans="1:29" s="37" customFormat="1" ht="14.45" hidden="1" customHeight="1" x14ac:dyDescent="0.2">
      <c r="A132" s="62" t="s">
        <v>173</v>
      </c>
      <c r="B132" s="62" t="s">
        <v>146</v>
      </c>
      <c r="C132" s="62" t="s">
        <v>143</v>
      </c>
      <c r="D132" s="187" t="s">
        <v>191</v>
      </c>
      <c r="E132" s="188"/>
      <c r="F132" s="189"/>
      <c r="G132" s="63">
        <v>50</v>
      </c>
      <c r="H132" s="62" t="s">
        <v>181</v>
      </c>
      <c r="I132" s="63" t="s">
        <v>153</v>
      </c>
      <c r="J132" s="63" t="s">
        <v>110</v>
      </c>
      <c r="K132" s="57"/>
      <c r="O132" s="38"/>
      <c r="P132" s="38"/>
    </row>
    <row r="133" spans="1:29" s="37" customFormat="1" ht="14.45" hidden="1" customHeight="1" x14ac:dyDescent="0.25">
      <c r="A133" s="62" t="s">
        <v>142</v>
      </c>
      <c r="B133" s="62" t="s">
        <v>146</v>
      </c>
      <c r="C133" s="62" t="s">
        <v>143</v>
      </c>
      <c r="D133" s="187" t="s">
        <v>193</v>
      </c>
      <c r="E133" s="188"/>
      <c r="F133" s="189"/>
      <c r="G133" s="63">
        <v>85</v>
      </c>
      <c r="H133" s="62" t="s">
        <v>194</v>
      </c>
      <c r="I133" s="63" t="s">
        <v>153</v>
      </c>
      <c r="J133" s="63" t="s">
        <v>110</v>
      </c>
      <c r="K133" s="57"/>
      <c r="O133" s="36"/>
      <c r="P133" s="36"/>
    </row>
    <row r="134" spans="1:29" s="37" customFormat="1" ht="14.45" hidden="1" customHeight="1" x14ac:dyDescent="0.25">
      <c r="A134" s="62" t="s">
        <v>173</v>
      </c>
      <c r="B134" s="62" t="s">
        <v>146</v>
      </c>
      <c r="C134" s="62" t="s">
        <v>195</v>
      </c>
      <c r="D134" s="187" t="s">
        <v>196</v>
      </c>
      <c r="E134" s="188"/>
      <c r="F134" s="189"/>
      <c r="G134" s="63">
        <v>0.1</v>
      </c>
      <c r="H134" s="62" t="s">
        <v>197</v>
      </c>
      <c r="I134" s="63">
        <v>150</v>
      </c>
      <c r="J134" s="63" t="s">
        <v>110</v>
      </c>
      <c r="K134" s="57"/>
      <c r="O134" s="36"/>
      <c r="P134" s="36"/>
    </row>
    <row r="135" spans="1:29" s="37" customFormat="1" ht="14.45" customHeight="1" x14ac:dyDescent="0.25">
      <c r="A135" s="62" t="s">
        <v>142</v>
      </c>
      <c r="B135" s="62" t="s">
        <v>49</v>
      </c>
      <c r="C135" s="62" t="s">
        <v>198</v>
      </c>
      <c r="D135" s="187" t="s">
        <v>199</v>
      </c>
      <c r="E135" s="188"/>
      <c r="F135" s="189"/>
      <c r="G135" s="63">
        <v>35</v>
      </c>
      <c r="H135" s="62" t="s">
        <v>181</v>
      </c>
      <c r="I135" s="63" t="s">
        <v>153</v>
      </c>
      <c r="J135" s="63" t="s">
        <v>110</v>
      </c>
      <c r="K135" s="57"/>
      <c r="O135" s="36"/>
      <c r="P135" s="36"/>
    </row>
    <row r="136" spans="1:29" s="37" customFormat="1" ht="14.45" hidden="1" customHeight="1" x14ac:dyDescent="0.25">
      <c r="A136" s="62" t="s">
        <v>142</v>
      </c>
      <c r="B136" s="62" t="s">
        <v>146</v>
      </c>
      <c r="C136" s="62" t="s">
        <v>198</v>
      </c>
      <c r="D136" s="187" t="s">
        <v>200</v>
      </c>
      <c r="E136" s="188"/>
      <c r="F136" s="189"/>
      <c r="G136" s="63">
        <v>7</v>
      </c>
      <c r="H136" s="62" t="s">
        <v>152</v>
      </c>
      <c r="I136" s="63">
        <v>7</v>
      </c>
      <c r="J136" s="63" t="s">
        <v>110</v>
      </c>
      <c r="K136" s="57"/>
      <c r="O136" s="36"/>
      <c r="P136" s="36"/>
    </row>
    <row r="137" spans="1:29" s="37" customFormat="1" ht="14.1" customHeight="1" x14ac:dyDescent="0.25">
      <c r="A137" s="62" t="s">
        <v>142</v>
      </c>
      <c r="B137" s="62" t="s">
        <v>142</v>
      </c>
      <c r="C137" s="62" t="s">
        <v>201</v>
      </c>
      <c r="D137" s="187" t="s">
        <v>202</v>
      </c>
      <c r="E137" s="188"/>
      <c r="F137" s="189"/>
      <c r="G137" s="63">
        <v>40</v>
      </c>
      <c r="H137" s="62" t="s">
        <v>203</v>
      </c>
      <c r="I137" s="63" t="s">
        <v>153</v>
      </c>
      <c r="J137" s="63" t="s">
        <v>110</v>
      </c>
      <c r="K137" s="57"/>
      <c r="O137" s="36"/>
      <c r="P137" s="36"/>
    </row>
    <row r="138" spans="1:29" s="37" customFormat="1" ht="14.1" customHeight="1" x14ac:dyDescent="0.25">
      <c r="A138" s="62" t="s">
        <v>142</v>
      </c>
      <c r="B138" s="62" t="s">
        <v>49</v>
      </c>
      <c r="C138" s="62" t="s">
        <v>143</v>
      </c>
      <c r="D138" s="187" t="s">
        <v>204</v>
      </c>
      <c r="E138" s="188"/>
      <c r="F138" s="189"/>
      <c r="G138" s="63">
        <v>50</v>
      </c>
      <c r="H138" s="62" t="s">
        <v>49</v>
      </c>
      <c r="I138" s="63" t="s">
        <v>153</v>
      </c>
      <c r="J138" s="63" t="s">
        <v>110</v>
      </c>
      <c r="K138" s="57"/>
      <c r="L138" s="38"/>
      <c r="M138" s="38"/>
      <c r="N138" s="38"/>
      <c r="O138" s="36"/>
      <c r="P138" s="36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 spans="1:29" s="39" customFormat="1" ht="14.1" customHeight="1" x14ac:dyDescent="0.25">
      <c r="A139" s="62" t="s">
        <v>142</v>
      </c>
      <c r="B139" s="62" t="s">
        <v>49</v>
      </c>
      <c r="C139" s="62" t="s">
        <v>143</v>
      </c>
      <c r="D139" s="187" t="s">
        <v>205</v>
      </c>
      <c r="E139" s="188"/>
      <c r="F139" s="189"/>
      <c r="G139" s="63">
        <v>200</v>
      </c>
      <c r="H139" s="62" t="s">
        <v>206</v>
      </c>
      <c r="I139" s="63" t="s">
        <v>153</v>
      </c>
      <c r="J139" s="63" t="s">
        <v>110</v>
      </c>
      <c r="K139" s="57"/>
      <c r="O139" s="36"/>
      <c r="P139" s="36"/>
    </row>
    <row r="140" spans="1:29" s="39" customFormat="1" ht="14.1" customHeight="1" x14ac:dyDescent="0.25">
      <c r="A140" s="62" t="s">
        <v>142</v>
      </c>
      <c r="B140" s="62" t="s">
        <v>49</v>
      </c>
      <c r="C140" s="62" t="s">
        <v>143</v>
      </c>
      <c r="D140" s="187" t="s">
        <v>207</v>
      </c>
      <c r="E140" s="188"/>
      <c r="F140" s="189"/>
      <c r="G140" s="63">
        <v>250</v>
      </c>
      <c r="H140" s="62" t="s">
        <v>208</v>
      </c>
      <c r="I140" s="63">
        <v>100</v>
      </c>
      <c r="J140" s="63" t="s">
        <v>110</v>
      </c>
      <c r="K140" s="57"/>
      <c r="L140" s="38"/>
      <c r="M140" s="38"/>
      <c r="N140" s="38"/>
      <c r="O140" s="36"/>
      <c r="P140" s="36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 spans="1:29" s="38" customFormat="1" ht="14.1" customHeight="1" x14ac:dyDescent="0.25">
      <c r="A141" s="62" t="s">
        <v>142</v>
      </c>
      <c r="B141" s="62" t="s">
        <v>49</v>
      </c>
      <c r="C141" s="62" t="s">
        <v>201</v>
      </c>
      <c r="D141" s="187" t="s">
        <v>209</v>
      </c>
      <c r="E141" s="188"/>
      <c r="F141" s="189"/>
      <c r="G141" s="63" t="s">
        <v>210</v>
      </c>
      <c r="H141" s="62"/>
      <c r="I141" s="63" t="s">
        <v>153</v>
      </c>
      <c r="J141" s="63" t="s">
        <v>110</v>
      </c>
      <c r="K141" s="57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:29" s="36" customFormat="1" x14ac:dyDescent="0.25">
      <c r="A142" s="62" t="s">
        <v>142</v>
      </c>
      <c r="B142" s="62" t="s">
        <v>49</v>
      </c>
      <c r="C142" s="62" t="s">
        <v>201</v>
      </c>
      <c r="D142" s="187" t="s">
        <v>211</v>
      </c>
      <c r="E142" s="188"/>
      <c r="F142" s="189"/>
      <c r="G142" s="63" t="s">
        <v>212</v>
      </c>
      <c r="H142" s="62"/>
      <c r="I142" s="63" t="s">
        <v>153</v>
      </c>
      <c r="J142" s="63" t="s">
        <v>110</v>
      </c>
      <c r="K142" s="72"/>
    </row>
    <row r="143" spans="1:29" s="36" customFormat="1" x14ac:dyDescent="0.25">
      <c r="A143" s="62" t="s">
        <v>213</v>
      </c>
      <c r="B143" s="62" t="s">
        <v>49</v>
      </c>
      <c r="C143" s="62" t="s">
        <v>214</v>
      </c>
      <c r="D143" s="187" t="s">
        <v>215</v>
      </c>
      <c r="E143" s="188"/>
      <c r="F143" s="189"/>
      <c r="G143" s="63">
        <v>100</v>
      </c>
      <c r="H143" s="62" t="s">
        <v>49</v>
      </c>
      <c r="I143" s="63">
        <v>100</v>
      </c>
      <c r="J143" s="63" t="s">
        <v>110</v>
      </c>
      <c r="K143" s="72"/>
    </row>
    <row r="144" spans="1:29" s="36" customFormat="1" x14ac:dyDescent="0.25">
      <c r="A144" s="62" t="s">
        <v>213</v>
      </c>
      <c r="B144" s="62" t="s">
        <v>216</v>
      </c>
      <c r="C144" s="62" t="s">
        <v>147</v>
      </c>
      <c r="D144" s="187" t="s">
        <v>217</v>
      </c>
      <c r="E144" s="188"/>
      <c r="F144" s="189"/>
      <c r="G144" s="63">
        <v>50</v>
      </c>
      <c r="H144" s="62"/>
      <c r="I144" s="63">
        <v>50</v>
      </c>
      <c r="J144" s="63" t="s">
        <v>110</v>
      </c>
      <c r="K144" s="72"/>
    </row>
    <row r="145" spans="1:11" s="36" customFormat="1" x14ac:dyDescent="0.25">
      <c r="A145" s="62" t="s">
        <v>150</v>
      </c>
      <c r="B145" s="62" t="s">
        <v>49</v>
      </c>
      <c r="C145" s="62" t="s">
        <v>218</v>
      </c>
      <c r="D145" s="187" t="s">
        <v>219</v>
      </c>
      <c r="E145" s="188"/>
      <c r="F145" s="189"/>
      <c r="G145" s="69" t="s">
        <v>220</v>
      </c>
      <c r="H145" s="67" t="s">
        <v>49</v>
      </c>
      <c r="I145" s="69" t="s">
        <v>153</v>
      </c>
      <c r="J145" s="63" t="s">
        <v>110</v>
      </c>
      <c r="K145" s="72"/>
    </row>
    <row r="146" spans="1:11" s="36" customFormat="1" x14ac:dyDescent="0.25">
      <c r="A146" s="62" t="s">
        <v>221</v>
      </c>
      <c r="B146" s="62" t="s">
        <v>49</v>
      </c>
      <c r="C146" s="62" t="s">
        <v>201</v>
      </c>
      <c r="D146" s="187" t="s">
        <v>222</v>
      </c>
      <c r="E146" s="188"/>
      <c r="F146" s="189"/>
      <c r="G146" s="69" t="s">
        <v>220</v>
      </c>
      <c r="H146" s="67" t="s">
        <v>49</v>
      </c>
      <c r="I146" s="69" t="s">
        <v>153</v>
      </c>
      <c r="J146" s="63" t="s">
        <v>110</v>
      </c>
      <c r="K146" s="72"/>
    </row>
    <row r="147" spans="1:11" s="36" customFormat="1" x14ac:dyDescent="0.25">
      <c r="A147" s="62" t="s">
        <v>142</v>
      </c>
      <c r="B147" s="62" t="s">
        <v>49</v>
      </c>
      <c r="C147" s="62" t="s">
        <v>223</v>
      </c>
      <c r="D147" s="187" t="s">
        <v>224</v>
      </c>
      <c r="E147" s="188"/>
      <c r="F147" s="189"/>
      <c r="G147" s="63" t="s">
        <v>225</v>
      </c>
      <c r="H147" s="62"/>
      <c r="I147" s="63" t="s">
        <v>153</v>
      </c>
      <c r="J147" s="63" t="s">
        <v>110</v>
      </c>
      <c r="K147" s="72"/>
    </row>
    <row r="148" spans="1:11" s="36" customFormat="1" x14ac:dyDescent="0.25">
      <c r="A148" s="62" t="s">
        <v>142</v>
      </c>
      <c r="B148" s="62" t="s">
        <v>49</v>
      </c>
      <c r="C148" s="62" t="s">
        <v>226</v>
      </c>
      <c r="D148" s="187" t="s">
        <v>227</v>
      </c>
      <c r="E148" s="188"/>
      <c r="F148" s="189"/>
      <c r="G148" s="66">
        <v>150</v>
      </c>
      <c r="H148" s="62" t="s">
        <v>49</v>
      </c>
      <c r="I148" s="66">
        <v>150</v>
      </c>
      <c r="J148" s="63" t="s">
        <v>110</v>
      </c>
      <c r="K148" s="72"/>
    </row>
    <row r="149" spans="1:11" s="36" customFormat="1" x14ac:dyDescent="0.25">
      <c r="A149" s="62" t="s">
        <v>142</v>
      </c>
      <c r="B149" s="62" t="s">
        <v>49</v>
      </c>
      <c r="C149" s="62" t="s">
        <v>228</v>
      </c>
      <c r="D149" s="187" t="s">
        <v>229</v>
      </c>
      <c r="E149" s="188"/>
      <c r="F149" s="189"/>
      <c r="G149" s="66">
        <v>25</v>
      </c>
      <c r="H149" s="62" t="s">
        <v>230</v>
      </c>
      <c r="I149" s="66">
        <v>25</v>
      </c>
      <c r="J149" s="63" t="s">
        <v>110</v>
      </c>
      <c r="K149" s="72"/>
    </row>
    <row r="150" spans="1:11" s="36" customFormat="1" hidden="1" x14ac:dyDescent="0.25">
      <c r="A150" s="62" t="s">
        <v>142</v>
      </c>
      <c r="B150" s="62" t="s">
        <v>146</v>
      </c>
      <c r="C150" s="62" t="s">
        <v>198</v>
      </c>
      <c r="D150" s="187" t="s">
        <v>231</v>
      </c>
      <c r="E150" s="188"/>
      <c r="F150" s="189"/>
      <c r="G150" s="66" t="s">
        <v>232</v>
      </c>
      <c r="H150" s="62" t="s">
        <v>149</v>
      </c>
      <c r="I150" s="66" t="s">
        <v>153</v>
      </c>
      <c r="J150" s="63" t="s">
        <v>110</v>
      </c>
      <c r="K150" s="72"/>
    </row>
    <row r="151" spans="1:11" s="36" customFormat="1" hidden="1" x14ac:dyDescent="0.25">
      <c r="A151" s="62" t="s">
        <v>173</v>
      </c>
      <c r="B151" s="62" t="s">
        <v>146</v>
      </c>
      <c r="C151" s="62" t="s">
        <v>233</v>
      </c>
      <c r="D151" s="187" t="s">
        <v>234</v>
      </c>
      <c r="E151" s="188"/>
      <c r="F151" s="189"/>
      <c r="G151" s="66">
        <v>0.5</v>
      </c>
      <c r="H151" s="62" t="s">
        <v>235</v>
      </c>
      <c r="I151" s="66">
        <v>50</v>
      </c>
      <c r="J151" s="63" t="s">
        <v>110</v>
      </c>
      <c r="K151" s="72"/>
    </row>
    <row r="152" spans="1:11" s="36" customFormat="1" hidden="1" x14ac:dyDescent="0.25">
      <c r="A152" s="62" t="s">
        <v>173</v>
      </c>
      <c r="B152" s="62" t="s">
        <v>146</v>
      </c>
      <c r="C152" s="62" t="s">
        <v>201</v>
      </c>
      <c r="D152" s="187" t="s">
        <v>237</v>
      </c>
      <c r="E152" s="188"/>
      <c r="F152" s="189"/>
      <c r="G152" s="66" t="s">
        <v>238</v>
      </c>
      <c r="H152" s="62" t="s">
        <v>235</v>
      </c>
      <c r="I152" s="66">
        <v>50</v>
      </c>
      <c r="J152" s="63" t="s">
        <v>110</v>
      </c>
      <c r="K152" s="72"/>
    </row>
    <row r="153" spans="1:11" s="36" customFormat="1" x14ac:dyDescent="0.25">
      <c r="A153" s="62" t="s">
        <v>239</v>
      </c>
      <c r="B153" s="62" t="s">
        <v>49</v>
      </c>
      <c r="C153" s="62" t="s">
        <v>143</v>
      </c>
      <c r="D153" s="187" t="s">
        <v>240</v>
      </c>
      <c r="E153" s="188"/>
      <c r="F153" s="189"/>
      <c r="G153" s="69" t="s">
        <v>220</v>
      </c>
      <c r="H153" s="67" t="s">
        <v>49</v>
      </c>
      <c r="I153" s="69" t="s">
        <v>153</v>
      </c>
      <c r="J153" s="63" t="s">
        <v>110</v>
      </c>
      <c r="K153" s="72"/>
    </row>
    <row r="154" spans="1:11" s="36" customFormat="1" x14ac:dyDescent="0.25">
      <c r="A154" s="62" t="s">
        <v>142</v>
      </c>
      <c r="B154" s="62" t="s">
        <v>142</v>
      </c>
      <c r="C154" s="62" t="s">
        <v>147</v>
      </c>
      <c r="D154" s="187" t="s">
        <v>241</v>
      </c>
      <c r="E154" s="188"/>
      <c r="F154" s="189"/>
      <c r="G154" s="66" t="s">
        <v>242</v>
      </c>
      <c r="H154" s="62"/>
      <c r="I154" s="66">
        <v>15</v>
      </c>
      <c r="J154" s="63" t="s">
        <v>110</v>
      </c>
      <c r="K154" s="72"/>
    </row>
    <row r="155" spans="1:11" s="36" customFormat="1" x14ac:dyDescent="0.25">
      <c r="A155" s="62" t="s">
        <v>243</v>
      </c>
      <c r="B155" s="62" t="s">
        <v>49</v>
      </c>
      <c r="C155" s="62" t="s">
        <v>143</v>
      </c>
      <c r="D155" s="187" t="s">
        <v>244</v>
      </c>
      <c r="E155" s="188"/>
      <c r="F155" s="189"/>
      <c r="G155" s="66">
        <v>200</v>
      </c>
      <c r="H155" s="62" t="s">
        <v>49</v>
      </c>
      <c r="I155" s="63">
        <v>200</v>
      </c>
      <c r="J155" s="63" t="s">
        <v>110</v>
      </c>
      <c r="K155" s="72"/>
    </row>
    <row r="156" spans="1:11" s="36" customFormat="1" x14ac:dyDescent="0.25">
      <c r="A156" s="62" t="s">
        <v>245</v>
      </c>
      <c r="B156" s="62" t="s">
        <v>49</v>
      </c>
      <c r="C156" s="62" t="s">
        <v>143</v>
      </c>
      <c r="D156" s="187" t="s">
        <v>246</v>
      </c>
      <c r="E156" s="188"/>
      <c r="F156" s="189"/>
      <c r="G156" s="66">
        <v>250</v>
      </c>
      <c r="H156" s="62" t="s">
        <v>49</v>
      </c>
      <c r="I156" s="63">
        <v>100</v>
      </c>
      <c r="J156" s="63" t="s">
        <v>110</v>
      </c>
      <c r="K156" s="72"/>
    </row>
    <row r="157" spans="1:11" s="36" customFormat="1" x14ac:dyDescent="0.25">
      <c r="A157" s="62" t="s">
        <v>247</v>
      </c>
      <c r="B157" s="62" t="s">
        <v>49</v>
      </c>
      <c r="C157" s="62" t="s">
        <v>143</v>
      </c>
      <c r="D157" s="187" t="s">
        <v>248</v>
      </c>
      <c r="E157" s="188"/>
      <c r="F157" s="189"/>
      <c r="G157" s="63">
        <v>250</v>
      </c>
      <c r="H157" s="62" t="s">
        <v>49</v>
      </c>
      <c r="I157" s="63">
        <v>200</v>
      </c>
      <c r="J157" s="63" t="s">
        <v>110</v>
      </c>
      <c r="K157" s="72"/>
    </row>
    <row r="158" spans="1:11" s="36" customFormat="1" x14ac:dyDescent="0.25">
      <c r="A158" s="62" t="s">
        <v>142</v>
      </c>
      <c r="B158" s="62" t="s">
        <v>49</v>
      </c>
      <c r="C158" s="62" t="s">
        <v>143</v>
      </c>
      <c r="D158" s="187" t="s">
        <v>249</v>
      </c>
      <c r="E158" s="188"/>
      <c r="F158" s="189"/>
      <c r="G158" s="63"/>
      <c r="H158" s="62" t="s">
        <v>49</v>
      </c>
      <c r="I158" s="63" t="s">
        <v>153</v>
      </c>
      <c r="J158" s="63" t="s">
        <v>110</v>
      </c>
      <c r="K158" s="72"/>
    </row>
    <row r="159" spans="1:11" s="36" customFormat="1" x14ac:dyDescent="0.25">
      <c r="A159" s="62" t="s">
        <v>250</v>
      </c>
      <c r="B159" s="62" t="s">
        <v>49</v>
      </c>
      <c r="C159" s="62" t="s">
        <v>143</v>
      </c>
      <c r="D159" s="187" t="s">
        <v>251</v>
      </c>
      <c r="E159" s="188"/>
      <c r="F159" s="189"/>
      <c r="G159" s="66">
        <v>350</v>
      </c>
      <c r="H159" s="62" t="s">
        <v>49</v>
      </c>
      <c r="I159" s="63">
        <v>350</v>
      </c>
      <c r="J159" s="63" t="s">
        <v>110</v>
      </c>
      <c r="K159" s="72"/>
    </row>
    <row r="160" spans="1:11" s="36" customFormat="1" x14ac:dyDescent="0.25">
      <c r="A160" s="118"/>
      <c r="B160" s="118"/>
      <c r="C160" s="118"/>
      <c r="D160" s="119"/>
      <c r="E160" s="119"/>
      <c r="F160" s="119"/>
      <c r="G160" s="120"/>
      <c r="H160" s="118"/>
      <c r="I160" s="121"/>
      <c r="J160" s="121"/>
      <c r="K160" s="72"/>
    </row>
    <row r="161" spans="1:11" s="36" customFormat="1" x14ac:dyDescent="0.25">
      <c r="A161" s="180" t="s">
        <v>72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72"/>
    </row>
    <row r="162" spans="1:11" s="36" customFormat="1" x14ac:dyDescent="0.25">
      <c r="A162" s="186" t="s">
        <v>67</v>
      </c>
      <c r="B162" s="186"/>
      <c r="C162" s="186"/>
      <c r="D162" s="186"/>
      <c r="E162" s="186" t="s">
        <v>68</v>
      </c>
      <c r="F162" s="186"/>
      <c r="G162" s="186"/>
      <c r="H162" s="186"/>
      <c r="I162" s="186"/>
      <c r="J162" s="186"/>
      <c r="K162" s="72"/>
    </row>
    <row r="163" spans="1:11" s="36" customFormat="1" x14ac:dyDescent="0.25">
      <c r="A163" s="185" t="s">
        <v>73</v>
      </c>
      <c r="B163" s="185"/>
      <c r="C163" s="185"/>
      <c r="D163" s="185"/>
      <c r="E163" s="185" t="s">
        <v>254</v>
      </c>
      <c r="F163" s="185"/>
      <c r="G163" s="185"/>
      <c r="H163" s="185"/>
      <c r="I163" s="185"/>
      <c r="J163" s="185"/>
      <c r="K163" s="72"/>
    </row>
    <row r="164" spans="1:11" s="36" customFormat="1" ht="15" customHeight="1" x14ac:dyDescent="0.25">
      <c r="A164" s="185" t="s">
        <v>252</v>
      </c>
      <c r="B164" s="185"/>
      <c r="C164" s="185"/>
      <c r="D164" s="185"/>
      <c r="E164" s="185" t="s">
        <v>253</v>
      </c>
      <c r="F164" s="185"/>
      <c r="G164" s="185"/>
      <c r="H164" s="185"/>
      <c r="I164" s="185"/>
      <c r="J164" s="185"/>
      <c r="K164" s="72"/>
    </row>
    <row r="165" spans="1:11" s="36" customFormat="1" ht="15" customHeight="1" x14ac:dyDescent="0.25">
      <c r="A165" s="185" t="s">
        <v>74</v>
      </c>
      <c r="B165" s="185"/>
      <c r="C165" s="185"/>
      <c r="D165" s="185"/>
      <c r="E165" s="185" t="s">
        <v>75</v>
      </c>
      <c r="F165" s="185"/>
      <c r="G165" s="185"/>
      <c r="H165" s="185"/>
      <c r="I165" s="185"/>
      <c r="J165" s="185"/>
      <c r="K165" s="72"/>
    </row>
    <row r="166" spans="1:11" s="36" customFormat="1" x14ac:dyDescent="0.25">
      <c r="A166" s="185" t="s">
        <v>76</v>
      </c>
      <c r="B166" s="185"/>
      <c r="C166" s="185"/>
      <c r="D166" s="185"/>
      <c r="E166" s="185" t="s">
        <v>77</v>
      </c>
      <c r="F166" s="185"/>
      <c r="G166" s="185"/>
      <c r="H166" s="185"/>
      <c r="I166" s="185"/>
      <c r="J166" s="185"/>
      <c r="K166" s="72"/>
    </row>
    <row r="167" spans="1:11" s="36" customFormat="1" ht="15" customHeight="1" x14ac:dyDescent="0.25">
      <c r="A167" s="185" t="s">
        <v>78</v>
      </c>
      <c r="B167" s="185"/>
      <c r="C167" s="185"/>
      <c r="D167" s="185"/>
      <c r="E167" s="185" t="s">
        <v>79</v>
      </c>
      <c r="F167" s="185"/>
      <c r="G167" s="185"/>
      <c r="H167" s="185"/>
      <c r="I167" s="185"/>
      <c r="J167" s="185"/>
      <c r="K167" s="72"/>
    </row>
    <row r="168" spans="1:11" s="36" customFormat="1" ht="15" customHeight="1" x14ac:dyDescent="0.25">
      <c r="A168" s="180" t="s">
        <v>89</v>
      </c>
      <c r="B168" s="180"/>
      <c r="C168" s="180"/>
      <c r="D168" s="180"/>
      <c r="E168" s="180"/>
      <c r="F168" s="180"/>
      <c r="G168" s="180"/>
      <c r="H168" s="180"/>
      <c r="I168" s="180"/>
      <c r="J168" s="180"/>
      <c r="K168" s="72"/>
    </row>
    <row r="169" spans="1:11" s="36" customFormat="1" x14ac:dyDescent="0.25">
      <c r="A169" s="181" t="s">
        <v>80</v>
      </c>
      <c r="B169" s="181"/>
      <c r="C169" s="181"/>
      <c r="D169" s="181"/>
      <c r="E169" s="181"/>
      <c r="F169" s="181"/>
      <c r="G169" s="181"/>
      <c r="H169" s="181"/>
      <c r="I169" s="181"/>
      <c r="J169" s="181"/>
      <c r="K169" s="72"/>
    </row>
    <row r="170" spans="1:11" s="36" customFormat="1" ht="15" customHeight="1" x14ac:dyDescent="0.2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72"/>
    </row>
    <row r="171" spans="1:11" s="36" customFormat="1" x14ac:dyDescent="0.25">
      <c r="A171" s="182" t="s">
        <v>90</v>
      </c>
      <c r="B171" s="182"/>
      <c r="C171" s="182"/>
      <c r="D171" s="182"/>
      <c r="E171" s="182"/>
      <c r="F171" s="182"/>
      <c r="G171" s="182"/>
      <c r="H171" s="182"/>
      <c r="I171" s="182"/>
      <c r="J171" s="182"/>
      <c r="K171" s="72"/>
    </row>
    <row r="172" spans="1:11" s="36" customFormat="1" ht="15" customHeight="1" x14ac:dyDescent="0.25">
      <c r="A172" s="182"/>
      <c r="B172" s="182"/>
      <c r="C172" s="182"/>
      <c r="D172" s="182"/>
      <c r="E172" s="182"/>
      <c r="F172" s="182"/>
      <c r="G172" s="182"/>
      <c r="H172" s="182"/>
      <c r="I172" s="182"/>
      <c r="J172" s="182"/>
      <c r="K172" s="72"/>
    </row>
    <row r="173" spans="1:11" s="42" customFormat="1" ht="13.9" customHeight="1" x14ac:dyDescent="0.25">
      <c r="A173" s="183" t="s">
        <v>353</v>
      </c>
      <c r="B173" s="183"/>
      <c r="C173" s="183"/>
      <c r="D173" s="183"/>
      <c r="E173" s="183"/>
      <c r="F173" s="183"/>
      <c r="G173" s="183"/>
      <c r="H173" s="183"/>
      <c r="I173" s="183"/>
      <c r="J173" s="48"/>
    </row>
    <row r="174" spans="1:11" s="49" customFormat="1" ht="13.9" customHeight="1" x14ac:dyDescent="0.25">
      <c r="A174" s="184" t="s">
        <v>354</v>
      </c>
      <c r="B174" s="184"/>
      <c r="C174" s="184"/>
      <c r="D174" s="184"/>
      <c r="E174" s="184"/>
      <c r="F174" s="184"/>
      <c r="G174" s="184"/>
      <c r="H174" s="184"/>
      <c r="I174" s="184"/>
      <c r="J174" s="48"/>
    </row>
    <row r="175" spans="1:11" x14ac:dyDescent="0.25">
      <c r="J175" s="48"/>
    </row>
    <row r="176" spans="1:11" x14ac:dyDescent="0.25">
      <c r="J176" s="48"/>
    </row>
    <row r="177" spans="10:10" x14ac:dyDescent="0.25">
      <c r="J177" s="48"/>
    </row>
  </sheetData>
  <protectedRanges>
    <protectedRange algorithmName="SHA-512" hashValue="VF6HSW3Iy4xJ9rvYE/9xGHEoimGCygSu8D4FeqmdsD954MzAHwkkxLcwSP9Q5ui8KTGpWBzFAFpp2yGVfuii3Q==" saltValue="Ht0jMOW+8eakbuvlYpVr7Q==" spinCount="100000" sqref="G61:J66 G36:J38 G40:J42 G44:J49 G68:J75 G13:J34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0:J50 G52:J55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7:J59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95:WWE159" xr:uid="{FA694B6A-433F-4FA4-84BF-050781CB5F76}">
    <filterColumn colId="1">
      <filters>
        <filter val="ALL"/>
        <filter val="CY"/>
      </filters>
    </filterColumn>
    <filterColumn colId="3" showButton="0"/>
    <filterColumn colId="4" showButton="0"/>
  </autoFilter>
  <mergeCells count="151"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  <mergeCell ref="E12:F12"/>
    <mergeCell ref="E35:F35"/>
    <mergeCell ref="E39:F39"/>
    <mergeCell ref="E43:F43"/>
    <mergeCell ref="B6:C6"/>
    <mergeCell ref="G6:I6"/>
    <mergeCell ref="E8:I8"/>
    <mergeCell ref="A10:J10"/>
    <mergeCell ref="N10:R10"/>
    <mergeCell ref="A79:D79"/>
    <mergeCell ref="E79:J79"/>
    <mergeCell ref="L79:Q79"/>
    <mergeCell ref="A80:D80"/>
    <mergeCell ref="F80:J80"/>
    <mergeCell ref="L80:Q80"/>
    <mergeCell ref="E51:F51"/>
    <mergeCell ref="E56:F56"/>
    <mergeCell ref="E60:F60"/>
    <mergeCell ref="A75:J75"/>
    <mergeCell ref="A77:J77"/>
    <mergeCell ref="A78:J78"/>
    <mergeCell ref="A84:D84"/>
    <mergeCell ref="F84:J84"/>
    <mergeCell ref="A85:D85"/>
    <mergeCell ref="F85:J85"/>
    <mergeCell ref="A86:D86"/>
    <mergeCell ref="F86:J86"/>
    <mergeCell ref="A81:D81"/>
    <mergeCell ref="F81:J81"/>
    <mergeCell ref="L81:Q81"/>
    <mergeCell ref="A82:D82"/>
    <mergeCell ref="F82:J82"/>
    <mergeCell ref="A83:D83"/>
    <mergeCell ref="F83:J83"/>
    <mergeCell ref="A89:D89"/>
    <mergeCell ref="F89:J89"/>
    <mergeCell ref="L89:Q89"/>
    <mergeCell ref="A90:D90"/>
    <mergeCell ref="G90:J90"/>
    <mergeCell ref="L90:Q90"/>
    <mergeCell ref="L86:Q86"/>
    <mergeCell ref="A87:D87"/>
    <mergeCell ref="F87:J87"/>
    <mergeCell ref="L87:Q87"/>
    <mergeCell ref="A88:D88"/>
    <mergeCell ref="F88:J88"/>
    <mergeCell ref="L88:Q88"/>
    <mergeCell ref="A93:D93"/>
    <mergeCell ref="E93:J93"/>
    <mergeCell ref="L93:Q93"/>
    <mergeCell ref="A94:J94"/>
    <mergeCell ref="D95:F95"/>
    <mergeCell ref="D96:F96"/>
    <mergeCell ref="A91:D91"/>
    <mergeCell ref="G91:J91"/>
    <mergeCell ref="L91:Q91"/>
    <mergeCell ref="A92:D92"/>
    <mergeCell ref="G92:J92"/>
    <mergeCell ref="L92:Q92"/>
    <mergeCell ref="D103:F103"/>
    <mergeCell ref="D104:F104"/>
    <mergeCell ref="D105:F105"/>
    <mergeCell ref="D106:F106"/>
    <mergeCell ref="D107:F107"/>
    <mergeCell ref="D108:F108"/>
    <mergeCell ref="D97:F97"/>
    <mergeCell ref="D98:F98"/>
    <mergeCell ref="D99:F99"/>
    <mergeCell ref="D100:F100"/>
    <mergeCell ref="D101:F101"/>
    <mergeCell ref="D102:F102"/>
    <mergeCell ref="D115:F115"/>
    <mergeCell ref="D116:F116"/>
    <mergeCell ref="D117:F117"/>
    <mergeCell ref="D118:F118"/>
    <mergeCell ref="D119:F119"/>
    <mergeCell ref="D120:F120"/>
    <mergeCell ref="D109:F109"/>
    <mergeCell ref="D110:F110"/>
    <mergeCell ref="D111:F111"/>
    <mergeCell ref="D112:F112"/>
    <mergeCell ref="D113:F113"/>
    <mergeCell ref="D114:F114"/>
    <mergeCell ref="D127:F127"/>
    <mergeCell ref="D128:F128"/>
    <mergeCell ref="D129:F129"/>
    <mergeCell ref="D130:F130"/>
    <mergeCell ref="D131:F131"/>
    <mergeCell ref="D132:F132"/>
    <mergeCell ref="D121:F121"/>
    <mergeCell ref="D122:F122"/>
    <mergeCell ref="D123:F123"/>
    <mergeCell ref="D124:F124"/>
    <mergeCell ref="D125:F125"/>
    <mergeCell ref="D126:F126"/>
    <mergeCell ref="D139:F139"/>
    <mergeCell ref="D140:F140"/>
    <mergeCell ref="D141:F141"/>
    <mergeCell ref="D142:F142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53:F153"/>
    <mergeCell ref="D154:F154"/>
    <mergeCell ref="D155:F155"/>
    <mergeCell ref="D156:F156"/>
    <mergeCell ref="D145:F145"/>
    <mergeCell ref="D146:F146"/>
    <mergeCell ref="D147:F147"/>
    <mergeCell ref="D148:F148"/>
    <mergeCell ref="D149:F149"/>
    <mergeCell ref="D150:F150"/>
    <mergeCell ref="A171:J172"/>
    <mergeCell ref="A173:I173"/>
    <mergeCell ref="A174:I174"/>
    <mergeCell ref="E67:F67"/>
    <mergeCell ref="A166:D166"/>
    <mergeCell ref="E166:J166"/>
    <mergeCell ref="A167:D167"/>
    <mergeCell ref="E167:J167"/>
    <mergeCell ref="A168:J168"/>
    <mergeCell ref="A169:J170"/>
    <mergeCell ref="A163:D163"/>
    <mergeCell ref="E163:J163"/>
    <mergeCell ref="A164:D164"/>
    <mergeCell ref="E164:J164"/>
    <mergeCell ref="A165:D165"/>
    <mergeCell ref="E165:J165"/>
    <mergeCell ref="D157:F157"/>
    <mergeCell ref="D158:F158"/>
    <mergeCell ref="D159:F159"/>
    <mergeCell ref="A161:J161"/>
    <mergeCell ref="A162:D162"/>
    <mergeCell ref="E162:J162"/>
    <mergeCell ref="D151:F151"/>
    <mergeCell ref="D152:F152"/>
  </mergeCells>
  <hyperlinks>
    <hyperlink ref="G6" r:id="rId1" xr:uid="{6375F2DA-6100-45D3-A800-F385D031F823}"/>
    <hyperlink ref="G4" r:id="rId2" display="jchang.lax@oecgroup.com" xr:uid="{DA0AEAB5-139C-4EC6-8FF2-A58607024529}"/>
  </hyperlinks>
  <pageMargins left="0.35" right="0.35" top="0.35" bottom="0.35" header="0.3" footer="0.3"/>
  <pageSetup scale="47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F3B2CD-5329-4095-949D-65B32BDBAFED}">
          <x14:formula1>
            <xm:f>'C:\Users\twang\AppData\Local\Microsoft\Windows\Temporary Internet Files\Content.Outlook\U7WJNCNV\[QUOTE TEMPLATE 05-01-21.xltx]Sheet1'!#REF!</xm:f>
          </x14:formula1>
          <xm:sqref>Q13:Q15 C68:C74 C40:C42 C36:C38 C52:C55 C44:C50 C61:C66 C13:C34</xm:sqref>
        </x14:dataValidation>
        <x14:dataValidation type="list" allowBlank="1" showInputMessage="1" showErrorMessage="1" xr:uid="{8F9B5A81-BB5B-4019-BC55-337E99255357}">
          <x14:formula1>
            <xm:f>'C:\Users\twang\AppData\Local\Microsoft\Windows\Temporary Internet Files\Content.Outlook\U7WJNCNV\[QUOTE TEMPLATE 05-01-21.xltx]Sheet1'!#REF!</xm:f>
          </x14:formula1>
          <xm:sqref>E86:E87 E80:E83 E68:E74 E40:E42 E36:E38 E89:E92 E52:E55 E44:E50 E61:E66 E13:E34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A905-BEBB-4C3B-9649-FE4C71FD7413}">
  <sheetPr filterMode="1">
    <pageSetUpPr fitToPage="1"/>
  </sheetPr>
  <dimension ref="A1:AC162"/>
  <sheetViews>
    <sheetView zoomScale="90" zoomScaleNormal="90" zoomScaleSheetLayoutView="82" workbookViewId="0">
      <pane xSplit="4" topLeftCell="E1" activePane="topRight" state="frozen"/>
      <selection activeCell="A19" sqref="A19"/>
      <selection pane="topRight" activeCell="G18" sqref="G18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44727</v>
      </c>
      <c r="C8" s="45" t="s">
        <v>91</v>
      </c>
      <c r="D8" s="44">
        <v>44742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25.5" x14ac:dyDescent="0.25">
      <c r="A13" s="133" t="s">
        <v>81</v>
      </c>
      <c r="B13" s="51" t="s">
        <v>338</v>
      </c>
      <c r="C13" s="94" t="s">
        <v>54</v>
      </c>
      <c r="D13" s="95" t="s">
        <v>383</v>
      </c>
      <c r="E13" s="96" t="s">
        <v>114</v>
      </c>
      <c r="F13" s="97" t="s">
        <v>387</v>
      </c>
      <c r="G13" s="98">
        <f>CEILING(S13+W13+X13+O13+N13+Y13,10)</f>
        <v>8150</v>
      </c>
      <c r="H13" s="99">
        <f>CEILING(T13+W13+X13+O13+N13+Z13,10)</f>
        <v>8910</v>
      </c>
      <c r="I13" s="99">
        <f>CEILING(U13+W13+X13+O13+N13+AA13,10)</f>
        <v>8910</v>
      </c>
      <c r="J13" s="99">
        <f>CEILING(V13+W13+X13+O13+N13+AB13,10)</f>
        <v>10940</v>
      </c>
      <c r="K13" s="57"/>
      <c r="L13" s="156" t="s">
        <v>384</v>
      </c>
      <c r="M13" s="52" t="s">
        <v>292</v>
      </c>
      <c r="N13" s="40">
        <v>0</v>
      </c>
      <c r="O13" s="53">
        <f>VLOOKUP(B13,DRAYAGE!$A$1:$C$107,3,FALSE)</f>
        <v>1310</v>
      </c>
      <c r="P13" s="40" t="s">
        <v>347</v>
      </c>
      <c r="S13" s="101">
        <f t="shared" ref="S13:S27" si="0">0.9*T13</f>
        <v>6840</v>
      </c>
      <c r="T13" s="54">
        <v>7600</v>
      </c>
      <c r="U13" s="103">
        <f>T13</f>
        <v>7600</v>
      </c>
      <c r="V13" s="104">
        <f>U13*1.266</f>
        <v>9621.6</v>
      </c>
      <c r="X13" s="40">
        <v>0</v>
      </c>
    </row>
    <row r="14" spans="1:29" s="40" customFormat="1" ht="25.5" x14ac:dyDescent="0.25">
      <c r="A14" s="133" t="s">
        <v>55</v>
      </c>
      <c r="B14" s="51" t="s">
        <v>338</v>
      </c>
      <c r="C14" s="94" t="s">
        <v>54</v>
      </c>
      <c r="D14" s="95" t="s">
        <v>383</v>
      </c>
      <c r="E14" s="96" t="s">
        <v>114</v>
      </c>
      <c r="F14" s="97" t="s">
        <v>387</v>
      </c>
      <c r="G14" s="98">
        <f t="shared" ref="G14:G19" si="1">CEILING(S14+W14+X14+O14+N14+Y14,10)</f>
        <v>8150</v>
      </c>
      <c r="H14" s="99">
        <f t="shared" ref="H14:H19" si="2">CEILING(T14+W14+X14+O14+N14+Z14,10)</f>
        <v>8910</v>
      </c>
      <c r="I14" s="99">
        <f t="shared" ref="I14:I19" si="3">CEILING(U14+W14+X14+O14+N14+AA14,10)</f>
        <v>8910</v>
      </c>
      <c r="J14" s="99">
        <f t="shared" ref="J14:J19" si="4">CEILING(V14+W14+X14+O14+N14+AB14,10)</f>
        <v>10940</v>
      </c>
      <c r="K14" s="57"/>
      <c r="L14" s="156" t="s">
        <v>384</v>
      </c>
      <c r="M14" s="52" t="s">
        <v>292</v>
      </c>
      <c r="N14" s="40">
        <v>0</v>
      </c>
      <c r="O14" s="53">
        <f>VLOOKUP(B14,DRAYAGE!$A$1:$C$107,3,FALSE)</f>
        <v>1310</v>
      </c>
      <c r="P14" s="40" t="s">
        <v>347</v>
      </c>
      <c r="S14" s="101">
        <f t="shared" si="0"/>
        <v>6840</v>
      </c>
      <c r="T14" s="54">
        <v>7600</v>
      </c>
      <c r="U14" s="103">
        <f t="shared" ref="U14:U59" si="5">T14</f>
        <v>7600</v>
      </c>
      <c r="V14" s="104">
        <f t="shared" ref="V14:V19" si="6">U14*1.266</f>
        <v>9621.6</v>
      </c>
      <c r="X14" s="40">
        <v>0</v>
      </c>
    </row>
    <row r="15" spans="1:29" s="40" customFormat="1" ht="25.5" x14ac:dyDescent="0.25">
      <c r="A15" s="133" t="s">
        <v>56</v>
      </c>
      <c r="B15" s="51" t="s">
        <v>338</v>
      </c>
      <c r="C15" s="94" t="s">
        <v>54</v>
      </c>
      <c r="D15" s="95" t="s">
        <v>383</v>
      </c>
      <c r="E15" s="96" t="s">
        <v>114</v>
      </c>
      <c r="F15" s="97" t="s">
        <v>387</v>
      </c>
      <c r="G15" s="98">
        <f t="shared" si="1"/>
        <v>8510</v>
      </c>
      <c r="H15" s="99">
        <f t="shared" si="2"/>
        <v>9310</v>
      </c>
      <c r="I15" s="99">
        <f t="shared" si="3"/>
        <v>9310</v>
      </c>
      <c r="J15" s="99">
        <f t="shared" si="4"/>
        <v>11440</v>
      </c>
      <c r="K15" s="57"/>
      <c r="L15" s="156" t="s">
        <v>384</v>
      </c>
      <c r="M15" s="52" t="s">
        <v>292</v>
      </c>
      <c r="N15" s="40">
        <v>0</v>
      </c>
      <c r="O15" s="53">
        <f>VLOOKUP(B15,DRAYAGE!$A$1:$C$107,3,FALSE)</f>
        <v>1310</v>
      </c>
      <c r="P15" s="40" t="s">
        <v>347</v>
      </c>
      <c r="S15" s="101">
        <f t="shared" si="0"/>
        <v>7200</v>
      </c>
      <c r="T15" s="54">
        <v>8000</v>
      </c>
      <c r="U15" s="103">
        <f t="shared" si="5"/>
        <v>8000</v>
      </c>
      <c r="V15" s="104">
        <f t="shared" si="6"/>
        <v>10128</v>
      </c>
      <c r="X15" s="40">
        <v>0</v>
      </c>
    </row>
    <row r="16" spans="1:29" s="40" customFormat="1" ht="25.5" x14ac:dyDescent="0.25">
      <c r="A16" s="133" t="s">
        <v>57</v>
      </c>
      <c r="B16" s="51" t="s">
        <v>338</v>
      </c>
      <c r="C16" s="94" t="s">
        <v>54</v>
      </c>
      <c r="D16" s="95" t="s">
        <v>383</v>
      </c>
      <c r="E16" s="96" t="s">
        <v>114</v>
      </c>
      <c r="F16" s="97" t="s">
        <v>387</v>
      </c>
      <c r="G16" s="98">
        <f t="shared" si="1"/>
        <v>8510</v>
      </c>
      <c r="H16" s="99">
        <f t="shared" si="2"/>
        <v>9310</v>
      </c>
      <c r="I16" s="99">
        <f t="shared" si="3"/>
        <v>9310</v>
      </c>
      <c r="J16" s="99">
        <f t="shared" si="4"/>
        <v>11440</v>
      </c>
      <c r="K16" s="57"/>
      <c r="L16" s="156" t="s">
        <v>384</v>
      </c>
      <c r="M16" s="52" t="s">
        <v>292</v>
      </c>
      <c r="N16" s="40">
        <v>0</v>
      </c>
      <c r="O16" s="53">
        <f>VLOOKUP(B16,DRAYAGE!$A$1:$C$107,3,FALSE)</f>
        <v>1310</v>
      </c>
      <c r="P16" s="40" t="s">
        <v>347</v>
      </c>
      <c r="S16" s="101">
        <f t="shared" si="0"/>
        <v>7200</v>
      </c>
      <c r="T16" s="54">
        <v>8000</v>
      </c>
      <c r="U16" s="103">
        <f t="shared" si="5"/>
        <v>8000</v>
      </c>
      <c r="V16" s="104">
        <f t="shared" si="6"/>
        <v>10128</v>
      </c>
      <c r="X16" s="40">
        <v>0</v>
      </c>
    </row>
    <row r="17" spans="1:29" s="40" customFormat="1" ht="25.5" x14ac:dyDescent="0.25">
      <c r="A17" s="133" t="s">
        <v>64</v>
      </c>
      <c r="B17" s="51" t="s">
        <v>338</v>
      </c>
      <c r="C17" s="94" t="s">
        <v>54</v>
      </c>
      <c r="D17" s="95" t="s">
        <v>383</v>
      </c>
      <c r="E17" s="96" t="s">
        <v>114</v>
      </c>
      <c r="F17" s="97" t="s">
        <v>387</v>
      </c>
      <c r="G17" s="98">
        <f>CEILING(S17+W17+X17+O17+N17+Y17,10)</f>
        <v>8510</v>
      </c>
      <c r="H17" s="99">
        <f>CEILING(T17+W17+X17+O17+N17+Z17,10)</f>
        <v>9310</v>
      </c>
      <c r="I17" s="99">
        <f>CEILING(U17+W17+X17+O17+N17+AA17,10)</f>
        <v>9310</v>
      </c>
      <c r="J17" s="99">
        <f>CEILING(V17+W17+X17+O17+N17+AB17,10)</f>
        <v>11440</v>
      </c>
      <c r="K17" s="57"/>
      <c r="L17" s="156" t="s">
        <v>384</v>
      </c>
      <c r="M17" s="52" t="s">
        <v>292</v>
      </c>
      <c r="N17" s="40">
        <v>0</v>
      </c>
      <c r="O17" s="53">
        <f>VLOOKUP(B17,DRAYAGE!$A$1:$C$107,3,FALSE)</f>
        <v>1310</v>
      </c>
      <c r="P17" s="40" t="s">
        <v>347</v>
      </c>
      <c r="S17" s="101">
        <f>0.9*T17</f>
        <v>7200</v>
      </c>
      <c r="T17" s="54">
        <f>T16</f>
        <v>8000</v>
      </c>
      <c r="U17" s="103">
        <f>T17</f>
        <v>8000</v>
      </c>
      <c r="V17" s="104">
        <f>U17*1.266</f>
        <v>10128</v>
      </c>
      <c r="X17" s="40">
        <v>0</v>
      </c>
    </row>
    <row r="18" spans="1:29" s="40" customFormat="1" ht="25.5" x14ac:dyDescent="0.25">
      <c r="A18" s="133" t="s">
        <v>366</v>
      </c>
      <c r="B18" s="51" t="s">
        <v>338</v>
      </c>
      <c r="C18" s="94" t="s">
        <v>54</v>
      </c>
      <c r="D18" s="95" t="s">
        <v>383</v>
      </c>
      <c r="E18" s="96" t="s">
        <v>114</v>
      </c>
      <c r="F18" s="97" t="s">
        <v>387</v>
      </c>
      <c r="G18" s="98">
        <f>CEILING(S18+W18+X18+O18+N18+Y18,10)</f>
        <v>9410</v>
      </c>
      <c r="H18" s="99">
        <f>CEILING(T18+W18+X18+O18+N18+Z18,10)</f>
        <v>10310</v>
      </c>
      <c r="I18" s="99">
        <f>CEILING(U18+W18+X18+O18+N18+AA18,10)</f>
        <v>10310</v>
      </c>
      <c r="J18" s="99">
        <f>CEILING(V18+W18+X18+O18+N18+AB18,10)</f>
        <v>12710</v>
      </c>
      <c r="K18" s="57"/>
      <c r="L18" s="156" t="s">
        <v>384</v>
      </c>
      <c r="M18" s="52" t="s">
        <v>292</v>
      </c>
      <c r="N18" s="40">
        <v>0</v>
      </c>
      <c r="O18" s="53">
        <f>VLOOKUP(B18,DRAYAGE!$A$1:$C$107,3,FALSE)</f>
        <v>1310</v>
      </c>
      <c r="P18" s="40" t="s">
        <v>347</v>
      </c>
      <c r="S18" s="101">
        <f>0.9*T18</f>
        <v>8100</v>
      </c>
      <c r="T18" s="54">
        <f>T16+1000</f>
        <v>9000</v>
      </c>
      <c r="U18" s="103">
        <f>T18</f>
        <v>9000</v>
      </c>
      <c r="V18" s="104">
        <f>U18*1.266</f>
        <v>11394</v>
      </c>
      <c r="X18" s="40">
        <v>0</v>
      </c>
    </row>
    <row r="19" spans="1:29" s="40" customFormat="1" ht="25.5" x14ac:dyDescent="0.25">
      <c r="A19" s="133" t="s">
        <v>59</v>
      </c>
      <c r="B19" s="51" t="s">
        <v>338</v>
      </c>
      <c r="C19" s="94" t="s">
        <v>54</v>
      </c>
      <c r="D19" s="95" t="s">
        <v>383</v>
      </c>
      <c r="E19" s="96" t="s">
        <v>114</v>
      </c>
      <c r="F19" s="97" t="s">
        <v>387</v>
      </c>
      <c r="G19" s="98">
        <f t="shared" si="1"/>
        <v>8150</v>
      </c>
      <c r="H19" s="99">
        <f t="shared" si="2"/>
        <v>8910</v>
      </c>
      <c r="I19" s="99">
        <f t="shared" si="3"/>
        <v>8910</v>
      </c>
      <c r="J19" s="99">
        <f t="shared" si="4"/>
        <v>10940</v>
      </c>
      <c r="K19" s="57"/>
      <c r="L19" s="156" t="s">
        <v>384</v>
      </c>
      <c r="M19" s="52" t="s">
        <v>292</v>
      </c>
      <c r="N19" s="40">
        <v>0</v>
      </c>
      <c r="O19" s="53">
        <f>VLOOKUP(B19,DRAYAGE!$A$1:$C$107,3,FALSE)</f>
        <v>1310</v>
      </c>
      <c r="P19" s="40" t="s">
        <v>347</v>
      </c>
      <c r="S19" s="101">
        <f t="shared" si="0"/>
        <v>6840</v>
      </c>
      <c r="T19" s="54">
        <v>7600</v>
      </c>
      <c r="U19" s="103">
        <f t="shared" si="5"/>
        <v>7600</v>
      </c>
      <c r="V19" s="104">
        <f t="shared" si="6"/>
        <v>9621.6</v>
      </c>
      <c r="X19" s="40">
        <v>0</v>
      </c>
    </row>
    <row r="20" spans="1:29" s="40" customFormat="1" ht="25.5" x14ac:dyDescent="0.25">
      <c r="A20" s="133" t="s">
        <v>60</v>
      </c>
      <c r="B20" s="51" t="s">
        <v>338</v>
      </c>
      <c r="C20" s="94" t="s">
        <v>54</v>
      </c>
      <c r="D20" s="95" t="s">
        <v>383</v>
      </c>
      <c r="E20" s="96" t="s">
        <v>114</v>
      </c>
      <c r="F20" s="97" t="s">
        <v>387</v>
      </c>
      <c r="G20" s="98">
        <f>CEILING(S20+W20+X20+O20+N20+Y20,10)</f>
        <v>8150</v>
      </c>
      <c r="H20" s="99">
        <f>CEILING(T20+W20+X20+O20+N20+Z20,10)</f>
        <v>8910</v>
      </c>
      <c r="I20" s="99">
        <f>CEILING(U20+W20+X20+O20+N20+AA20,10)</f>
        <v>8910</v>
      </c>
      <c r="J20" s="99">
        <f>CEILING(V20+W20+X20+O20+N20+AB20,10)</f>
        <v>10940</v>
      </c>
      <c r="K20" s="57"/>
      <c r="L20" s="156" t="s">
        <v>384</v>
      </c>
      <c r="M20" s="52" t="s">
        <v>292</v>
      </c>
      <c r="N20" s="40">
        <v>0</v>
      </c>
      <c r="O20" s="53">
        <f>VLOOKUP(B20,DRAYAGE!$A$1:$C$107,3,FALSE)</f>
        <v>1310</v>
      </c>
      <c r="P20" s="40" t="s">
        <v>347</v>
      </c>
      <c r="S20" s="101">
        <f t="shared" si="0"/>
        <v>6840</v>
      </c>
      <c r="T20" s="54">
        <v>7600</v>
      </c>
      <c r="U20" s="103">
        <f t="shared" si="5"/>
        <v>7600</v>
      </c>
      <c r="V20" s="104">
        <f>U20*1.266</f>
        <v>9621.6</v>
      </c>
      <c r="X20" s="40">
        <v>0</v>
      </c>
    </row>
    <row r="21" spans="1:29" s="40" customFormat="1" ht="25.5" x14ac:dyDescent="0.25">
      <c r="A21" s="133" t="s">
        <v>376</v>
      </c>
      <c r="B21" s="51" t="s">
        <v>338</v>
      </c>
      <c r="C21" s="94" t="s">
        <v>54</v>
      </c>
      <c r="D21" s="95" t="s">
        <v>383</v>
      </c>
      <c r="E21" s="96" t="s">
        <v>114</v>
      </c>
      <c r="F21" s="97" t="s">
        <v>387</v>
      </c>
      <c r="G21" s="98">
        <f t="shared" ref="G21:G27" si="7">CEILING(S21+W21+X21+O21+N21+Y21,10)</f>
        <v>8150</v>
      </c>
      <c r="H21" s="99">
        <f t="shared" ref="H21:H27" si="8">CEILING(T21+W21+X21+O21+N21+Z21,10)</f>
        <v>8910</v>
      </c>
      <c r="I21" s="99">
        <f t="shared" ref="I21:I27" si="9">CEILING(U21+W21+X21+O21+N21+AA21,10)</f>
        <v>8910</v>
      </c>
      <c r="J21" s="99">
        <f t="shared" ref="J21:J27" si="10">CEILING(V21+W21+X21+O21+N21+AB21,10)</f>
        <v>10940</v>
      </c>
      <c r="K21" s="57"/>
      <c r="L21" s="156" t="s">
        <v>384</v>
      </c>
      <c r="M21" s="52" t="s">
        <v>292</v>
      </c>
      <c r="N21" s="40">
        <v>0</v>
      </c>
      <c r="O21" s="53">
        <f>VLOOKUP(B21,DRAYAGE!$A$1:$C$107,3,FALSE)</f>
        <v>1310</v>
      </c>
      <c r="P21" s="40" t="s">
        <v>347</v>
      </c>
      <c r="S21" s="101">
        <f t="shared" si="0"/>
        <v>6840</v>
      </c>
      <c r="T21" s="54">
        <v>7600</v>
      </c>
      <c r="U21" s="103">
        <f t="shared" si="5"/>
        <v>7600</v>
      </c>
      <c r="V21" s="104">
        <f t="shared" ref="V21:V27" si="11">U21*1.266</f>
        <v>9621.6</v>
      </c>
      <c r="X21" s="40">
        <v>0</v>
      </c>
    </row>
    <row r="22" spans="1:29" s="40" customFormat="1" ht="25.5" x14ac:dyDescent="0.25">
      <c r="A22" s="133" t="s">
        <v>108</v>
      </c>
      <c r="B22" s="51" t="s">
        <v>338</v>
      </c>
      <c r="C22" s="94" t="s">
        <v>54</v>
      </c>
      <c r="D22" s="95" t="s">
        <v>383</v>
      </c>
      <c r="E22" s="96" t="s">
        <v>114</v>
      </c>
      <c r="F22" s="97" t="s">
        <v>387</v>
      </c>
      <c r="G22" s="98">
        <f t="shared" si="7"/>
        <v>8420</v>
      </c>
      <c r="H22" s="99">
        <f t="shared" si="8"/>
        <v>9210</v>
      </c>
      <c r="I22" s="99">
        <f t="shared" si="9"/>
        <v>9210</v>
      </c>
      <c r="J22" s="99">
        <f t="shared" si="10"/>
        <v>11320</v>
      </c>
      <c r="K22" s="57"/>
      <c r="L22" s="156" t="s">
        <v>384</v>
      </c>
      <c r="M22" s="52" t="s">
        <v>292</v>
      </c>
      <c r="N22" s="40">
        <v>0</v>
      </c>
      <c r="O22" s="53">
        <f>VLOOKUP(B22,DRAYAGE!$A$1:$C$107,3,FALSE)</f>
        <v>1310</v>
      </c>
      <c r="P22" s="40" t="s">
        <v>347</v>
      </c>
      <c r="S22" s="101">
        <f t="shared" si="0"/>
        <v>7110</v>
      </c>
      <c r="T22" s="54">
        <v>7900</v>
      </c>
      <c r="U22" s="103">
        <f t="shared" si="5"/>
        <v>7900</v>
      </c>
      <c r="V22" s="104">
        <f t="shared" si="11"/>
        <v>10001.4</v>
      </c>
      <c r="X22" s="40">
        <v>0</v>
      </c>
    </row>
    <row r="23" spans="1:29" s="40" customFormat="1" ht="25.5" x14ac:dyDescent="0.25">
      <c r="A23" s="133" t="s">
        <v>62</v>
      </c>
      <c r="B23" s="51" t="s">
        <v>338</v>
      </c>
      <c r="C23" s="94" t="s">
        <v>54</v>
      </c>
      <c r="D23" s="95" t="s">
        <v>383</v>
      </c>
      <c r="E23" s="96" t="s">
        <v>114</v>
      </c>
      <c r="F23" s="97" t="s">
        <v>387</v>
      </c>
      <c r="G23" s="98">
        <f t="shared" si="7"/>
        <v>8510</v>
      </c>
      <c r="H23" s="99">
        <f t="shared" si="8"/>
        <v>9310</v>
      </c>
      <c r="I23" s="99">
        <f t="shared" si="9"/>
        <v>9310</v>
      </c>
      <c r="J23" s="99">
        <f t="shared" si="10"/>
        <v>11440</v>
      </c>
      <c r="K23" s="57"/>
      <c r="L23" s="156" t="s">
        <v>384</v>
      </c>
      <c r="M23" s="52" t="s">
        <v>292</v>
      </c>
      <c r="N23" s="40">
        <v>0</v>
      </c>
      <c r="O23" s="53">
        <f>VLOOKUP(B23,DRAYAGE!$A$1:$C$107,3,FALSE)</f>
        <v>1310</v>
      </c>
      <c r="P23" s="40" t="s">
        <v>347</v>
      </c>
      <c r="S23" s="101">
        <f t="shared" si="0"/>
        <v>7200</v>
      </c>
      <c r="T23" s="54">
        <v>8000</v>
      </c>
      <c r="U23" s="103">
        <f t="shared" si="5"/>
        <v>8000</v>
      </c>
      <c r="V23" s="104">
        <f t="shared" si="11"/>
        <v>10128</v>
      </c>
      <c r="X23" s="40">
        <v>0</v>
      </c>
      <c r="Y23" s="40">
        <f>0.9*Z23</f>
        <v>0</v>
      </c>
      <c r="AA23" s="40">
        <f>Z23</f>
        <v>0</v>
      </c>
      <c r="AB23" s="40">
        <f>Z23*1.266</f>
        <v>0</v>
      </c>
    </row>
    <row r="24" spans="1:29" s="40" customFormat="1" ht="25.5" x14ac:dyDescent="0.25">
      <c r="A24" s="133" t="s">
        <v>66</v>
      </c>
      <c r="B24" s="51" t="s">
        <v>338</v>
      </c>
      <c r="C24" s="94" t="s">
        <v>54</v>
      </c>
      <c r="D24" s="95" t="s">
        <v>383</v>
      </c>
      <c r="E24" s="96" t="s">
        <v>114</v>
      </c>
      <c r="F24" s="97" t="s">
        <v>387</v>
      </c>
      <c r="G24" s="98">
        <f t="shared" si="7"/>
        <v>8510</v>
      </c>
      <c r="H24" s="99">
        <f t="shared" si="8"/>
        <v>9310</v>
      </c>
      <c r="I24" s="99">
        <f t="shared" si="9"/>
        <v>9310</v>
      </c>
      <c r="J24" s="99">
        <f t="shared" si="10"/>
        <v>11440</v>
      </c>
      <c r="K24" s="57"/>
      <c r="L24" s="156" t="s">
        <v>384</v>
      </c>
      <c r="M24" s="52" t="s">
        <v>292</v>
      </c>
      <c r="N24" s="40">
        <v>0</v>
      </c>
      <c r="O24" s="53">
        <f>VLOOKUP(B24,DRAYAGE!$A$1:$C$107,3,FALSE)</f>
        <v>1310</v>
      </c>
      <c r="P24" s="40" t="s">
        <v>347</v>
      </c>
      <c r="S24" s="101">
        <f t="shared" si="0"/>
        <v>7200</v>
      </c>
      <c r="T24" s="54">
        <v>8000</v>
      </c>
      <c r="U24" s="103">
        <f t="shared" si="5"/>
        <v>8000</v>
      </c>
      <c r="V24" s="104">
        <f t="shared" si="11"/>
        <v>10128</v>
      </c>
      <c r="X24" s="40">
        <v>0</v>
      </c>
    </row>
    <row r="25" spans="1:29" s="40" customFormat="1" ht="25.5" x14ac:dyDescent="0.25">
      <c r="A25" s="133" t="s">
        <v>65</v>
      </c>
      <c r="B25" s="51" t="s">
        <v>338</v>
      </c>
      <c r="C25" s="94" t="s">
        <v>54</v>
      </c>
      <c r="D25" s="95" t="s">
        <v>383</v>
      </c>
      <c r="E25" s="96" t="s">
        <v>114</v>
      </c>
      <c r="F25" s="97" t="s">
        <v>387</v>
      </c>
      <c r="G25" s="98">
        <f t="shared" si="7"/>
        <v>8510</v>
      </c>
      <c r="H25" s="99">
        <f t="shared" si="8"/>
        <v>9310</v>
      </c>
      <c r="I25" s="99">
        <f t="shared" si="9"/>
        <v>9310</v>
      </c>
      <c r="J25" s="99">
        <f t="shared" si="10"/>
        <v>11440</v>
      </c>
      <c r="K25" s="57"/>
      <c r="L25" s="156" t="s">
        <v>384</v>
      </c>
      <c r="M25" s="52" t="s">
        <v>292</v>
      </c>
      <c r="N25" s="40">
        <v>0</v>
      </c>
      <c r="O25" s="53">
        <f>VLOOKUP(B25,DRAYAGE!$A$1:$C$107,3,FALSE)</f>
        <v>1310</v>
      </c>
      <c r="P25" s="40" t="s">
        <v>347</v>
      </c>
      <c r="S25" s="101">
        <f t="shared" si="0"/>
        <v>7200</v>
      </c>
      <c r="T25" s="54">
        <v>8000</v>
      </c>
      <c r="U25" s="103">
        <f t="shared" si="5"/>
        <v>8000</v>
      </c>
      <c r="V25" s="104">
        <f t="shared" si="11"/>
        <v>10128</v>
      </c>
      <c r="X25" s="40">
        <v>0</v>
      </c>
      <c r="Y25" s="40">
        <f>0.9*Z25</f>
        <v>0</v>
      </c>
      <c r="AA25" s="40">
        <f>Z25</f>
        <v>0</v>
      </c>
      <c r="AB25" s="40">
        <f>Z25*1.266</f>
        <v>0</v>
      </c>
    </row>
    <row r="26" spans="1:29" s="40" customFormat="1" ht="25.5" x14ac:dyDescent="0.25">
      <c r="A26" s="133" t="s">
        <v>63</v>
      </c>
      <c r="B26" s="51" t="s">
        <v>338</v>
      </c>
      <c r="C26" s="94" t="s">
        <v>54</v>
      </c>
      <c r="D26" s="95" t="s">
        <v>383</v>
      </c>
      <c r="E26" s="96" t="s">
        <v>114</v>
      </c>
      <c r="F26" s="97" t="s">
        <v>387</v>
      </c>
      <c r="G26" s="98">
        <f t="shared" si="7"/>
        <v>8510</v>
      </c>
      <c r="H26" s="99">
        <f t="shared" si="8"/>
        <v>9310</v>
      </c>
      <c r="I26" s="99">
        <f t="shared" si="9"/>
        <v>9310</v>
      </c>
      <c r="J26" s="99">
        <f t="shared" si="10"/>
        <v>11440</v>
      </c>
      <c r="K26" s="57"/>
      <c r="L26" s="156" t="s">
        <v>384</v>
      </c>
      <c r="M26" s="52" t="s">
        <v>292</v>
      </c>
      <c r="N26" s="40">
        <v>0</v>
      </c>
      <c r="O26" s="53">
        <f>VLOOKUP(B26,DRAYAGE!$A$1:$C$107,3,FALSE)</f>
        <v>1310</v>
      </c>
      <c r="P26" s="40" t="s">
        <v>347</v>
      </c>
      <c r="S26" s="101">
        <f t="shared" si="0"/>
        <v>7200</v>
      </c>
      <c r="T26" s="54">
        <v>8000</v>
      </c>
      <c r="U26" s="103">
        <f t="shared" si="5"/>
        <v>8000</v>
      </c>
      <c r="V26" s="104">
        <f t="shared" si="11"/>
        <v>10128</v>
      </c>
      <c r="X26" s="40">
        <v>0</v>
      </c>
      <c r="Y26" s="40">
        <f>0.9*Z26</f>
        <v>0</v>
      </c>
      <c r="AA26" s="40">
        <f>Z26</f>
        <v>0</v>
      </c>
      <c r="AB26" s="40">
        <f>Z26*1.266</f>
        <v>0</v>
      </c>
    </row>
    <row r="27" spans="1:29" s="45" customFormat="1" ht="25.5" x14ac:dyDescent="0.25">
      <c r="A27" s="133" t="s">
        <v>275</v>
      </c>
      <c r="B27" s="51" t="s">
        <v>338</v>
      </c>
      <c r="C27" s="106" t="s">
        <v>54</v>
      </c>
      <c r="D27" s="95" t="s">
        <v>383</v>
      </c>
      <c r="E27" s="107" t="s">
        <v>114</v>
      </c>
      <c r="F27" s="97" t="s">
        <v>387</v>
      </c>
      <c r="G27" s="98">
        <f t="shared" si="7"/>
        <v>8510</v>
      </c>
      <c r="H27" s="99">
        <f t="shared" si="8"/>
        <v>9310</v>
      </c>
      <c r="I27" s="99">
        <f t="shared" si="9"/>
        <v>9310</v>
      </c>
      <c r="J27" s="99">
        <f t="shared" si="10"/>
        <v>11440</v>
      </c>
      <c r="K27" s="111"/>
      <c r="L27" s="156" t="s">
        <v>384</v>
      </c>
      <c r="M27" s="52" t="s">
        <v>292</v>
      </c>
      <c r="N27" s="45">
        <v>0</v>
      </c>
      <c r="O27" s="53">
        <f>VLOOKUP(B27,DRAYAGE!$A$1:$C$107,3,FALSE)</f>
        <v>1310</v>
      </c>
      <c r="P27" s="40" t="s">
        <v>347</v>
      </c>
      <c r="R27" s="105"/>
      <c r="S27" s="113">
        <f t="shared" si="0"/>
        <v>7200</v>
      </c>
      <c r="T27" s="54">
        <v>8000</v>
      </c>
      <c r="U27" s="103">
        <f t="shared" si="5"/>
        <v>8000</v>
      </c>
      <c r="V27" s="114">
        <f t="shared" si="11"/>
        <v>10128</v>
      </c>
      <c r="X27" s="45">
        <v>0</v>
      </c>
      <c r="Y27" s="40">
        <f>0.9*Z27</f>
        <v>0</v>
      </c>
      <c r="AA27" s="40">
        <f>Z27</f>
        <v>0</v>
      </c>
      <c r="AB27" s="40">
        <f>Z27*1.266</f>
        <v>0</v>
      </c>
    </row>
    <row r="28" spans="1:29" s="40" customFormat="1" ht="14.45" customHeight="1" x14ac:dyDescent="0.25">
      <c r="A28" s="134" t="s">
        <v>333</v>
      </c>
      <c r="B28" s="88"/>
      <c r="C28" s="88"/>
      <c r="D28" s="88"/>
      <c r="E28" s="210"/>
      <c r="F28" s="211"/>
      <c r="G28" s="88"/>
      <c r="H28" s="88"/>
      <c r="I28" s="88"/>
      <c r="J28" s="88"/>
      <c r="K28" s="57"/>
      <c r="L28" s="89" t="s">
        <v>48</v>
      </c>
      <c r="M28" s="89" t="s">
        <v>261</v>
      </c>
      <c r="N28" s="90" t="s">
        <v>51</v>
      </c>
      <c r="O28" s="91" t="s">
        <v>50</v>
      </c>
      <c r="P28" s="91" t="s">
        <v>262</v>
      </c>
      <c r="Q28" s="91" t="s">
        <v>263</v>
      </c>
      <c r="R28" s="91" t="s">
        <v>264</v>
      </c>
      <c r="S28" s="92" t="s">
        <v>52</v>
      </c>
      <c r="T28" s="92" t="s">
        <v>53</v>
      </c>
      <c r="U28" s="92" t="s">
        <v>265</v>
      </c>
      <c r="V28" s="92" t="s">
        <v>266</v>
      </c>
      <c r="W28" s="92" t="s">
        <v>267</v>
      </c>
      <c r="X28" s="92" t="s">
        <v>268</v>
      </c>
      <c r="Y28" s="92" t="s">
        <v>52</v>
      </c>
      <c r="Z28" s="92" t="s">
        <v>53</v>
      </c>
      <c r="AA28" s="92" t="s">
        <v>265</v>
      </c>
      <c r="AB28" s="92" t="s">
        <v>266</v>
      </c>
      <c r="AC28" s="93" t="s">
        <v>269</v>
      </c>
    </row>
    <row r="29" spans="1:29" s="40" customFormat="1" ht="14.45" customHeight="1" x14ac:dyDescent="0.25">
      <c r="A29" s="133" t="s">
        <v>58</v>
      </c>
      <c r="B29" s="51" t="s">
        <v>339</v>
      </c>
      <c r="C29" s="94" t="s">
        <v>54</v>
      </c>
      <c r="D29" s="95" t="s">
        <v>383</v>
      </c>
      <c r="E29" s="96" t="s">
        <v>114</v>
      </c>
      <c r="F29" s="97" t="s">
        <v>270</v>
      </c>
      <c r="G29" s="98">
        <f>CEILING(S29+W29+X29+O29+N29+Y29,10)</f>
        <v>11670</v>
      </c>
      <c r="H29" s="99">
        <f>CEILING(T29+W29+X29+O29+N29+Z29,10)</f>
        <v>12670</v>
      </c>
      <c r="I29" s="99">
        <f>CEILING(U29+W29+X29+O29+N29+AA29,10)</f>
        <v>12670</v>
      </c>
      <c r="J29" s="99">
        <f>CEILING(V29+W29+X29+O29+N29+AB29,10)</f>
        <v>15330</v>
      </c>
      <c r="K29" s="57"/>
      <c r="L29" s="156" t="s">
        <v>384</v>
      </c>
      <c r="M29" s="52" t="s">
        <v>293</v>
      </c>
      <c r="N29" s="40">
        <v>0</v>
      </c>
      <c r="O29" s="53">
        <f>VLOOKUP(B29,DRAYAGE!$A$1:$C$107,3,FALSE)</f>
        <v>2665</v>
      </c>
      <c r="P29" s="40" t="s">
        <v>299</v>
      </c>
      <c r="S29" s="101">
        <f>0.9*T29</f>
        <v>9000</v>
      </c>
      <c r="T29" s="54">
        <f>9500+500</f>
        <v>10000</v>
      </c>
      <c r="U29" s="103">
        <f t="shared" si="5"/>
        <v>10000</v>
      </c>
      <c r="V29" s="104">
        <f>U29*1.266</f>
        <v>12660</v>
      </c>
    </row>
    <row r="30" spans="1:29" s="40" customFormat="1" ht="14.45" customHeight="1" x14ac:dyDescent="0.25">
      <c r="A30" s="133" t="s">
        <v>55</v>
      </c>
      <c r="B30" s="51" t="s">
        <v>339</v>
      </c>
      <c r="C30" s="94" t="s">
        <v>54</v>
      </c>
      <c r="D30" s="95" t="s">
        <v>383</v>
      </c>
      <c r="E30" s="96" t="s">
        <v>114</v>
      </c>
      <c r="F30" s="97" t="s">
        <v>270</v>
      </c>
      <c r="G30" s="98">
        <f>CEILING(S30+W30+X30+O30+N30+Y30,10)</f>
        <v>11400</v>
      </c>
      <c r="H30" s="99">
        <f>CEILING(T30+W30+X30+O30+N30+Z30,10)</f>
        <v>12370</v>
      </c>
      <c r="I30" s="99">
        <f>CEILING(U30+W30+X30+O30+N30+AA30,10)</f>
        <v>12370</v>
      </c>
      <c r="J30" s="99">
        <f>CEILING(V30+W30+X30+O30+N30+AB30,10)</f>
        <v>14950</v>
      </c>
      <c r="K30" s="57"/>
      <c r="L30" s="156" t="s">
        <v>384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S30" s="101">
        <f>0.9*T30</f>
        <v>8730</v>
      </c>
      <c r="T30" s="54">
        <v>9700</v>
      </c>
      <c r="U30" s="103">
        <f t="shared" si="5"/>
        <v>9700</v>
      </c>
      <c r="V30" s="104">
        <f>U30*1.266</f>
        <v>12280.2</v>
      </c>
    </row>
    <row r="31" spans="1:29" s="40" customFormat="1" ht="14.45" customHeight="1" x14ac:dyDescent="0.25">
      <c r="A31" s="133" t="s">
        <v>61</v>
      </c>
      <c r="B31" s="51" t="s">
        <v>339</v>
      </c>
      <c r="C31" s="94" t="s">
        <v>54</v>
      </c>
      <c r="D31" s="95" t="s">
        <v>383</v>
      </c>
      <c r="E31" s="96" t="s">
        <v>114</v>
      </c>
      <c r="F31" s="97" t="s">
        <v>270</v>
      </c>
      <c r="G31" s="98">
        <f>CEILING(S31+W31+X31+O31+N31+Y31,10)</f>
        <v>11400</v>
      </c>
      <c r="H31" s="99">
        <f>CEILING(T31+W31+X31+O31+N31+Z31,10)</f>
        <v>12370</v>
      </c>
      <c r="I31" s="99">
        <f>CEILING(U31+W31+X31+O31+N31+AA31,10)</f>
        <v>12370</v>
      </c>
      <c r="J31" s="99">
        <f>CEILING(V31+W31+X31+O31+N31+AB31,10)</f>
        <v>14950</v>
      </c>
      <c r="K31" s="57"/>
      <c r="L31" s="156" t="s">
        <v>384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S31" s="101">
        <f>0.9*T31</f>
        <v>8730</v>
      </c>
      <c r="T31" s="54">
        <v>9700</v>
      </c>
      <c r="U31" s="103">
        <f t="shared" si="5"/>
        <v>9700</v>
      </c>
      <c r="V31" s="104">
        <f>U31*1.266</f>
        <v>12280.2</v>
      </c>
    </row>
    <row r="32" spans="1:29" s="40" customFormat="1" ht="14.45" customHeight="1" x14ac:dyDescent="0.25">
      <c r="A32" s="134" t="s">
        <v>334</v>
      </c>
      <c r="B32" s="88"/>
      <c r="C32" s="88"/>
      <c r="D32" s="88"/>
      <c r="E32" s="210"/>
      <c r="F32" s="211"/>
      <c r="G32" s="88"/>
      <c r="H32" s="88"/>
      <c r="I32" s="88"/>
      <c r="J32" s="88"/>
      <c r="K32" s="57"/>
      <c r="L32" s="89" t="s">
        <v>48</v>
      </c>
      <c r="M32" s="89" t="s">
        <v>261</v>
      </c>
      <c r="N32" s="90" t="s">
        <v>51</v>
      </c>
      <c r="O32" s="91" t="s">
        <v>50</v>
      </c>
      <c r="P32" s="91" t="s">
        <v>262</v>
      </c>
      <c r="Q32" s="91" t="s">
        <v>263</v>
      </c>
      <c r="R32" s="91" t="s">
        <v>264</v>
      </c>
      <c r="S32" s="92" t="s">
        <v>52</v>
      </c>
      <c r="T32" s="92" t="s">
        <v>53</v>
      </c>
      <c r="U32" s="92" t="s">
        <v>265</v>
      </c>
      <c r="V32" s="92" t="s">
        <v>266</v>
      </c>
      <c r="W32" s="92" t="s">
        <v>267</v>
      </c>
      <c r="X32" s="92" t="s">
        <v>268</v>
      </c>
      <c r="Y32" s="92" t="s">
        <v>52</v>
      </c>
      <c r="Z32" s="92" t="s">
        <v>53</v>
      </c>
      <c r="AA32" s="92" t="s">
        <v>265</v>
      </c>
      <c r="AB32" s="92" t="s">
        <v>266</v>
      </c>
      <c r="AC32" s="93" t="s">
        <v>269</v>
      </c>
    </row>
    <row r="33" spans="1:29" s="40" customFormat="1" ht="14.45" customHeight="1" x14ac:dyDescent="0.25">
      <c r="A33" s="133" t="s">
        <v>58</v>
      </c>
      <c r="B33" s="51" t="s">
        <v>341</v>
      </c>
      <c r="C33" s="94" t="s">
        <v>54</v>
      </c>
      <c r="D33" s="95" t="s">
        <v>383</v>
      </c>
      <c r="E33" s="96" t="s">
        <v>114</v>
      </c>
      <c r="F33" s="97" t="s">
        <v>270</v>
      </c>
      <c r="G33" s="98">
        <f>CEILING(S33+W33+X33+O33+N33+Y33,10)</f>
        <v>10690</v>
      </c>
      <c r="H33" s="99">
        <f>CEILING(T33+W33+X33+O33+N33+Z33,10)</f>
        <v>11690</v>
      </c>
      <c r="I33" s="99">
        <f>CEILING(U33+W33+X33+O33+N33+AA33,10)</f>
        <v>11690</v>
      </c>
      <c r="J33" s="99">
        <f>CEILING(V33+W33+X33+O33+N33+AB33,10)</f>
        <v>14350</v>
      </c>
      <c r="K33" s="57"/>
      <c r="L33" s="156" t="s">
        <v>384</v>
      </c>
      <c r="M33" s="52" t="s">
        <v>293</v>
      </c>
      <c r="N33" s="40">
        <v>0</v>
      </c>
      <c r="O33" s="53">
        <f>VLOOKUP(B33,DRAYAGE!$A$1:$C$107,3,FALSE)</f>
        <v>1690</v>
      </c>
      <c r="P33" s="40" t="s">
        <v>299</v>
      </c>
      <c r="S33" s="101">
        <f>0.9*T33</f>
        <v>9000</v>
      </c>
      <c r="T33" s="54">
        <f>T29</f>
        <v>10000</v>
      </c>
      <c r="U33" s="103">
        <f t="shared" si="5"/>
        <v>10000</v>
      </c>
      <c r="V33" s="104">
        <f>U33*1.266</f>
        <v>12660</v>
      </c>
      <c r="X33" s="40">
        <v>0</v>
      </c>
    </row>
    <row r="34" spans="1:29" s="40" customFormat="1" ht="14.45" customHeight="1" x14ac:dyDescent="0.25">
      <c r="A34" s="133" t="s">
        <v>55</v>
      </c>
      <c r="B34" s="51" t="s">
        <v>341</v>
      </c>
      <c r="C34" s="94" t="s">
        <v>54</v>
      </c>
      <c r="D34" s="95" t="s">
        <v>383</v>
      </c>
      <c r="E34" s="96" t="s">
        <v>114</v>
      </c>
      <c r="F34" s="97" t="s">
        <v>270</v>
      </c>
      <c r="G34" s="98">
        <f>CEILING(S34+W34+X34+O34+N34+Y34,10)</f>
        <v>10420</v>
      </c>
      <c r="H34" s="99">
        <f>CEILING(T34+W34+X34+O34+N34+Z34,10)</f>
        <v>11390</v>
      </c>
      <c r="I34" s="99">
        <f>CEILING(U34+W34+X34+O34+N34+AA34,10)</f>
        <v>11390</v>
      </c>
      <c r="J34" s="99">
        <f>CEILING(V34+W34+X34+O34+N34+AB34,10)</f>
        <v>13980</v>
      </c>
      <c r="K34" s="57"/>
      <c r="L34" s="156" t="s">
        <v>384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S34" s="101">
        <f>0.9*T34</f>
        <v>8730</v>
      </c>
      <c r="T34" s="54">
        <f>T30</f>
        <v>9700</v>
      </c>
      <c r="U34" s="103">
        <f t="shared" si="5"/>
        <v>9700</v>
      </c>
      <c r="V34" s="104">
        <f>U34*1.266</f>
        <v>12280.2</v>
      </c>
      <c r="X34" s="40">
        <v>0</v>
      </c>
    </row>
    <row r="35" spans="1:29" s="40" customFormat="1" ht="14.45" customHeight="1" x14ac:dyDescent="0.25">
      <c r="A35" s="133" t="s">
        <v>61</v>
      </c>
      <c r="B35" s="51" t="s">
        <v>341</v>
      </c>
      <c r="C35" s="94" t="s">
        <v>54</v>
      </c>
      <c r="D35" s="95" t="s">
        <v>383</v>
      </c>
      <c r="E35" s="96" t="s">
        <v>114</v>
      </c>
      <c r="F35" s="97" t="s">
        <v>270</v>
      </c>
      <c r="G35" s="98">
        <f>CEILING(S35+W35+X35+O35+N35+Y35,10)</f>
        <v>10420</v>
      </c>
      <c r="H35" s="99">
        <f>CEILING(T35+W35+X35+O35+N35+Z35,10)</f>
        <v>11390</v>
      </c>
      <c r="I35" s="99">
        <f>CEILING(U35+W35+X35+O35+N35+AA35,10)</f>
        <v>11390</v>
      </c>
      <c r="J35" s="99">
        <f>CEILING(V35+W35+X35+O35+N35+AB35,10)</f>
        <v>13980</v>
      </c>
      <c r="K35" s="57"/>
      <c r="L35" s="156" t="s">
        <v>384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S35" s="101">
        <f>0.9*T35</f>
        <v>8730</v>
      </c>
      <c r="T35" s="54">
        <f>T31</f>
        <v>9700</v>
      </c>
      <c r="U35" s="103">
        <f t="shared" si="5"/>
        <v>9700</v>
      </c>
      <c r="V35" s="104">
        <f>U35*1.266</f>
        <v>12280.2</v>
      </c>
      <c r="X35" s="40">
        <v>0</v>
      </c>
    </row>
    <row r="36" spans="1:29" s="40" customFormat="1" ht="14.45" customHeight="1" x14ac:dyDescent="0.25">
      <c r="A36" s="134" t="s">
        <v>335</v>
      </c>
      <c r="B36" s="88"/>
      <c r="C36" s="88"/>
      <c r="D36" s="88"/>
      <c r="E36" s="210"/>
      <c r="F36" s="211"/>
      <c r="G36" s="88"/>
      <c r="H36" s="88"/>
      <c r="I36" s="88"/>
      <c r="J36" s="88"/>
      <c r="K36" s="57"/>
      <c r="L36" s="89" t="s">
        <v>48</v>
      </c>
      <c r="M36" s="89" t="s">
        <v>261</v>
      </c>
      <c r="N36" s="90" t="s">
        <v>51</v>
      </c>
      <c r="O36" s="91" t="s">
        <v>50</v>
      </c>
      <c r="P36" s="91" t="s">
        <v>262</v>
      </c>
      <c r="Q36" s="91" t="s">
        <v>263</v>
      </c>
      <c r="R36" s="91" t="s">
        <v>264</v>
      </c>
      <c r="S36" s="92" t="s">
        <v>52</v>
      </c>
      <c r="T36" s="92" t="s">
        <v>53</v>
      </c>
      <c r="U36" s="92" t="s">
        <v>265</v>
      </c>
      <c r="V36" s="92" t="s">
        <v>266</v>
      </c>
      <c r="W36" s="92" t="s">
        <v>267</v>
      </c>
      <c r="X36" s="92" t="s">
        <v>268</v>
      </c>
      <c r="Y36" s="92" t="s">
        <v>52</v>
      </c>
      <c r="Z36" s="92" t="s">
        <v>53</v>
      </c>
      <c r="AA36" s="92" t="s">
        <v>265</v>
      </c>
      <c r="AB36" s="92" t="s">
        <v>266</v>
      </c>
      <c r="AC36" s="93" t="s">
        <v>269</v>
      </c>
    </row>
    <row r="37" spans="1:29" s="40" customFormat="1" ht="18.75" x14ac:dyDescent="0.25">
      <c r="A37" s="133" t="s">
        <v>81</v>
      </c>
      <c r="B37" s="51" t="s">
        <v>340</v>
      </c>
      <c r="C37" s="94" t="s">
        <v>54</v>
      </c>
      <c r="D37" s="95" t="s">
        <v>383</v>
      </c>
      <c r="E37" s="96" t="s">
        <v>114</v>
      </c>
      <c r="F37" s="97" t="s">
        <v>270</v>
      </c>
      <c r="G37" s="98">
        <f t="shared" ref="G37:G43" si="12">CEILING(S37+W37+X37+O37+N37+Y37,10)</f>
        <v>11710</v>
      </c>
      <c r="H37" s="99">
        <f t="shared" ref="H37:H43" si="13">CEILING(T37+W37+X37+O37+N37+Z37,10)</f>
        <v>12810</v>
      </c>
      <c r="I37" s="99">
        <f t="shared" ref="I37:I43" si="14">CEILING(U37+W37+X37+O37+N37+AA37,10)</f>
        <v>12810</v>
      </c>
      <c r="J37" s="99">
        <f t="shared" ref="J37:J43" si="15">CEILING(V37+W37+X37+O37+N37+AB37,10)</f>
        <v>15740</v>
      </c>
      <c r="K37" s="57"/>
      <c r="L37" s="156" t="s">
        <v>384</v>
      </c>
      <c r="M37" s="52" t="s">
        <v>294</v>
      </c>
      <c r="N37" s="40">
        <v>0</v>
      </c>
      <c r="O37" s="53">
        <f>VLOOKUP(B37,DRAYAGE!$A$1:$C$107,3,FALSE)</f>
        <v>1805</v>
      </c>
      <c r="P37" s="40" t="s">
        <v>300</v>
      </c>
      <c r="S37" s="101">
        <f t="shared" ref="S37:S43" si="16">0.9*T37</f>
        <v>9900</v>
      </c>
      <c r="T37" s="54">
        <v>11000</v>
      </c>
      <c r="U37" s="103">
        <f t="shared" si="5"/>
        <v>11000</v>
      </c>
      <c r="V37" s="104">
        <f t="shared" ref="V37:V43" si="17">U37*1.266</f>
        <v>13926</v>
      </c>
      <c r="X37" s="40">
        <v>0</v>
      </c>
    </row>
    <row r="38" spans="1:29" s="40" customFormat="1" ht="27" customHeight="1" x14ac:dyDescent="0.25">
      <c r="A38" s="133" t="s">
        <v>55</v>
      </c>
      <c r="B38" s="51" t="s">
        <v>340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 t="shared" si="12"/>
        <v>11710</v>
      </c>
      <c r="H38" s="99">
        <f t="shared" si="13"/>
        <v>12810</v>
      </c>
      <c r="I38" s="99">
        <f t="shared" si="14"/>
        <v>12810</v>
      </c>
      <c r="J38" s="99">
        <f t="shared" si="15"/>
        <v>15740</v>
      </c>
      <c r="K38" s="57"/>
      <c r="L38" s="156" t="s">
        <v>384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S38" s="101">
        <f t="shared" si="16"/>
        <v>9900</v>
      </c>
      <c r="T38" s="54">
        <v>11000</v>
      </c>
      <c r="U38" s="103">
        <f t="shared" si="5"/>
        <v>11000</v>
      </c>
      <c r="V38" s="104">
        <f t="shared" si="17"/>
        <v>13926</v>
      </c>
      <c r="X38" s="40">
        <v>0</v>
      </c>
    </row>
    <row r="39" spans="1:29" s="40" customFormat="1" ht="14.45" customHeight="1" x14ac:dyDescent="0.25">
      <c r="A39" s="133" t="s">
        <v>59</v>
      </c>
      <c r="B39" s="51" t="s">
        <v>340</v>
      </c>
      <c r="C39" s="94" t="s">
        <v>54</v>
      </c>
      <c r="D39" s="95" t="s">
        <v>383</v>
      </c>
      <c r="E39" s="96" t="s">
        <v>114</v>
      </c>
      <c r="F39" s="97" t="s">
        <v>270</v>
      </c>
      <c r="G39" s="98">
        <f t="shared" si="12"/>
        <v>11710</v>
      </c>
      <c r="H39" s="99">
        <f t="shared" si="13"/>
        <v>12810</v>
      </c>
      <c r="I39" s="99">
        <f t="shared" si="14"/>
        <v>12810</v>
      </c>
      <c r="J39" s="99">
        <f t="shared" si="15"/>
        <v>15740</v>
      </c>
      <c r="K39" s="57"/>
      <c r="L39" s="156" t="s">
        <v>384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S39" s="101">
        <f t="shared" si="16"/>
        <v>9900</v>
      </c>
      <c r="T39" s="54">
        <v>11000</v>
      </c>
      <c r="U39" s="103">
        <f t="shared" si="5"/>
        <v>11000</v>
      </c>
      <c r="V39" s="104">
        <f t="shared" si="17"/>
        <v>13926</v>
      </c>
      <c r="X39" s="40">
        <v>0</v>
      </c>
    </row>
    <row r="40" spans="1:29" s="40" customFormat="1" ht="18.75" x14ac:dyDescent="0.25">
      <c r="A40" s="133" t="s">
        <v>60</v>
      </c>
      <c r="B40" s="51" t="s">
        <v>340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 t="shared" si="12"/>
        <v>11710</v>
      </c>
      <c r="H40" s="99">
        <f t="shared" si="13"/>
        <v>12810</v>
      </c>
      <c r="I40" s="99">
        <f t="shared" si="14"/>
        <v>12810</v>
      </c>
      <c r="J40" s="99">
        <f t="shared" si="15"/>
        <v>15740</v>
      </c>
      <c r="K40" s="57"/>
      <c r="L40" s="156" t="s">
        <v>384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S40" s="101">
        <f t="shared" si="16"/>
        <v>9900</v>
      </c>
      <c r="T40" s="54">
        <v>11000</v>
      </c>
      <c r="U40" s="103">
        <f t="shared" si="5"/>
        <v>11000</v>
      </c>
      <c r="V40" s="104">
        <f t="shared" si="17"/>
        <v>13926</v>
      </c>
      <c r="X40" s="40">
        <v>0</v>
      </c>
    </row>
    <row r="41" spans="1:29" s="45" customFormat="1" ht="14.45" customHeight="1" x14ac:dyDescent="0.25">
      <c r="A41" s="133" t="s">
        <v>61</v>
      </c>
      <c r="B41" s="51" t="s">
        <v>340</v>
      </c>
      <c r="C41" s="106" t="s">
        <v>54</v>
      </c>
      <c r="D41" s="95" t="s">
        <v>383</v>
      </c>
      <c r="E41" s="107" t="s">
        <v>114</v>
      </c>
      <c r="F41" s="108" t="s">
        <v>270</v>
      </c>
      <c r="G41" s="109">
        <f t="shared" si="12"/>
        <v>11710</v>
      </c>
      <c r="H41" s="110">
        <f t="shared" si="13"/>
        <v>12810</v>
      </c>
      <c r="I41" s="110">
        <f t="shared" si="14"/>
        <v>12810</v>
      </c>
      <c r="J41" s="110">
        <f t="shared" si="15"/>
        <v>15740</v>
      </c>
      <c r="K41" s="111"/>
      <c r="L41" s="156" t="s">
        <v>384</v>
      </c>
      <c r="M41" s="52" t="s">
        <v>294</v>
      </c>
      <c r="N41" s="45">
        <v>0</v>
      </c>
      <c r="O41" s="53">
        <f>VLOOKUP(B41,DRAYAGE!$A$1:$C$107,3,FALSE)</f>
        <v>1805</v>
      </c>
      <c r="P41" s="40" t="s">
        <v>300</v>
      </c>
      <c r="R41" s="40"/>
      <c r="S41" s="113">
        <f t="shared" si="16"/>
        <v>9900</v>
      </c>
      <c r="T41" s="54">
        <v>11000</v>
      </c>
      <c r="U41" s="103">
        <f t="shared" si="5"/>
        <v>11000</v>
      </c>
      <c r="V41" s="114">
        <f t="shared" si="17"/>
        <v>13926</v>
      </c>
      <c r="X41" s="45">
        <v>0</v>
      </c>
      <c r="Y41" s="40"/>
      <c r="Z41" s="40"/>
      <c r="AA41" s="40"/>
      <c r="AB41" s="40"/>
    </row>
    <row r="42" spans="1:29" s="40" customFormat="1" ht="18.75" x14ac:dyDescent="0.25">
      <c r="A42" s="133" t="s">
        <v>273</v>
      </c>
      <c r="B42" s="51" t="s">
        <v>340</v>
      </c>
      <c r="C42" s="94" t="s">
        <v>54</v>
      </c>
      <c r="D42" s="95" t="s">
        <v>383</v>
      </c>
      <c r="E42" s="96" t="s">
        <v>114</v>
      </c>
      <c r="F42" s="97" t="s">
        <v>270</v>
      </c>
      <c r="G42" s="98">
        <f t="shared" si="12"/>
        <v>12610</v>
      </c>
      <c r="H42" s="99">
        <f t="shared" si="13"/>
        <v>13810</v>
      </c>
      <c r="I42" s="99">
        <f t="shared" si="14"/>
        <v>13810</v>
      </c>
      <c r="J42" s="99">
        <f t="shared" si="15"/>
        <v>17000</v>
      </c>
      <c r="K42" s="57"/>
      <c r="L42" s="156" t="s">
        <v>384</v>
      </c>
      <c r="M42" s="52" t="s">
        <v>294</v>
      </c>
      <c r="N42" s="40">
        <v>0</v>
      </c>
      <c r="O42" s="53">
        <f>VLOOKUP(B42,DRAYAGE!$A$1:$C$107,3,FALSE)</f>
        <v>1805</v>
      </c>
      <c r="P42" s="40" t="s">
        <v>300</v>
      </c>
      <c r="S42" s="101">
        <f t="shared" si="16"/>
        <v>10800</v>
      </c>
      <c r="T42" s="54">
        <f>11500+500</f>
        <v>12000</v>
      </c>
      <c r="U42" s="103">
        <f t="shared" si="5"/>
        <v>12000</v>
      </c>
      <c r="V42" s="104">
        <f t="shared" si="17"/>
        <v>15192</v>
      </c>
      <c r="X42" s="40">
        <v>0</v>
      </c>
    </row>
    <row r="43" spans="1:29" s="40" customFormat="1" ht="14.45" customHeight="1" x14ac:dyDescent="0.25">
      <c r="A43" s="133" t="s">
        <v>58</v>
      </c>
      <c r="B43" s="51" t="s">
        <v>340</v>
      </c>
      <c r="C43" s="94" t="s">
        <v>54</v>
      </c>
      <c r="D43" s="95" t="s">
        <v>383</v>
      </c>
      <c r="E43" s="96" t="s">
        <v>114</v>
      </c>
      <c r="F43" s="97" t="s">
        <v>270</v>
      </c>
      <c r="G43" s="98">
        <f t="shared" si="12"/>
        <v>13060</v>
      </c>
      <c r="H43" s="99">
        <f t="shared" si="13"/>
        <v>14310</v>
      </c>
      <c r="I43" s="99">
        <f t="shared" si="14"/>
        <v>14310</v>
      </c>
      <c r="J43" s="99">
        <f t="shared" si="15"/>
        <v>17630</v>
      </c>
      <c r="K43" s="57"/>
      <c r="L43" s="156" t="s">
        <v>384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S43" s="101">
        <f t="shared" si="16"/>
        <v>11250</v>
      </c>
      <c r="T43" s="54">
        <f>11500+1000</f>
        <v>12500</v>
      </c>
      <c r="U43" s="103">
        <f t="shared" si="5"/>
        <v>12500</v>
      </c>
      <c r="V43" s="104">
        <f t="shared" si="17"/>
        <v>15825</v>
      </c>
      <c r="X43" s="40">
        <v>0</v>
      </c>
    </row>
    <row r="44" spans="1:29" s="40" customFormat="1" ht="14.45" customHeight="1" x14ac:dyDescent="0.25">
      <c r="A44" s="134" t="s">
        <v>98</v>
      </c>
      <c r="B44" s="88"/>
      <c r="C44" s="88"/>
      <c r="D44" s="88"/>
      <c r="E44" s="210"/>
      <c r="F44" s="211"/>
      <c r="G44" s="88"/>
      <c r="H44" s="88"/>
      <c r="I44" s="88"/>
      <c r="J44" s="88"/>
      <c r="K44" s="57"/>
      <c r="L44" s="89" t="s">
        <v>48</v>
      </c>
      <c r="M44" s="89" t="s">
        <v>261</v>
      </c>
      <c r="N44" s="90" t="s">
        <v>51</v>
      </c>
      <c r="O44" s="91" t="s">
        <v>50</v>
      </c>
      <c r="P44" s="91" t="s">
        <v>262</v>
      </c>
      <c r="Q44" s="91" t="s">
        <v>263</v>
      </c>
      <c r="R44" s="92" t="s">
        <v>52</v>
      </c>
      <c r="S44" s="92" t="s">
        <v>52</v>
      </c>
      <c r="T44" s="92" t="s">
        <v>53</v>
      </c>
      <c r="U44" s="92" t="s">
        <v>265</v>
      </c>
      <c r="V44" s="92" t="s">
        <v>266</v>
      </c>
      <c r="W44" s="92" t="s">
        <v>267</v>
      </c>
      <c r="X44" s="92" t="s">
        <v>268</v>
      </c>
      <c r="Y44" s="92" t="s">
        <v>52</v>
      </c>
      <c r="Z44" s="92" t="s">
        <v>53</v>
      </c>
      <c r="AA44" s="92" t="s">
        <v>265</v>
      </c>
      <c r="AB44" s="92" t="s">
        <v>266</v>
      </c>
      <c r="AC44" s="93" t="s">
        <v>269</v>
      </c>
    </row>
    <row r="45" spans="1:29" s="40" customFormat="1" ht="14.45" customHeight="1" x14ac:dyDescent="0.25">
      <c r="A45" s="133" t="s">
        <v>331</v>
      </c>
      <c r="B45" s="51" t="s">
        <v>342</v>
      </c>
      <c r="C45" s="94" t="s">
        <v>54</v>
      </c>
      <c r="D45" s="95" t="s">
        <v>383</v>
      </c>
      <c r="E45" s="96" t="s">
        <v>114</v>
      </c>
      <c r="F45" s="97" t="s">
        <v>270</v>
      </c>
      <c r="G45" s="98">
        <f>CEILING(S45+W45+X45+O45+N45+Y45,10)</f>
        <v>12900</v>
      </c>
      <c r="H45" s="99">
        <f>CEILING(T45+W45+X45+O45+N45+Z45,10)</f>
        <v>14000</v>
      </c>
      <c r="I45" s="99">
        <f>CEILING(U45+W45+X45+O45+N45+AA45,10)</f>
        <v>14000</v>
      </c>
      <c r="J45" s="99">
        <f>CEILING(V45+W45+X45+O45+N45+AB45,10)</f>
        <v>16930</v>
      </c>
      <c r="K45" s="57"/>
      <c r="L45" s="156" t="s">
        <v>384</v>
      </c>
      <c r="M45" s="52" t="s">
        <v>293</v>
      </c>
      <c r="N45" s="40">
        <v>0</v>
      </c>
      <c r="O45" s="53">
        <f>VLOOKUP(B45,DRAYAGE!$A$1:$C$107,3,FALSE)</f>
        <v>2995</v>
      </c>
      <c r="P45" s="40" t="s">
        <v>302</v>
      </c>
      <c r="R45" s="101">
        <v>19800</v>
      </c>
      <c r="S45" s="101">
        <f>0.9*T45</f>
        <v>9900</v>
      </c>
      <c r="T45" s="54">
        <v>11000</v>
      </c>
      <c r="U45" s="103">
        <f>T45</f>
        <v>11000</v>
      </c>
      <c r="V45" s="104">
        <f>U45*1.266</f>
        <v>13926</v>
      </c>
      <c r="W45" s="40">
        <v>0</v>
      </c>
    </row>
    <row r="46" spans="1:29" s="40" customFormat="1" ht="14.45" customHeight="1" x14ac:dyDescent="0.25">
      <c r="A46" s="133" t="s">
        <v>328</v>
      </c>
      <c r="B46" s="51" t="s">
        <v>342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>CEILING(S46+W46+X46+O46+N46+Y46,10)</f>
        <v>13800</v>
      </c>
      <c r="H46" s="99">
        <f>CEILING(T46+W46+X46+O46+N46+Z46,10)</f>
        <v>15000</v>
      </c>
      <c r="I46" s="99">
        <f>CEILING(U46+W46+X46+O46+N46+AA46,10)</f>
        <v>15000</v>
      </c>
      <c r="J46" s="99">
        <f>CEILING(V46+W46+X46+O46+N46+AB46,10)</f>
        <v>18190</v>
      </c>
      <c r="K46" s="57"/>
      <c r="L46" s="156" t="s">
        <v>384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R46" s="101">
        <v>19800</v>
      </c>
      <c r="S46" s="101">
        <f>0.9*T46</f>
        <v>10800</v>
      </c>
      <c r="T46" s="54">
        <v>12000</v>
      </c>
      <c r="U46" s="103">
        <f>T46</f>
        <v>12000</v>
      </c>
      <c r="V46" s="104">
        <f>U46*1.266</f>
        <v>15192</v>
      </c>
      <c r="W46" s="40">
        <v>0</v>
      </c>
    </row>
    <row r="47" spans="1:29" s="40" customFormat="1" ht="14.45" customHeight="1" x14ac:dyDescent="0.25">
      <c r="A47" s="133" t="s">
        <v>58</v>
      </c>
      <c r="B47" s="51" t="s">
        <v>342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>CEILING(S47+W47+X47+O47+N47+Y47,10)</f>
        <v>14250</v>
      </c>
      <c r="H47" s="99">
        <f>CEILING(T47+W47+X47+O47+N47+Z47,10)</f>
        <v>15500</v>
      </c>
      <c r="I47" s="99">
        <f>CEILING(U47+W47+X47+O47+N47+AA47,10)</f>
        <v>15500</v>
      </c>
      <c r="J47" s="99">
        <f>CEILING(V47+W47+X47+O47+N47+AB47,10)</f>
        <v>18820</v>
      </c>
      <c r="K47" s="57"/>
      <c r="L47" s="156" t="s">
        <v>384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R47" s="101">
        <v>19800</v>
      </c>
      <c r="S47" s="101">
        <f>0.9*T47</f>
        <v>11250</v>
      </c>
      <c r="T47" s="54">
        <f>12000+500</f>
        <v>12500</v>
      </c>
      <c r="U47" s="103">
        <f>T47</f>
        <v>12500</v>
      </c>
      <c r="V47" s="104">
        <f>U47*1.266</f>
        <v>15825</v>
      </c>
      <c r="W47" s="40">
        <v>0</v>
      </c>
    </row>
    <row r="48" spans="1:29" s="40" customFormat="1" ht="14.45" customHeight="1" x14ac:dyDescent="0.25">
      <c r="A48" s="133" t="s">
        <v>330</v>
      </c>
      <c r="B48" s="51" t="s">
        <v>342</v>
      </c>
      <c r="C48" s="94" t="s">
        <v>54</v>
      </c>
      <c r="D48" s="95" t="s">
        <v>383</v>
      </c>
      <c r="E48" s="96" t="s">
        <v>114</v>
      </c>
      <c r="F48" s="97" t="s">
        <v>270</v>
      </c>
      <c r="G48" s="98">
        <f>CEILING(S48+W48+X48+O48+N48+Y48,10)</f>
        <v>12900</v>
      </c>
      <c r="H48" s="99">
        <f>CEILING(T48+W48+X48+O48+N48+Z48,10)</f>
        <v>14000</v>
      </c>
      <c r="I48" s="99">
        <f>CEILING(U48+W48+X48+O48+N48+AA48,10)</f>
        <v>14000</v>
      </c>
      <c r="J48" s="99">
        <f>CEILING(V48+W48+X48+O48+N48+AB48,10)</f>
        <v>16930</v>
      </c>
      <c r="K48" s="57"/>
      <c r="L48" s="156" t="s">
        <v>384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R48" s="101">
        <v>19800</v>
      </c>
      <c r="S48" s="101">
        <f>0.9*T48</f>
        <v>9900</v>
      </c>
      <c r="T48" s="54">
        <v>11000</v>
      </c>
      <c r="U48" s="103">
        <f>T48</f>
        <v>11000</v>
      </c>
      <c r="V48" s="104">
        <f>U48*1.266</f>
        <v>13926</v>
      </c>
      <c r="W48" s="40">
        <v>0</v>
      </c>
    </row>
    <row r="49" spans="1:29" s="40" customFormat="1" ht="14.45" customHeight="1" x14ac:dyDescent="0.25">
      <c r="A49" s="134" t="s">
        <v>336</v>
      </c>
      <c r="B49" s="88"/>
      <c r="C49" s="88"/>
      <c r="D49" s="88"/>
      <c r="E49" s="210"/>
      <c r="F49" s="211"/>
      <c r="G49" s="88"/>
      <c r="H49" s="88"/>
      <c r="I49" s="88"/>
      <c r="J49" s="88"/>
      <c r="K49" s="57"/>
      <c r="L49" s="89" t="s">
        <v>48</v>
      </c>
      <c r="M49" s="89" t="s">
        <v>261</v>
      </c>
      <c r="N49" s="90" t="s">
        <v>51</v>
      </c>
      <c r="O49" s="91" t="s">
        <v>50</v>
      </c>
      <c r="P49" s="91" t="s">
        <v>262</v>
      </c>
      <c r="Q49" s="91" t="s">
        <v>263</v>
      </c>
      <c r="R49" s="92" t="s">
        <v>52</v>
      </c>
      <c r="S49" s="92" t="s">
        <v>52</v>
      </c>
      <c r="T49" s="92" t="s">
        <v>53</v>
      </c>
      <c r="U49" s="92" t="s">
        <v>265</v>
      </c>
      <c r="V49" s="92" t="s">
        <v>266</v>
      </c>
      <c r="W49" s="92" t="s">
        <v>267</v>
      </c>
      <c r="X49" s="92" t="s">
        <v>268</v>
      </c>
      <c r="Y49" s="92" t="s">
        <v>52</v>
      </c>
      <c r="Z49" s="92" t="s">
        <v>53</v>
      </c>
      <c r="AA49" s="92" t="s">
        <v>265</v>
      </c>
      <c r="AB49" s="92" t="s">
        <v>266</v>
      </c>
      <c r="AC49" s="93" t="s">
        <v>269</v>
      </c>
    </row>
    <row r="50" spans="1:29" s="40" customFormat="1" ht="14.45" customHeight="1" x14ac:dyDescent="0.25">
      <c r="A50" s="133" t="s">
        <v>326</v>
      </c>
      <c r="B50" s="51" t="s">
        <v>343</v>
      </c>
      <c r="C50" s="94" t="s">
        <v>54</v>
      </c>
      <c r="D50" s="95" t="s">
        <v>383</v>
      </c>
      <c r="E50" s="96" t="s">
        <v>114</v>
      </c>
      <c r="F50" s="97" t="s">
        <v>270</v>
      </c>
      <c r="G50" s="98">
        <v>18510</v>
      </c>
      <c r="H50" s="99">
        <v>20510</v>
      </c>
      <c r="I50" s="99">
        <v>20510</v>
      </c>
      <c r="J50" s="99">
        <v>25830</v>
      </c>
      <c r="K50" s="57"/>
      <c r="L50" s="156" t="s">
        <v>384</v>
      </c>
      <c r="M50" s="52" t="s">
        <v>295</v>
      </c>
      <c r="N50" s="40">
        <v>0</v>
      </c>
      <c r="O50" s="53">
        <f>VLOOKUP(B50,DRAYAGE!$A$1:$C$107,3,FALSE)</f>
        <v>1185</v>
      </c>
      <c r="P50" s="40" t="s">
        <v>361</v>
      </c>
      <c r="R50" s="101">
        <v>18000</v>
      </c>
      <c r="S50" s="101">
        <f>0.9*T50</f>
        <v>13950</v>
      </c>
      <c r="T50" s="54">
        <v>15500</v>
      </c>
      <c r="U50" s="103">
        <f>T50</f>
        <v>15500</v>
      </c>
      <c r="V50" s="104">
        <f>U50*1.266</f>
        <v>19623</v>
      </c>
      <c r="W50" s="40">
        <v>0</v>
      </c>
    </row>
    <row r="51" spans="1:29" s="40" customFormat="1" ht="14.45" customHeight="1" x14ac:dyDescent="0.25">
      <c r="A51" s="133" t="s">
        <v>327</v>
      </c>
      <c r="B51" s="51" t="s">
        <v>343</v>
      </c>
      <c r="C51" s="94" t="s">
        <v>54</v>
      </c>
      <c r="D51" s="95" t="s">
        <v>383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56" t="s">
        <v>384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R51" s="101">
        <v>18000</v>
      </c>
      <c r="S51" s="101">
        <f>0.9*T51</f>
        <v>13950</v>
      </c>
      <c r="T51" s="54">
        <v>15500</v>
      </c>
      <c r="U51" s="103">
        <f>T51</f>
        <v>15500</v>
      </c>
      <c r="V51" s="104">
        <f>U51*1.266</f>
        <v>19623</v>
      </c>
      <c r="W51" s="40">
        <v>0</v>
      </c>
    </row>
    <row r="52" spans="1:29" s="40" customFormat="1" ht="14.45" customHeight="1" x14ac:dyDescent="0.25">
      <c r="A52" s="133" t="s">
        <v>328</v>
      </c>
      <c r="B52" s="51" t="s">
        <v>343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v>18510</v>
      </c>
      <c r="H52" s="99">
        <v>20510</v>
      </c>
      <c r="I52" s="99">
        <v>20510</v>
      </c>
      <c r="J52" s="99">
        <v>25830</v>
      </c>
      <c r="K52" s="57"/>
      <c r="L52" s="156" t="s">
        <v>384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R52" s="101">
        <v>18000</v>
      </c>
      <c r="S52" s="101">
        <f>0.9*T52</f>
        <v>14220</v>
      </c>
      <c r="T52" s="54">
        <v>15800</v>
      </c>
      <c r="U52" s="103">
        <f>T52</f>
        <v>15800</v>
      </c>
      <c r="V52" s="104">
        <f>U52*1.266</f>
        <v>20002.8</v>
      </c>
      <c r="W52" s="40">
        <v>0</v>
      </c>
    </row>
    <row r="53" spans="1:29" s="40" customFormat="1" ht="14.45" customHeight="1" x14ac:dyDescent="0.25">
      <c r="A53" s="134" t="s">
        <v>337</v>
      </c>
      <c r="B53" s="88"/>
      <c r="C53" s="88"/>
      <c r="D53" s="88"/>
      <c r="E53" s="210"/>
      <c r="F53" s="211"/>
      <c r="G53" s="88"/>
      <c r="H53" s="88"/>
      <c r="I53" s="88"/>
      <c r="J53" s="88"/>
      <c r="K53" s="57"/>
      <c r="L53" s="89" t="s">
        <v>48</v>
      </c>
      <c r="M53" s="89" t="s">
        <v>261</v>
      </c>
      <c r="N53" s="90" t="s">
        <v>51</v>
      </c>
      <c r="O53" s="91" t="s">
        <v>50</v>
      </c>
      <c r="P53" s="91" t="s">
        <v>262</v>
      </c>
      <c r="Q53" s="91" t="s">
        <v>263</v>
      </c>
      <c r="R53" s="91" t="s">
        <v>264</v>
      </c>
      <c r="S53" s="92" t="s">
        <v>52</v>
      </c>
      <c r="T53" s="92" t="s">
        <v>53</v>
      </c>
      <c r="U53" s="92" t="s">
        <v>265</v>
      </c>
      <c r="V53" s="92" t="s">
        <v>266</v>
      </c>
      <c r="W53" s="92" t="s">
        <v>267</v>
      </c>
      <c r="X53" s="92" t="s">
        <v>268</v>
      </c>
      <c r="Y53" s="92" t="s">
        <v>52</v>
      </c>
      <c r="Z53" s="92" t="s">
        <v>53</v>
      </c>
      <c r="AA53" s="92" t="s">
        <v>265</v>
      </c>
      <c r="AB53" s="92" t="s">
        <v>266</v>
      </c>
      <c r="AC53" s="93" t="s">
        <v>269</v>
      </c>
    </row>
    <row r="54" spans="1:29" s="40" customFormat="1" ht="18.75" x14ac:dyDescent="0.25">
      <c r="A54" s="133" t="s">
        <v>81</v>
      </c>
      <c r="B54" s="51" t="s">
        <v>344</v>
      </c>
      <c r="C54" s="94" t="s">
        <v>54</v>
      </c>
      <c r="D54" s="95" t="s">
        <v>383</v>
      </c>
      <c r="E54" s="96" t="s">
        <v>114</v>
      </c>
      <c r="F54" s="97" t="s">
        <v>270</v>
      </c>
      <c r="G54" s="98">
        <f t="shared" ref="G54:G59" si="18">CEILING(S54+W54+X54+O54+N54+Y54,10)</f>
        <v>11250</v>
      </c>
      <c r="H54" s="99">
        <f t="shared" ref="H54:H59" si="19">CEILING(T54+W54+X54+O54+N54+Z54,10)</f>
        <v>12350</v>
      </c>
      <c r="I54" s="99">
        <f t="shared" ref="I54:I59" si="20">CEILING(U54+W54+X54+O54+N54+AA54,10)</f>
        <v>12350</v>
      </c>
      <c r="J54" s="99">
        <f t="shared" ref="J54:J59" si="21">CEILING(V54+W54+X54+O54+N54+AB54,10)</f>
        <v>15280</v>
      </c>
      <c r="K54" s="57"/>
      <c r="L54" s="156" t="s">
        <v>384</v>
      </c>
      <c r="M54" s="52" t="s">
        <v>294</v>
      </c>
      <c r="N54" s="40">
        <v>0</v>
      </c>
      <c r="O54" s="53">
        <f>VLOOKUP(B54,DRAYAGE!$A$1:$C$107,3,FALSE)</f>
        <v>1345</v>
      </c>
      <c r="P54" s="40" t="s">
        <v>301</v>
      </c>
      <c r="S54" s="101">
        <f t="shared" ref="S54:S59" si="22">0.9*T54</f>
        <v>9900</v>
      </c>
      <c r="T54" s="54">
        <f t="shared" ref="T54:T59" si="23">T37</f>
        <v>11000</v>
      </c>
      <c r="U54" s="103">
        <f t="shared" si="5"/>
        <v>11000</v>
      </c>
      <c r="V54" s="104">
        <f t="shared" ref="V54:V59" si="24">U54*1.266</f>
        <v>13926</v>
      </c>
      <c r="X54" s="40">
        <v>0</v>
      </c>
    </row>
    <row r="55" spans="1:29" s="40" customFormat="1" ht="14.45" customHeight="1" x14ac:dyDescent="0.25">
      <c r="A55" s="133" t="s">
        <v>55</v>
      </c>
      <c r="B55" s="51" t="s">
        <v>344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 t="shared" si="18"/>
        <v>11250</v>
      </c>
      <c r="H55" s="99">
        <f t="shared" si="19"/>
        <v>12350</v>
      </c>
      <c r="I55" s="99">
        <f t="shared" si="20"/>
        <v>12350</v>
      </c>
      <c r="J55" s="99">
        <f t="shared" si="21"/>
        <v>15280</v>
      </c>
      <c r="K55" s="57"/>
      <c r="L55" s="156" t="s">
        <v>384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S55" s="101">
        <f t="shared" si="22"/>
        <v>9900</v>
      </c>
      <c r="T55" s="54">
        <f t="shared" si="23"/>
        <v>11000</v>
      </c>
      <c r="U55" s="103">
        <f t="shared" si="5"/>
        <v>11000</v>
      </c>
      <c r="V55" s="104">
        <f t="shared" si="24"/>
        <v>13926</v>
      </c>
      <c r="X55" s="40">
        <v>0</v>
      </c>
    </row>
    <row r="56" spans="1:29" s="40" customFormat="1" ht="14.45" customHeight="1" x14ac:dyDescent="0.25">
      <c r="A56" s="133" t="s">
        <v>59</v>
      </c>
      <c r="B56" s="51" t="s">
        <v>344</v>
      </c>
      <c r="C56" s="94" t="s">
        <v>54</v>
      </c>
      <c r="D56" s="95" t="s">
        <v>383</v>
      </c>
      <c r="E56" s="96" t="s">
        <v>114</v>
      </c>
      <c r="F56" s="97" t="s">
        <v>270</v>
      </c>
      <c r="G56" s="98">
        <f t="shared" si="18"/>
        <v>11250</v>
      </c>
      <c r="H56" s="99">
        <f t="shared" si="19"/>
        <v>12350</v>
      </c>
      <c r="I56" s="99">
        <f t="shared" si="20"/>
        <v>12350</v>
      </c>
      <c r="J56" s="99">
        <f t="shared" si="21"/>
        <v>15280</v>
      </c>
      <c r="K56" s="57"/>
      <c r="L56" s="156" t="s">
        <v>384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S56" s="101">
        <f t="shared" si="22"/>
        <v>9900</v>
      </c>
      <c r="T56" s="54">
        <f t="shared" si="23"/>
        <v>11000</v>
      </c>
      <c r="U56" s="103">
        <f t="shared" si="5"/>
        <v>11000</v>
      </c>
      <c r="V56" s="104">
        <f t="shared" si="24"/>
        <v>13926</v>
      </c>
      <c r="X56" s="40">
        <v>0</v>
      </c>
    </row>
    <row r="57" spans="1:29" s="40" customFormat="1" ht="18.75" x14ac:dyDescent="0.25">
      <c r="A57" s="133" t="s">
        <v>60</v>
      </c>
      <c r="B57" s="51" t="s">
        <v>344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f t="shared" si="18"/>
        <v>11250</v>
      </c>
      <c r="H57" s="99">
        <f t="shared" si="19"/>
        <v>12350</v>
      </c>
      <c r="I57" s="99">
        <f t="shared" si="20"/>
        <v>12350</v>
      </c>
      <c r="J57" s="99">
        <f t="shared" si="21"/>
        <v>15280</v>
      </c>
      <c r="K57" s="57"/>
      <c r="L57" s="156" t="s">
        <v>384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S57" s="101">
        <f t="shared" si="22"/>
        <v>9900</v>
      </c>
      <c r="T57" s="54">
        <f t="shared" si="23"/>
        <v>11000</v>
      </c>
      <c r="U57" s="103">
        <f t="shared" si="5"/>
        <v>11000</v>
      </c>
      <c r="V57" s="104">
        <f t="shared" si="24"/>
        <v>13926</v>
      </c>
      <c r="X57" s="40">
        <v>0</v>
      </c>
    </row>
    <row r="58" spans="1:29" s="40" customFormat="1" ht="14.45" customHeight="1" x14ac:dyDescent="0.25">
      <c r="A58" s="133" t="s">
        <v>61</v>
      </c>
      <c r="B58" s="51" t="s">
        <v>344</v>
      </c>
      <c r="C58" s="94" t="s">
        <v>54</v>
      </c>
      <c r="D58" s="95" t="s">
        <v>383</v>
      </c>
      <c r="E58" s="96" t="s">
        <v>114</v>
      </c>
      <c r="F58" s="97" t="s">
        <v>270</v>
      </c>
      <c r="G58" s="98">
        <f t="shared" si="18"/>
        <v>11250</v>
      </c>
      <c r="H58" s="99">
        <f t="shared" si="19"/>
        <v>12350</v>
      </c>
      <c r="I58" s="99">
        <f t="shared" si="20"/>
        <v>12350</v>
      </c>
      <c r="J58" s="99">
        <f t="shared" si="21"/>
        <v>15280</v>
      </c>
      <c r="K58" s="57"/>
      <c r="L58" s="156" t="s">
        <v>384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S58" s="101">
        <f t="shared" si="22"/>
        <v>9900</v>
      </c>
      <c r="T58" s="54">
        <f t="shared" si="23"/>
        <v>11000</v>
      </c>
      <c r="U58" s="103">
        <f t="shared" si="5"/>
        <v>11000</v>
      </c>
      <c r="V58" s="104">
        <f t="shared" si="24"/>
        <v>13926</v>
      </c>
      <c r="X58" s="40">
        <v>0</v>
      </c>
    </row>
    <row r="59" spans="1:29" s="40" customFormat="1" ht="18.75" x14ac:dyDescent="0.25">
      <c r="A59" s="133" t="s">
        <v>273</v>
      </c>
      <c r="B59" s="51" t="s">
        <v>344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f t="shared" si="18"/>
        <v>12150</v>
      </c>
      <c r="H59" s="99">
        <f t="shared" si="19"/>
        <v>13350</v>
      </c>
      <c r="I59" s="99">
        <f t="shared" si="20"/>
        <v>13350</v>
      </c>
      <c r="J59" s="99">
        <f t="shared" si="21"/>
        <v>16540</v>
      </c>
      <c r="K59" s="57"/>
      <c r="L59" s="156" t="s">
        <v>384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S59" s="101">
        <f t="shared" si="22"/>
        <v>10800</v>
      </c>
      <c r="T59" s="54">
        <f t="shared" si="23"/>
        <v>12000</v>
      </c>
      <c r="U59" s="103">
        <f t="shared" si="5"/>
        <v>12000</v>
      </c>
      <c r="V59" s="104">
        <f t="shared" si="24"/>
        <v>15192</v>
      </c>
      <c r="X59" s="40">
        <v>0</v>
      </c>
    </row>
    <row r="60" spans="1:29" s="40" customFormat="1" ht="14.45" customHeight="1" x14ac:dyDescent="0.25">
      <c r="A60" s="212" t="s">
        <v>271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57"/>
      <c r="L60" s="100"/>
      <c r="M60" s="100"/>
      <c r="S60" s="101"/>
      <c r="T60" s="102"/>
      <c r="U60" s="103"/>
      <c r="V60" s="104"/>
    </row>
    <row r="61" spans="1:29" s="32" customFormat="1" ht="12.75" x14ac:dyDescent="0.2">
      <c r="A61" s="31"/>
      <c r="B61" s="33"/>
      <c r="C61" s="33"/>
      <c r="D61" s="33"/>
      <c r="E61" s="33"/>
      <c r="F61" s="34"/>
      <c r="G61" s="34"/>
      <c r="H61" s="34"/>
      <c r="I61" s="34"/>
      <c r="J61" s="34"/>
      <c r="K61" s="57"/>
      <c r="L61" s="27"/>
      <c r="M61" s="27"/>
      <c r="N61" s="30"/>
      <c r="O61" s="30"/>
      <c r="P61" s="30"/>
      <c r="Q61" s="30"/>
      <c r="R61" s="30"/>
      <c r="S61" s="28"/>
      <c r="T61" s="28"/>
      <c r="U61" s="28"/>
      <c r="V61" s="28"/>
      <c r="W61" s="28"/>
    </row>
    <row r="62" spans="1:29" s="37" customFormat="1" ht="14.45" customHeight="1" x14ac:dyDescent="0.25">
      <c r="A62" s="180" t="s">
        <v>111</v>
      </c>
      <c r="B62" s="180"/>
      <c r="C62" s="180"/>
      <c r="D62" s="180"/>
      <c r="E62" s="180"/>
      <c r="F62" s="180"/>
      <c r="G62" s="180"/>
      <c r="H62" s="180"/>
      <c r="I62" s="180"/>
      <c r="J62" s="180"/>
      <c r="K62" s="57"/>
    </row>
    <row r="63" spans="1:29" s="37" customFormat="1" ht="14.45" customHeight="1" x14ac:dyDescent="0.25">
      <c r="A63" s="208" t="s">
        <v>112</v>
      </c>
      <c r="B63" s="208"/>
      <c r="C63" s="208"/>
      <c r="D63" s="208"/>
      <c r="E63" s="208"/>
      <c r="F63" s="208"/>
      <c r="G63" s="208"/>
      <c r="H63" s="208"/>
      <c r="I63" s="208"/>
      <c r="J63" s="208"/>
      <c r="K63" s="57"/>
    </row>
    <row r="64" spans="1:29" s="37" customFormat="1" ht="14.45" customHeight="1" x14ac:dyDescent="0.25">
      <c r="A64" s="186" t="s">
        <v>67</v>
      </c>
      <c r="B64" s="186"/>
      <c r="C64" s="186"/>
      <c r="D64" s="186"/>
      <c r="E64" s="186" t="s">
        <v>68</v>
      </c>
      <c r="F64" s="186"/>
      <c r="G64" s="186"/>
      <c r="H64" s="186"/>
      <c r="I64" s="186"/>
      <c r="J64" s="186"/>
      <c r="K64" s="57"/>
      <c r="L64" s="209" t="s">
        <v>113</v>
      </c>
      <c r="M64" s="209"/>
      <c r="N64" s="209"/>
      <c r="O64" s="209"/>
      <c r="P64" s="209"/>
      <c r="Q64" s="209"/>
    </row>
    <row r="65" spans="1:17" s="37" customFormat="1" ht="14.45" customHeight="1" x14ac:dyDescent="0.25">
      <c r="A65" s="196" t="s">
        <v>69</v>
      </c>
      <c r="B65" s="196"/>
      <c r="C65" s="196"/>
      <c r="D65" s="196"/>
      <c r="E65" s="58" t="s">
        <v>114</v>
      </c>
      <c r="F65" s="196" t="s">
        <v>70</v>
      </c>
      <c r="G65" s="196"/>
      <c r="H65" s="196"/>
      <c r="I65" s="196"/>
      <c r="J65" s="196"/>
      <c r="K65" s="57"/>
      <c r="L65" s="197" t="s">
        <v>115</v>
      </c>
      <c r="M65" s="197"/>
      <c r="N65" s="197"/>
      <c r="O65" s="197"/>
      <c r="P65" s="197"/>
      <c r="Q65" s="197"/>
    </row>
    <row r="66" spans="1:17" s="37" customFormat="1" ht="14.45" customHeight="1" x14ac:dyDescent="0.25">
      <c r="A66" s="196" t="s">
        <v>71</v>
      </c>
      <c r="B66" s="196"/>
      <c r="C66" s="196"/>
      <c r="D66" s="201"/>
      <c r="E66" s="58" t="s">
        <v>114</v>
      </c>
      <c r="F66" s="196" t="s">
        <v>116</v>
      </c>
      <c r="G66" s="196"/>
      <c r="H66" s="196"/>
      <c r="I66" s="196"/>
      <c r="J66" s="196"/>
      <c r="K66" s="57"/>
      <c r="L66" s="197"/>
      <c r="M66" s="197"/>
      <c r="N66" s="197"/>
      <c r="O66" s="197"/>
      <c r="P66" s="197"/>
      <c r="Q66" s="197"/>
    </row>
    <row r="67" spans="1:17" s="37" customFormat="1" ht="18" customHeight="1" x14ac:dyDescent="0.25">
      <c r="A67" s="196" t="s">
        <v>117</v>
      </c>
      <c r="B67" s="196"/>
      <c r="C67" s="196"/>
      <c r="D67" s="201"/>
      <c r="E67" s="58" t="s">
        <v>114</v>
      </c>
      <c r="F67" s="196" t="s">
        <v>306</v>
      </c>
      <c r="G67" s="196"/>
      <c r="H67" s="196"/>
      <c r="I67" s="196"/>
      <c r="J67" s="196"/>
      <c r="K67" s="57"/>
      <c r="L67" s="59" t="s">
        <v>118</v>
      </c>
      <c r="M67" s="129"/>
      <c r="N67" s="129"/>
      <c r="O67" s="129"/>
      <c r="P67" s="129"/>
      <c r="Q67" s="129"/>
    </row>
    <row r="68" spans="1:17" s="37" customFormat="1" ht="32.65" customHeight="1" x14ac:dyDescent="0.25">
      <c r="A68" s="202" t="s">
        <v>388</v>
      </c>
      <c r="B68" s="202"/>
      <c r="C68" s="202"/>
      <c r="D68" s="203"/>
      <c r="E68" s="131" t="s">
        <v>114</v>
      </c>
      <c r="F68" s="185" t="s">
        <v>381</v>
      </c>
      <c r="G68" s="185"/>
      <c r="H68" s="185"/>
      <c r="I68" s="185"/>
      <c r="J68" s="185"/>
      <c r="K68" s="57"/>
      <c r="L68" s="59" t="s">
        <v>118</v>
      </c>
      <c r="M68" s="129"/>
      <c r="N68" s="129"/>
      <c r="O68" s="129"/>
      <c r="P68" s="129"/>
      <c r="Q68" s="129"/>
    </row>
    <row r="69" spans="1:17" s="37" customFormat="1" ht="36.950000000000003" customHeight="1" x14ac:dyDescent="0.25">
      <c r="A69" s="196" t="s">
        <v>367</v>
      </c>
      <c r="B69" s="196"/>
      <c r="C69" s="196"/>
      <c r="D69" s="201"/>
      <c r="E69" s="58" t="s">
        <v>114</v>
      </c>
      <c r="F69" s="185" t="s">
        <v>368</v>
      </c>
      <c r="G69" s="185"/>
      <c r="H69" s="185"/>
      <c r="I69" s="185"/>
      <c r="J69" s="185"/>
      <c r="K69" s="57"/>
      <c r="L69" s="59" t="s">
        <v>118</v>
      </c>
      <c r="M69" s="129"/>
      <c r="N69" s="129"/>
      <c r="O69" s="129"/>
      <c r="P69" s="129"/>
      <c r="Q69" s="129"/>
    </row>
    <row r="70" spans="1:17" s="37" customFormat="1" ht="40.5" customHeight="1" x14ac:dyDescent="0.25">
      <c r="A70" s="229" t="s">
        <v>309</v>
      </c>
      <c r="B70" s="229"/>
      <c r="C70" s="229"/>
      <c r="D70" s="198"/>
      <c r="E70" s="131" t="s">
        <v>114</v>
      </c>
      <c r="F70" s="229" t="s">
        <v>310</v>
      </c>
      <c r="G70" s="229"/>
      <c r="H70" s="229"/>
      <c r="I70" s="229"/>
      <c r="J70" s="229"/>
      <c r="K70" s="132"/>
      <c r="L70" s="59" t="s">
        <v>118</v>
      </c>
      <c r="M70" s="129"/>
      <c r="N70" s="129"/>
      <c r="O70" s="129"/>
      <c r="P70" s="129"/>
      <c r="Q70" s="129"/>
    </row>
    <row r="71" spans="1:17" s="37" customFormat="1" ht="14.45" customHeight="1" x14ac:dyDescent="0.25">
      <c r="A71" s="196" t="s">
        <v>119</v>
      </c>
      <c r="B71" s="196"/>
      <c r="C71" s="196"/>
      <c r="D71" s="196"/>
      <c r="E71" s="58" t="s">
        <v>114</v>
      </c>
      <c r="F71" s="196" t="s">
        <v>120</v>
      </c>
      <c r="G71" s="196"/>
      <c r="H71" s="196"/>
      <c r="I71" s="196"/>
      <c r="J71" s="196"/>
      <c r="K71" s="132"/>
      <c r="L71" s="197" t="s">
        <v>121</v>
      </c>
      <c r="M71" s="197"/>
      <c r="N71" s="197"/>
      <c r="O71" s="197"/>
      <c r="P71" s="197"/>
      <c r="Q71" s="197"/>
    </row>
    <row r="72" spans="1:17" s="37" customFormat="1" ht="14.45" customHeight="1" x14ac:dyDescent="0.25">
      <c r="A72" s="196" t="s">
        <v>122</v>
      </c>
      <c r="B72" s="196"/>
      <c r="C72" s="196"/>
      <c r="D72" s="196"/>
      <c r="E72" s="58" t="s">
        <v>114</v>
      </c>
      <c r="F72" s="196" t="s">
        <v>123</v>
      </c>
      <c r="G72" s="196"/>
      <c r="H72" s="196"/>
      <c r="I72" s="196"/>
      <c r="J72" s="196"/>
      <c r="K72" s="132"/>
      <c r="L72" s="197"/>
      <c r="M72" s="197"/>
      <c r="N72" s="197"/>
      <c r="O72" s="197"/>
      <c r="P72" s="197"/>
      <c r="Q72" s="197"/>
    </row>
    <row r="73" spans="1:17" s="37" customFormat="1" ht="14.45" customHeight="1" x14ac:dyDescent="0.25">
      <c r="A73" s="196" t="s">
        <v>277</v>
      </c>
      <c r="B73" s="196"/>
      <c r="C73" s="196"/>
      <c r="D73" s="196"/>
      <c r="E73" s="58" t="s">
        <v>114</v>
      </c>
      <c r="F73" s="196" t="s">
        <v>278</v>
      </c>
      <c r="G73" s="196"/>
      <c r="H73" s="196"/>
      <c r="I73" s="196"/>
      <c r="J73" s="196"/>
      <c r="K73" s="132"/>
      <c r="L73" s="197"/>
      <c r="M73" s="197"/>
      <c r="N73" s="197"/>
      <c r="O73" s="197"/>
      <c r="P73" s="197"/>
      <c r="Q73" s="197"/>
    </row>
    <row r="74" spans="1:17" s="37" customFormat="1" ht="14.45" customHeight="1" x14ac:dyDescent="0.25">
      <c r="A74" s="196" t="s">
        <v>124</v>
      </c>
      <c r="B74" s="196"/>
      <c r="C74" s="196"/>
      <c r="D74" s="196"/>
      <c r="E74" s="58" t="s">
        <v>114</v>
      </c>
      <c r="F74" s="196" t="s">
        <v>125</v>
      </c>
      <c r="G74" s="196"/>
      <c r="H74" s="196"/>
      <c r="I74" s="196"/>
      <c r="J74" s="196"/>
      <c r="K74" s="132"/>
      <c r="L74" s="197"/>
      <c r="M74" s="197"/>
      <c r="N74" s="197"/>
      <c r="O74" s="197"/>
      <c r="P74" s="197"/>
      <c r="Q74" s="197"/>
    </row>
    <row r="75" spans="1:17" s="37" customFormat="1" ht="18.95" customHeight="1" x14ac:dyDescent="0.25">
      <c r="A75" s="196" t="s">
        <v>126</v>
      </c>
      <c r="B75" s="196"/>
      <c r="C75" s="196"/>
      <c r="D75" s="201"/>
      <c r="E75" s="58" t="s">
        <v>127</v>
      </c>
      <c r="F75" s="128" t="s">
        <v>128</v>
      </c>
      <c r="G75" s="185" t="s">
        <v>386</v>
      </c>
      <c r="H75" s="185"/>
      <c r="I75" s="185"/>
      <c r="J75" s="185"/>
      <c r="K75" s="132"/>
      <c r="L75" s="197" t="s">
        <v>130</v>
      </c>
      <c r="M75" s="197"/>
      <c r="N75" s="197"/>
      <c r="O75" s="197"/>
      <c r="P75" s="197"/>
      <c r="Q75" s="197"/>
    </row>
    <row r="76" spans="1:17" s="37" customFormat="1" ht="24.95" customHeight="1" x14ac:dyDescent="0.25">
      <c r="A76" s="196" t="s">
        <v>126</v>
      </c>
      <c r="B76" s="196"/>
      <c r="C76" s="196"/>
      <c r="D76" s="196"/>
      <c r="E76" s="58" t="s">
        <v>127</v>
      </c>
      <c r="F76" s="128" t="s">
        <v>131</v>
      </c>
      <c r="G76" s="185" t="s">
        <v>374</v>
      </c>
      <c r="H76" s="185"/>
      <c r="I76" s="185"/>
      <c r="J76" s="185"/>
      <c r="K76" s="132"/>
      <c r="L76" s="197" t="s">
        <v>130</v>
      </c>
      <c r="M76" s="197"/>
      <c r="N76" s="197"/>
      <c r="O76" s="197"/>
      <c r="P76" s="197"/>
      <c r="Q76" s="197"/>
    </row>
    <row r="77" spans="1:17" s="37" customFormat="1" ht="24.95" customHeight="1" x14ac:dyDescent="0.25">
      <c r="A77" s="231" t="s">
        <v>372</v>
      </c>
      <c r="B77" s="231"/>
      <c r="C77" s="231"/>
      <c r="D77" s="231"/>
      <c r="E77" s="145" t="s">
        <v>127</v>
      </c>
      <c r="F77" s="150" t="s">
        <v>131</v>
      </c>
      <c r="G77" s="233" t="s">
        <v>385</v>
      </c>
      <c r="H77" s="233"/>
      <c r="I77" s="233"/>
      <c r="J77" s="233"/>
      <c r="K77" s="132"/>
      <c r="L77" s="197" t="s">
        <v>130</v>
      </c>
      <c r="M77" s="197"/>
      <c r="N77" s="197"/>
      <c r="O77" s="197"/>
      <c r="P77" s="197"/>
      <c r="Q77" s="197"/>
    </row>
    <row r="78" spans="1:17" s="37" customFormat="1" ht="37.5" customHeight="1" x14ac:dyDescent="0.25">
      <c r="A78" s="198" t="s">
        <v>311</v>
      </c>
      <c r="B78" s="199"/>
      <c r="C78" s="199"/>
      <c r="D78" s="200"/>
      <c r="E78" s="198" t="s">
        <v>312</v>
      </c>
      <c r="F78" s="199"/>
      <c r="G78" s="199"/>
      <c r="H78" s="199"/>
      <c r="I78" s="199"/>
      <c r="J78" s="200"/>
      <c r="K78" s="132"/>
      <c r="L78" s="197"/>
      <c r="M78" s="197"/>
      <c r="N78" s="197"/>
      <c r="O78" s="197"/>
      <c r="P78" s="197"/>
      <c r="Q78" s="197"/>
    </row>
    <row r="79" spans="1:17" s="37" customFormat="1" ht="14.45" customHeight="1" x14ac:dyDescent="0.25">
      <c r="A79" s="180" t="s">
        <v>133</v>
      </c>
      <c r="B79" s="180"/>
      <c r="C79" s="180"/>
      <c r="D79" s="180"/>
      <c r="E79" s="180"/>
      <c r="F79" s="180"/>
      <c r="G79" s="180"/>
      <c r="H79" s="180"/>
      <c r="I79" s="180"/>
      <c r="J79" s="180"/>
      <c r="K79" s="57"/>
      <c r="L79" s="129"/>
      <c r="M79" s="129"/>
    </row>
    <row r="80" spans="1:17" s="37" customFormat="1" ht="14.45" customHeight="1" x14ac:dyDescent="0.2">
      <c r="A80" s="60" t="s">
        <v>134</v>
      </c>
      <c r="B80" s="60" t="s">
        <v>135</v>
      </c>
      <c r="C80" s="60" t="s">
        <v>136</v>
      </c>
      <c r="D80" s="193" t="s">
        <v>137</v>
      </c>
      <c r="E80" s="194"/>
      <c r="F80" s="195"/>
      <c r="G80" s="61" t="s">
        <v>138</v>
      </c>
      <c r="H80" s="60" t="s">
        <v>139</v>
      </c>
      <c r="I80" s="61" t="s">
        <v>140</v>
      </c>
      <c r="J80" s="61" t="s">
        <v>141</v>
      </c>
      <c r="K80" s="57"/>
      <c r="L80" s="129"/>
      <c r="M80" s="129"/>
    </row>
    <row r="81" spans="1:13" s="37" customFormat="1" ht="14.45" customHeight="1" x14ac:dyDescent="0.2">
      <c r="A81" s="62" t="s">
        <v>142</v>
      </c>
      <c r="B81" s="62" t="s">
        <v>49</v>
      </c>
      <c r="C81" s="62" t="s">
        <v>143</v>
      </c>
      <c r="D81" s="187" t="s">
        <v>144</v>
      </c>
      <c r="E81" s="188"/>
      <c r="F81" s="189"/>
      <c r="G81" s="63">
        <v>50</v>
      </c>
      <c r="H81" s="62" t="s">
        <v>145</v>
      </c>
      <c r="I81" s="63">
        <v>150</v>
      </c>
      <c r="J81" s="63" t="s">
        <v>110</v>
      </c>
      <c r="K81" s="57"/>
      <c r="L81" s="129"/>
      <c r="M81" s="129"/>
    </row>
    <row r="82" spans="1:13" s="37" customFormat="1" ht="14.45" hidden="1" customHeight="1" x14ac:dyDescent="0.2">
      <c r="A82" s="62" t="s">
        <v>142</v>
      </c>
      <c r="B82" s="62" t="s">
        <v>146</v>
      </c>
      <c r="C82" s="62" t="s">
        <v>147</v>
      </c>
      <c r="D82" s="187" t="s">
        <v>148</v>
      </c>
      <c r="E82" s="188"/>
      <c r="F82" s="189"/>
      <c r="G82" s="63">
        <v>3</v>
      </c>
      <c r="H82" s="62" t="s">
        <v>149</v>
      </c>
      <c r="I82" s="63">
        <v>3</v>
      </c>
      <c r="J82" s="63" t="s">
        <v>110</v>
      </c>
      <c r="K82" s="57"/>
      <c r="L82" s="129"/>
      <c r="M82" s="129"/>
    </row>
    <row r="83" spans="1:13" s="37" customFormat="1" ht="14.45" hidden="1" customHeight="1" x14ac:dyDescent="0.2">
      <c r="A83" s="62" t="s">
        <v>150</v>
      </c>
      <c r="B83" s="62" t="s">
        <v>146</v>
      </c>
      <c r="C83" s="62" t="s">
        <v>147</v>
      </c>
      <c r="D83" s="187" t="s">
        <v>151</v>
      </c>
      <c r="E83" s="188"/>
      <c r="F83" s="189"/>
      <c r="G83" s="63">
        <v>3</v>
      </c>
      <c r="H83" s="62" t="s">
        <v>152</v>
      </c>
      <c r="I83" s="63">
        <v>3</v>
      </c>
      <c r="J83" s="63" t="s">
        <v>110</v>
      </c>
      <c r="K83" s="57"/>
      <c r="L83" s="129"/>
      <c r="M83" s="129"/>
    </row>
    <row r="84" spans="1:13" s="37" customFormat="1" ht="14.45" customHeight="1" x14ac:dyDescent="0.2">
      <c r="A84" s="62" t="s">
        <v>173</v>
      </c>
      <c r="B84" s="62" t="s">
        <v>49</v>
      </c>
      <c r="C84" s="62" t="s">
        <v>143</v>
      </c>
      <c r="D84" s="187" t="s">
        <v>313</v>
      </c>
      <c r="E84" s="188"/>
      <c r="F84" s="189"/>
      <c r="G84" s="66">
        <v>75</v>
      </c>
      <c r="H84" s="62" t="s">
        <v>145</v>
      </c>
      <c r="I84" s="66">
        <f>75*3</f>
        <v>225</v>
      </c>
      <c r="J84" s="66" t="s">
        <v>314</v>
      </c>
      <c r="K84" s="132"/>
      <c r="L84" s="129"/>
      <c r="M84" s="129"/>
    </row>
    <row r="85" spans="1:13" s="37" customFormat="1" ht="14.45" customHeight="1" x14ac:dyDescent="0.2">
      <c r="A85" s="62" t="s">
        <v>142</v>
      </c>
      <c r="B85" s="62" t="s">
        <v>49</v>
      </c>
      <c r="C85" s="62" t="s">
        <v>143</v>
      </c>
      <c r="D85" s="187" t="s">
        <v>279</v>
      </c>
      <c r="E85" s="188"/>
      <c r="F85" s="189"/>
      <c r="G85" s="63">
        <v>150</v>
      </c>
      <c r="H85" s="62" t="s">
        <v>280</v>
      </c>
      <c r="I85" s="63" t="s">
        <v>153</v>
      </c>
      <c r="J85" s="63" t="s">
        <v>110</v>
      </c>
      <c r="K85" s="57"/>
      <c r="L85" s="129"/>
      <c r="M85" s="129"/>
    </row>
    <row r="86" spans="1:13" s="37" customFormat="1" ht="14.45" customHeight="1" x14ac:dyDescent="0.2">
      <c r="A86" s="62" t="s">
        <v>154</v>
      </c>
      <c r="B86" s="62" t="s">
        <v>49</v>
      </c>
      <c r="C86" s="62" t="s">
        <v>143</v>
      </c>
      <c r="D86" s="187" t="s">
        <v>155</v>
      </c>
      <c r="E86" s="188"/>
      <c r="F86" s="189"/>
      <c r="G86" s="63">
        <v>250</v>
      </c>
      <c r="H86" s="62" t="s">
        <v>49</v>
      </c>
      <c r="I86" s="63" t="s">
        <v>153</v>
      </c>
      <c r="J86" s="63" t="s">
        <v>110</v>
      </c>
      <c r="K86" s="57"/>
      <c r="L86" s="129"/>
      <c r="M86" s="129"/>
    </row>
    <row r="87" spans="1:13" s="37" customFormat="1" ht="14.45" customHeight="1" x14ac:dyDescent="0.2">
      <c r="A87" s="65" t="s">
        <v>156</v>
      </c>
      <c r="B87" s="65" t="s">
        <v>49</v>
      </c>
      <c r="C87" s="65" t="s">
        <v>143</v>
      </c>
      <c r="D87" s="187" t="s">
        <v>157</v>
      </c>
      <c r="E87" s="188"/>
      <c r="F87" s="189"/>
      <c r="G87" s="63">
        <v>250</v>
      </c>
      <c r="H87" s="62" t="s">
        <v>49</v>
      </c>
      <c r="I87" s="63" t="s">
        <v>153</v>
      </c>
      <c r="J87" s="63" t="s">
        <v>110</v>
      </c>
      <c r="K87" s="57"/>
      <c r="L87" s="129"/>
      <c r="M87" s="129"/>
    </row>
    <row r="88" spans="1:13" s="37" customFormat="1" ht="14.45" customHeight="1" x14ac:dyDescent="0.2">
      <c r="A88" s="62" t="s">
        <v>142</v>
      </c>
      <c r="B88" s="62" t="s">
        <v>49</v>
      </c>
      <c r="C88" s="62" t="s">
        <v>143</v>
      </c>
      <c r="D88" s="187" t="s">
        <v>281</v>
      </c>
      <c r="E88" s="188"/>
      <c r="F88" s="189"/>
      <c r="G88" s="63">
        <v>200</v>
      </c>
      <c r="H88" s="62" t="s">
        <v>280</v>
      </c>
      <c r="I88" s="63" t="s">
        <v>153</v>
      </c>
      <c r="J88" s="63" t="s">
        <v>110</v>
      </c>
      <c r="K88" s="57"/>
      <c r="L88" s="129"/>
      <c r="M88" s="129"/>
    </row>
    <row r="89" spans="1:13" s="37" customFormat="1" ht="14.45" customHeight="1" x14ac:dyDescent="0.2">
      <c r="A89" s="62" t="s">
        <v>142</v>
      </c>
      <c r="B89" s="62" t="s">
        <v>49</v>
      </c>
      <c r="C89" s="62" t="s">
        <v>143</v>
      </c>
      <c r="D89" s="187" t="s">
        <v>158</v>
      </c>
      <c r="E89" s="188"/>
      <c r="F89" s="189"/>
      <c r="G89" s="66">
        <v>150</v>
      </c>
      <c r="H89" s="62" t="s">
        <v>49</v>
      </c>
      <c r="I89" s="66" t="s">
        <v>153</v>
      </c>
      <c r="J89" s="63" t="s">
        <v>110</v>
      </c>
      <c r="K89" s="57"/>
      <c r="L89" s="129"/>
      <c r="M89" s="129"/>
    </row>
    <row r="90" spans="1:13" s="37" customFormat="1" ht="14.45" customHeight="1" x14ac:dyDescent="0.2">
      <c r="A90" s="62" t="s">
        <v>150</v>
      </c>
      <c r="B90" s="67" t="s">
        <v>49</v>
      </c>
      <c r="C90" s="62" t="s">
        <v>143</v>
      </c>
      <c r="D90" s="187" t="s">
        <v>159</v>
      </c>
      <c r="E90" s="188"/>
      <c r="F90" s="189"/>
      <c r="G90" s="68">
        <v>180</v>
      </c>
      <c r="H90" s="67" t="s">
        <v>49</v>
      </c>
      <c r="I90" s="68" t="s">
        <v>153</v>
      </c>
      <c r="J90" s="63" t="s">
        <v>110</v>
      </c>
      <c r="K90" s="57"/>
      <c r="L90" s="129"/>
      <c r="M90" s="129"/>
    </row>
    <row r="91" spans="1:13" s="37" customFormat="1" ht="14.45" customHeight="1" x14ac:dyDescent="0.2">
      <c r="A91" s="62" t="s">
        <v>160</v>
      </c>
      <c r="B91" s="67" t="s">
        <v>49</v>
      </c>
      <c r="C91" s="62" t="s">
        <v>143</v>
      </c>
      <c r="D91" s="187" t="s">
        <v>161</v>
      </c>
      <c r="E91" s="188"/>
      <c r="F91" s="189"/>
      <c r="G91" s="69">
        <v>47.9</v>
      </c>
      <c r="H91" s="67" t="s">
        <v>24</v>
      </c>
      <c r="I91" s="69">
        <v>47.9</v>
      </c>
      <c r="J91" s="63" t="s">
        <v>110</v>
      </c>
      <c r="K91" s="57"/>
      <c r="L91" s="129"/>
      <c r="M91" s="129"/>
    </row>
    <row r="92" spans="1:13" s="37" customFormat="1" ht="14.45" customHeight="1" x14ac:dyDescent="0.2">
      <c r="A92" s="62" t="s">
        <v>160</v>
      </c>
      <c r="B92" s="67" t="s">
        <v>49</v>
      </c>
      <c r="C92" s="62" t="s">
        <v>143</v>
      </c>
      <c r="D92" s="187" t="s">
        <v>161</v>
      </c>
      <c r="E92" s="188"/>
      <c r="F92" s="189"/>
      <c r="G92" s="69">
        <v>65.400000000000006</v>
      </c>
      <c r="H92" s="67" t="s">
        <v>162</v>
      </c>
      <c r="I92" s="69">
        <v>65.400000000000006</v>
      </c>
      <c r="J92" s="63" t="s">
        <v>110</v>
      </c>
      <c r="K92" s="57"/>
      <c r="L92" s="129"/>
      <c r="M92" s="129"/>
    </row>
    <row r="93" spans="1:13" s="37" customFormat="1" ht="14.1" customHeight="1" x14ac:dyDescent="0.2">
      <c r="A93" s="62" t="s">
        <v>163</v>
      </c>
      <c r="B93" s="67" t="s">
        <v>49</v>
      </c>
      <c r="C93" s="62" t="s">
        <v>143</v>
      </c>
      <c r="D93" s="187" t="s">
        <v>164</v>
      </c>
      <c r="E93" s="188"/>
      <c r="F93" s="189"/>
      <c r="G93" s="69">
        <v>48</v>
      </c>
      <c r="H93" s="67" t="s">
        <v>49</v>
      </c>
      <c r="I93" s="69">
        <v>48</v>
      </c>
      <c r="J93" s="63" t="s">
        <v>110</v>
      </c>
      <c r="K93" s="57"/>
      <c r="L93" s="129"/>
      <c r="M93" s="129"/>
    </row>
    <row r="94" spans="1:13" s="37" customFormat="1" ht="14.45" customHeight="1" x14ac:dyDescent="0.2">
      <c r="A94" s="62" t="s">
        <v>163</v>
      </c>
      <c r="B94" s="67" t="s">
        <v>49</v>
      </c>
      <c r="C94" s="62" t="s">
        <v>143</v>
      </c>
      <c r="D94" s="187" t="s">
        <v>165</v>
      </c>
      <c r="E94" s="188"/>
      <c r="F94" s="189"/>
      <c r="G94" s="69">
        <v>18</v>
      </c>
      <c r="H94" s="67" t="s">
        <v>49</v>
      </c>
      <c r="I94" s="69">
        <v>18</v>
      </c>
      <c r="J94" s="63" t="s">
        <v>110</v>
      </c>
      <c r="K94" s="57"/>
      <c r="L94" s="129"/>
      <c r="M94" s="129"/>
    </row>
    <row r="95" spans="1:13" s="37" customFormat="1" ht="14.45" customHeight="1" x14ac:dyDescent="0.2">
      <c r="A95" s="62" t="s">
        <v>163</v>
      </c>
      <c r="B95" s="67" t="s">
        <v>49</v>
      </c>
      <c r="C95" s="62" t="s">
        <v>143</v>
      </c>
      <c r="D95" s="187" t="s">
        <v>166</v>
      </c>
      <c r="E95" s="188"/>
      <c r="F95" s="189"/>
      <c r="G95" s="69">
        <v>42</v>
      </c>
      <c r="H95" s="67" t="s">
        <v>49</v>
      </c>
      <c r="I95" s="69">
        <v>42</v>
      </c>
      <c r="J95" s="63" t="s">
        <v>110</v>
      </c>
      <c r="K95" s="57"/>
      <c r="L95" s="129"/>
      <c r="M95" s="129"/>
    </row>
    <row r="96" spans="1:13" s="37" customFormat="1" ht="14.45" customHeight="1" x14ac:dyDescent="0.2">
      <c r="A96" s="62" t="s">
        <v>167</v>
      </c>
      <c r="B96" s="62" t="s">
        <v>49</v>
      </c>
      <c r="C96" s="62" t="s">
        <v>143</v>
      </c>
      <c r="D96" s="187" t="s">
        <v>168</v>
      </c>
      <c r="E96" s="188"/>
      <c r="F96" s="189"/>
      <c r="G96" s="66">
        <v>54</v>
      </c>
      <c r="H96" s="62" t="s">
        <v>49</v>
      </c>
      <c r="I96" s="66">
        <v>54</v>
      </c>
      <c r="J96" s="63" t="s">
        <v>110</v>
      </c>
      <c r="K96" s="57"/>
      <c r="L96" s="129"/>
      <c r="M96" s="129"/>
    </row>
    <row r="97" spans="1:13" s="37" customFormat="1" ht="14.45" customHeight="1" x14ac:dyDescent="0.2">
      <c r="A97" s="67" t="s">
        <v>169</v>
      </c>
      <c r="B97" s="67" t="s">
        <v>49</v>
      </c>
      <c r="C97" s="67" t="s">
        <v>147</v>
      </c>
      <c r="D97" s="187" t="s">
        <v>170</v>
      </c>
      <c r="E97" s="188"/>
      <c r="F97" s="189"/>
      <c r="G97" s="70">
        <v>35</v>
      </c>
      <c r="H97" s="70" t="s">
        <v>280</v>
      </c>
      <c r="I97" s="70">
        <v>35</v>
      </c>
      <c r="J97" s="63" t="s">
        <v>110</v>
      </c>
      <c r="K97" s="57"/>
      <c r="L97" s="129"/>
      <c r="M97" s="129"/>
    </row>
    <row r="98" spans="1:13" s="37" customFormat="1" ht="14.45" customHeight="1" x14ac:dyDescent="0.2">
      <c r="A98" s="62" t="s">
        <v>142</v>
      </c>
      <c r="B98" s="62" t="s">
        <v>49</v>
      </c>
      <c r="C98" s="62" t="s">
        <v>143</v>
      </c>
      <c r="D98" s="187" t="s">
        <v>171</v>
      </c>
      <c r="E98" s="188"/>
      <c r="F98" s="189"/>
      <c r="G98" s="63">
        <v>85</v>
      </c>
      <c r="H98" s="62" t="s">
        <v>172</v>
      </c>
      <c r="I98" s="63" t="s">
        <v>153</v>
      </c>
      <c r="J98" s="63" t="s">
        <v>110</v>
      </c>
      <c r="K98" s="57"/>
      <c r="L98" s="129"/>
      <c r="M98" s="129"/>
    </row>
    <row r="99" spans="1:13" s="37" customFormat="1" ht="14.45" hidden="1" customHeight="1" x14ac:dyDescent="0.2">
      <c r="A99" s="62" t="s">
        <v>173</v>
      </c>
      <c r="B99" s="62" t="s">
        <v>146</v>
      </c>
      <c r="C99" s="62" t="s">
        <v>147</v>
      </c>
      <c r="D99" s="187" t="s">
        <v>174</v>
      </c>
      <c r="E99" s="188"/>
      <c r="F99" s="189"/>
      <c r="G99" s="63">
        <v>4</v>
      </c>
      <c r="H99" s="62" t="s">
        <v>149</v>
      </c>
      <c r="I99" s="63">
        <v>4</v>
      </c>
      <c r="J99" s="63" t="s">
        <v>110</v>
      </c>
      <c r="K99" s="57"/>
      <c r="L99" s="129"/>
      <c r="M99" s="129"/>
    </row>
    <row r="100" spans="1:13" s="37" customFormat="1" ht="24" customHeight="1" x14ac:dyDescent="0.2">
      <c r="A100" s="62" t="s">
        <v>173</v>
      </c>
      <c r="B100" s="62" t="s">
        <v>49</v>
      </c>
      <c r="C100" s="62" t="s">
        <v>143</v>
      </c>
      <c r="D100" s="187" t="s">
        <v>175</v>
      </c>
      <c r="E100" s="188"/>
      <c r="F100" s="189"/>
      <c r="G100" s="137" t="s">
        <v>348</v>
      </c>
      <c r="H100" s="62" t="s">
        <v>24</v>
      </c>
      <c r="I100" s="66" t="s">
        <v>153</v>
      </c>
      <c r="J100" s="63" t="s">
        <v>282</v>
      </c>
      <c r="K100" s="57"/>
      <c r="L100" s="129"/>
      <c r="M100" s="129"/>
    </row>
    <row r="101" spans="1:13" s="37" customFormat="1" ht="27" customHeight="1" x14ac:dyDescent="0.2">
      <c r="A101" s="62" t="s">
        <v>173</v>
      </c>
      <c r="B101" s="62" t="s">
        <v>49</v>
      </c>
      <c r="C101" s="62" t="s">
        <v>143</v>
      </c>
      <c r="D101" s="187" t="s">
        <v>176</v>
      </c>
      <c r="E101" s="188"/>
      <c r="F101" s="189"/>
      <c r="G101" s="137" t="s">
        <v>348</v>
      </c>
      <c r="H101" s="62" t="s">
        <v>162</v>
      </c>
      <c r="I101" s="66" t="s">
        <v>153</v>
      </c>
      <c r="J101" s="63" t="s">
        <v>282</v>
      </c>
      <c r="K101" s="57"/>
      <c r="L101" s="129"/>
      <c r="M101" s="129"/>
    </row>
    <row r="102" spans="1:13" s="152" customFormat="1" ht="52.35" customHeight="1" x14ac:dyDescent="0.2">
      <c r="A102" s="67" t="s">
        <v>142</v>
      </c>
      <c r="B102" s="67" t="s">
        <v>49</v>
      </c>
      <c r="C102" s="147" t="s">
        <v>362</v>
      </c>
      <c r="D102" s="190" t="s">
        <v>363</v>
      </c>
      <c r="E102" s="191"/>
      <c r="F102" s="192"/>
      <c r="G102" s="146" t="s">
        <v>371</v>
      </c>
      <c r="H102" s="148" t="s">
        <v>280</v>
      </c>
      <c r="I102" s="69" t="s">
        <v>153</v>
      </c>
      <c r="J102" s="149" t="s">
        <v>365</v>
      </c>
      <c r="K102" s="111"/>
      <c r="L102" s="151"/>
      <c r="M102" s="151"/>
    </row>
    <row r="103" spans="1:13" s="37" customFormat="1" ht="14.45" hidden="1" customHeight="1" x14ac:dyDescent="0.2">
      <c r="A103" s="62" t="s">
        <v>173</v>
      </c>
      <c r="B103" s="62" t="s">
        <v>146</v>
      </c>
      <c r="C103" s="62" t="s">
        <v>147</v>
      </c>
      <c r="D103" s="187" t="s">
        <v>177</v>
      </c>
      <c r="E103" s="188"/>
      <c r="F103" s="189"/>
      <c r="G103" s="63">
        <v>2</v>
      </c>
      <c r="H103" s="62" t="s">
        <v>149</v>
      </c>
      <c r="I103" s="63">
        <v>2</v>
      </c>
      <c r="J103" s="63" t="s">
        <v>110</v>
      </c>
      <c r="K103" s="57"/>
      <c r="L103" s="129"/>
      <c r="M103" s="129"/>
    </row>
    <row r="104" spans="1:13" s="37" customFormat="1" ht="14.45" hidden="1" customHeight="1" x14ac:dyDescent="0.2">
      <c r="A104" s="62" t="s">
        <v>173</v>
      </c>
      <c r="B104" s="62" t="s">
        <v>146</v>
      </c>
      <c r="C104" s="62" t="s">
        <v>283</v>
      </c>
      <c r="D104" s="187" t="s">
        <v>284</v>
      </c>
      <c r="E104" s="188"/>
      <c r="F104" s="189"/>
      <c r="G104" s="63">
        <v>10</v>
      </c>
      <c r="H104" s="62" t="s">
        <v>285</v>
      </c>
      <c r="I104" s="63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142</v>
      </c>
      <c r="B105" s="62" t="s">
        <v>49</v>
      </c>
      <c r="C105" s="62" t="s">
        <v>143</v>
      </c>
      <c r="D105" s="187" t="s">
        <v>178</v>
      </c>
      <c r="E105" s="188"/>
      <c r="F105" s="189"/>
      <c r="G105" s="63">
        <v>50</v>
      </c>
      <c r="H105" s="62" t="s">
        <v>145</v>
      </c>
      <c r="I105" s="63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173</v>
      </c>
      <c r="B106" s="62" t="s">
        <v>49</v>
      </c>
      <c r="C106" s="62" t="s">
        <v>143</v>
      </c>
      <c r="D106" s="187" t="s">
        <v>179</v>
      </c>
      <c r="E106" s="188"/>
      <c r="F106" s="189"/>
      <c r="G106" s="63">
        <v>175</v>
      </c>
      <c r="H106" s="62" t="s">
        <v>49</v>
      </c>
      <c r="I106" s="63" t="s">
        <v>153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142</v>
      </c>
      <c r="B107" s="62" t="s">
        <v>49</v>
      </c>
      <c r="C107" s="62" t="s">
        <v>147</v>
      </c>
      <c r="D107" s="187" t="s">
        <v>180</v>
      </c>
      <c r="E107" s="188"/>
      <c r="F107" s="189"/>
      <c r="G107" s="63">
        <v>40</v>
      </c>
      <c r="H107" s="62" t="s">
        <v>181</v>
      </c>
      <c r="I107" s="63" t="s">
        <v>153</v>
      </c>
      <c r="J107" s="63" t="s">
        <v>110</v>
      </c>
      <c r="K107" s="57"/>
      <c r="L107" s="129"/>
      <c r="M107" s="129"/>
    </row>
    <row r="108" spans="1:13" s="37" customFormat="1" ht="14.45" hidden="1" customHeight="1" x14ac:dyDescent="0.2">
      <c r="A108" s="62" t="s">
        <v>173</v>
      </c>
      <c r="B108" s="62" t="s">
        <v>146</v>
      </c>
      <c r="C108" s="62" t="s">
        <v>147</v>
      </c>
      <c r="D108" s="187" t="s">
        <v>182</v>
      </c>
      <c r="E108" s="188"/>
      <c r="F108" s="189"/>
      <c r="G108" s="63">
        <v>7.5</v>
      </c>
      <c r="H108" s="62" t="s">
        <v>152</v>
      </c>
      <c r="I108" s="63">
        <v>75</v>
      </c>
      <c r="J108" s="63" t="s">
        <v>110</v>
      </c>
      <c r="K108" s="57"/>
      <c r="L108" s="129"/>
      <c r="M108" s="129"/>
    </row>
    <row r="109" spans="1:13" s="37" customFormat="1" ht="14.45" hidden="1" customHeight="1" x14ac:dyDescent="0.2">
      <c r="A109" s="62" t="s">
        <v>142</v>
      </c>
      <c r="B109" s="62" t="s">
        <v>146</v>
      </c>
      <c r="C109" s="62" t="s">
        <v>147</v>
      </c>
      <c r="D109" s="187" t="s">
        <v>183</v>
      </c>
      <c r="E109" s="188"/>
      <c r="F109" s="189"/>
      <c r="G109" s="63">
        <v>20</v>
      </c>
      <c r="H109" s="62" t="s">
        <v>184</v>
      </c>
      <c r="I109" s="63" t="s">
        <v>153</v>
      </c>
      <c r="J109" s="63" t="s">
        <v>110</v>
      </c>
      <c r="K109" s="57"/>
      <c r="L109" s="129"/>
      <c r="M109" s="129"/>
    </row>
    <row r="110" spans="1:13" s="37" customFormat="1" ht="14.45" hidden="1" customHeight="1" x14ac:dyDescent="0.2">
      <c r="A110" s="62" t="s">
        <v>142</v>
      </c>
      <c r="B110" s="62" t="s">
        <v>146</v>
      </c>
      <c r="C110" s="62" t="s">
        <v>147</v>
      </c>
      <c r="D110" s="187" t="s">
        <v>185</v>
      </c>
      <c r="E110" s="188"/>
      <c r="F110" s="189"/>
      <c r="G110" s="63">
        <v>25</v>
      </c>
      <c r="H110" s="62" t="s">
        <v>184</v>
      </c>
      <c r="I110" s="63" t="s">
        <v>153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142</v>
      </c>
      <c r="B111" s="62" t="s">
        <v>142</v>
      </c>
      <c r="C111" s="62" t="s">
        <v>147</v>
      </c>
      <c r="D111" s="187" t="s">
        <v>186</v>
      </c>
      <c r="E111" s="188"/>
      <c r="F111" s="189"/>
      <c r="G111" s="68">
        <v>75</v>
      </c>
      <c r="H111" s="62" t="s">
        <v>181</v>
      </c>
      <c r="I111" s="63" t="s">
        <v>153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142</v>
      </c>
      <c r="B112" s="62" t="s">
        <v>142</v>
      </c>
      <c r="C112" s="62" t="s">
        <v>147</v>
      </c>
      <c r="D112" s="187" t="s">
        <v>187</v>
      </c>
      <c r="E112" s="188"/>
      <c r="F112" s="189"/>
      <c r="G112" s="63">
        <v>35</v>
      </c>
      <c r="H112" s="62" t="s">
        <v>181</v>
      </c>
      <c r="I112" s="63" t="s">
        <v>153</v>
      </c>
      <c r="J112" s="63" t="s">
        <v>110</v>
      </c>
      <c r="K112" s="57"/>
      <c r="L112" s="129"/>
      <c r="M112" s="129"/>
    </row>
    <row r="113" spans="1:29" s="37" customFormat="1" ht="14.45" hidden="1" customHeight="1" x14ac:dyDescent="0.2">
      <c r="A113" s="62" t="s">
        <v>142</v>
      </c>
      <c r="B113" s="62" t="s">
        <v>146</v>
      </c>
      <c r="C113" s="62" t="s">
        <v>143</v>
      </c>
      <c r="D113" s="187" t="s">
        <v>188</v>
      </c>
      <c r="E113" s="188"/>
      <c r="F113" s="189"/>
      <c r="G113" s="63">
        <v>100</v>
      </c>
      <c r="H113" s="62" t="s">
        <v>181</v>
      </c>
      <c r="I113" s="63" t="s">
        <v>153</v>
      </c>
      <c r="J113" s="63" t="s">
        <v>110</v>
      </c>
      <c r="K113" s="57"/>
      <c r="L113" s="129"/>
      <c r="M113" s="129"/>
    </row>
    <row r="114" spans="1:29" s="37" customFormat="1" ht="14.45" hidden="1" customHeight="1" x14ac:dyDescent="0.2">
      <c r="A114" s="62" t="s">
        <v>142</v>
      </c>
      <c r="B114" s="62" t="s">
        <v>146</v>
      </c>
      <c r="C114" s="62" t="s">
        <v>143</v>
      </c>
      <c r="D114" s="187" t="s">
        <v>189</v>
      </c>
      <c r="E114" s="188"/>
      <c r="F114" s="189"/>
      <c r="G114" s="63">
        <v>100</v>
      </c>
      <c r="H114" s="62" t="s">
        <v>190</v>
      </c>
      <c r="I114" s="63" t="s">
        <v>153</v>
      </c>
      <c r="J114" s="63" t="s">
        <v>110</v>
      </c>
      <c r="K114" s="57"/>
      <c r="O114" s="38"/>
      <c r="P114" s="38"/>
    </row>
    <row r="115" spans="1:29" s="37" customFormat="1" ht="14.45" hidden="1" customHeight="1" x14ac:dyDescent="0.2">
      <c r="A115" s="62" t="s">
        <v>142</v>
      </c>
      <c r="B115" s="62" t="s">
        <v>146</v>
      </c>
      <c r="C115" s="62" t="s">
        <v>143</v>
      </c>
      <c r="D115" s="187" t="s">
        <v>191</v>
      </c>
      <c r="E115" s="188"/>
      <c r="F115" s="189"/>
      <c r="G115" s="63">
        <v>100</v>
      </c>
      <c r="H115" s="62" t="s">
        <v>181</v>
      </c>
      <c r="I115" s="63" t="s">
        <v>153</v>
      </c>
      <c r="J115" s="63" t="s">
        <v>110</v>
      </c>
      <c r="K115" s="57"/>
      <c r="O115" s="39"/>
      <c r="P115" s="39"/>
    </row>
    <row r="116" spans="1:29" s="37" customFormat="1" ht="14.45" hidden="1" customHeight="1" x14ac:dyDescent="0.2">
      <c r="A116" s="62" t="s">
        <v>173</v>
      </c>
      <c r="B116" s="62" t="s">
        <v>146</v>
      </c>
      <c r="C116" s="62" t="s">
        <v>143</v>
      </c>
      <c r="D116" s="187" t="s">
        <v>189</v>
      </c>
      <c r="E116" s="188"/>
      <c r="F116" s="189"/>
      <c r="G116" s="63">
        <v>50</v>
      </c>
      <c r="H116" s="62" t="s">
        <v>192</v>
      </c>
      <c r="I116" s="63" t="s">
        <v>153</v>
      </c>
      <c r="J116" s="63" t="s">
        <v>110</v>
      </c>
      <c r="K116" s="57"/>
      <c r="O116" s="39"/>
      <c r="P116" s="39"/>
    </row>
    <row r="117" spans="1:29" s="37" customFormat="1" ht="14.45" hidden="1" customHeight="1" x14ac:dyDescent="0.2">
      <c r="A117" s="62" t="s">
        <v>173</v>
      </c>
      <c r="B117" s="62" t="s">
        <v>146</v>
      </c>
      <c r="C117" s="62" t="s">
        <v>143</v>
      </c>
      <c r="D117" s="187" t="s">
        <v>191</v>
      </c>
      <c r="E117" s="188"/>
      <c r="F117" s="189"/>
      <c r="G117" s="63">
        <v>50</v>
      </c>
      <c r="H117" s="62" t="s">
        <v>181</v>
      </c>
      <c r="I117" s="63" t="s">
        <v>153</v>
      </c>
      <c r="J117" s="63" t="s">
        <v>110</v>
      </c>
      <c r="K117" s="57"/>
      <c r="O117" s="38"/>
      <c r="P117" s="38"/>
    </row>
    <row r="118" spans="1:29" s="37" customFormat="1" ht="14.45" hidden="1" customHeight="1" x14ac:dyDescent="0.25">
      <c r="A118" s="62" t="s">
        <v>142</v>
      </c>
      <c r="B118" s="62" t="s">
        <v>146</v>
      </c>
      <c r="C118" s="62" t="s">
        <v>143</v>
      </c>
      <c r="D118" s="187" t="s">
        <v>193</v>
      </c>
      <c r="E118" s="188"/>
      <c r="F118" s="189"/>
      <c r="G118" s="63">
        <v>85</v>
      </c>
      <c r="H118" s="62" t="s">
        <v>194</v>
      </c>
      <c r="I118" s="63" t="s">
        <v>153</v>
      </c>
      <c r="J118" s="63" t="s">
        <v>110</v>
      </c>
      <c r="K118" s="57"/>
      <c r="O118" s="36"/>
      <c r="P118" s="36"/>
    </row>
    <row r="119" spans="1:29" s="37" customFormat="1" ht="14.45" hidden="1" customHeight="1" x14ac:dyDescent="0.25">
      <c r="A119" s="62" t="s">
        <v>173</v>
      </c>
      <c r="B119" s="62" t="s">
        <v>146</v>
      </c>
      <c r="C119" s="62" t="s">
        <v>195</v>
      </c>
      <c r="D119" s="187" t="s">
        <v>196</v>
      </c>
      <c r="E119" s="188"/>
      <c r="F119" s="189"/>
      <c r="G119" s="63">
        <v>0.1</v>
      </c>
      <c r="H119" s="62" t="s">
        <v>197</v>
      </c>
      <c r="I119" s="63">
        <v>150</v>
      </c>
      <c r="J119" s="63" t="s">
        <v>110</v>
      </c>
      <c r="K119" s="57"/>
      <c r="O119" s="36"/>
      <c r="P119" s="36"/>
    </row>
    <row r="120" spans="1:29" s="37" customFormat="1" ht="14.45" customHeight="1" x14ac:dyDescent="0.25">
      <c r="A120" s="62" t="s">
        <v>142</v>
      </c>
      <c r="B120" s="62" t="s">
        <v>49</v>
      </c>
      <c r="C120" s="62" t="s">
        <v>198</v>
      </c>
      <c r="D120" s="187" t="s">
        <v>199</v>
      </c>
      <c r="E120" s="188"/>
      <c r="F120" s="189"/>
      <c r="G120" s="63">
        <v>35</v>
      </c>
      <c r="H120" s="62" t="s">
        <v>181</v>
      </c>
      <c r="I120" s="63" t="s">
        <v>153</v>
      </c>
      <c r="J120" s="63" t="s">
        <v>110</v>
      </c>
      <c r="K120" s="57"/>
      <c r="O120" s="36"/>
      <c r="P120" s="36"/>
    </row>
    <row r="121" spans="1:29" s="37" customFormat="1" ht="14.45" hidden="1" customHeight="1" x14ac:dyDescent="0.25">
      <c r="A121" s="62" t="s">
        <v>142</v>
      </c>
      <c r="B121" s="62" t="s">
        <v>146</v>
      </c>
      <c r="C121" s="62" t="s">
        <v>198</v>
      </c>
      <c r="D121" s="187" t="s">
        <v>200</v>
      </c>
      <c r="E121" s="188"/>
      <c r="F121" s="189"/>
      <c r="G121" s="63">
        <v>7</v>
      </c>
      <c r="H121" s="62" t="s">
        <v>152</v>
      </c>
      <c r="I121" s="63">
        <v>7</v>
      </c>
      <c r="J121" s="63" t="s">
        <v>110</v>
      </c>
      <c r="K121" s="57"/>
      <c r="O121" s="36"/>
      <c r="P121" s="36"/>
    </row>
    <row r="122" spans="1:29" s="37" customFormat="1" ht="14.1" customHeight="1" x14ac:dyDescent="0.25">
      <c r="A122" s="62" t="s">
        <v>142</v>
      </c>
      <c r="B122" s="62" t="s">
        <v>142</v>
      </c>
      <c r="C122" s="62" t="s">
        <v>201</v>
      </c>
      <c r="D122" s="187" t="s">
        <v>202</v>
      </c>
      <c r="E122" s="188"/>
      <c r="F122" s="189"/>
      <c r="G122" s="63">
        <v>40</v>
      </c>
      <c r="H122" s="62" t="s">
        <v>203</v>
      </c>
      <c r="I122" s="63" t="s">
        <v>153</v>
      </c>
      <c r="J122" s="63" t="s">
        <v>110</v>
      </c>
      <c r="K122" s="57"/>
      <c r="O122" s="36"/>
      <c r="P122" s="36"/>
    </row>
    <row r="123" spans="1:29" s="37" customFormat="1" ht="14.1" customHeight="1" x14ac:dyDescent="0.25">
      <c r="A123" s="62" t="s">
        <v>142</v>
      </c>
      <c r="B123" s="62" t="s">
        <v>49</v>
      </c>
      <c r="C123" s="62" t="s">
        <v>143</v>
      </c>
      <c r="D123" s="187" t="s">
        <v>204</v>
      </c>
      <c r="E123" s="188"/>
      <c r="F123" s="189"/>
      <c r="G123" s="63">
        <v>50</v>
      </c>
      <c r="H123" s="62" t="s">
        <v>49</v>
      </c>
      <c r="I123" s="63" t="s">
        <v>153</v>
      </c>
      <c r="J123" s="63" t="s">
        <v>110</v>
      </c>
      <c r="K123" s="57"/>
      <c r="L123" s="38"/>
      <c r="M123" s="38"/>
      <c r="N123" s="38"/>
      <c r="O123" s="36"/>
      <c r="P123" s="36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 spans="1:29" s="39" customFormat="1" ht="14.1" customHeight="1" x14ac:dyDescent="0.25">
      <c r="A124" s="62" t="s">
        <v>142</v>
      </c>
      <c r="B124" s="62" t="s">
        <v>49</v>
      </c>
      <c r="C124" s="62" t="s">
        <v>143</v>
      </c>
      <c r="D124" s="187" t="s">
        <v>205</v>
      </c>
      <c r="E124" s="188"/>
      <c r="F124" s="189"/>
      <c r="G124" s="63">
        <v>200</v>
      </c>
      <c r="H124" s="62" t="s">
        <v>206</v>
      </c>
      <c r="I124" s="63" t="s">
        <v>153</v>
      </c>
      <c r="J124" s="63" t="s">
        <v>110</v>
      </c>
      <c r="K124" s="57"/>
      <c r="O124" s="36"/>
      <c r="P124" s="36"/>
    </row>
    <row r="125" spans="1:29" s="39" customFormat="1" ht="14.1" customHeight="1" x14ac:dyDescent="0.25">
      <c r="A125" s="62" t="s">
        <v>142</v>
      </c>
      <c r="B125" s="62" t="s">
        <v>49</v>
      </c>
      <c r="C125" s="62" t="s">
        <v>143</v>
      </c>
      <c r="D125" s="187" t="s">
        <v>207</v>
      </c>
      <c r="E125" s="188"/>
      <c r="F125" s="189"/>
      <c r="G125" s="63">
        <v>250</v>
      </c>
      <c r="H125" s="62" t="s">
        <v>208</v>
      </c>
      <c r="I125" s="63">
        <v>100</v>
      </c>
      <c r="J125" s="63" t="s">
        <v>110</v>
      </c>
      <c r="K125" s="57"/>
      <c r="L125" s="38"/>
      <c r="M125" s="38"/>
      <c r="N125" s="38"/>
      <c r="O125" s="36"/>
      <c r="P125" s="36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 spans="1:29" s="38" customFormat="1" ht="14.1" customHeight="1" x14ac:dyDescent="0.25">
      <c r="A126" s="62" t="s">
        <v>142</v>
      </c>
      <c r="B126" s="62" t="s">
        <v>49</v>
      </c>
      <c r="C126" s="62" t="s">
        <v>201</v>
      </c>
      <c r="D126" s="187" t="s">
        <v>209</v>
      </c>
      <c r="E126" s="188"/>
      <c r="F126" s="189"/>
      <c r="G126" s="63" t="s">
        <v>210</v>
      </c>
      <c r="H126" s="62"/>
      <c r="I126" s="63" t="s">
        <v>153</v>
      </c>
      <c r="J126" s="63" t="s">
        <v>110</v>
      </c>
      <c r="K126" s="57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:29" s="36" customFormat="1" x14ac:dyDescent="0.25">
      <c r="A127" s="62" t="s">
        <v>142</v>
      </c>
      <c r="B127" s="62" t="s">
        <v>49</v>
      </c>
      <c r="C127" s="62" t="s">
        <v>201</v>
      </c>
      <c r="D127" s="187" t="s">
        <v>211</v>
      </c>
      <c r="E127" s="188"/>
      <c r="F127" s="189"/>
      <c r="G127" s="63" t="s">
        <v>212</v>
      </c>
      <c r="H127" s="62"/>
      <c r="I127" s="63" t="s">
        <v>153</v>
      </c>
      <c r="J127" s="63" t="s">
        <v>110</v>
      </c>
      <c r="K127" s="72"/>
    </row>
    <row r="128" spans="1:29" s="36" customFormat="1" x14ac:dyDescent="0.25">
      <c r="A128" s="62" t="s">
        <v>213</v>
      </c>
      <c r="B128" s="62" t="s">
        <v>49</v>
      </c>
      <c r="C128" s="62" t="s">
        <v>214</v>
      </c>
      <c r="D128" s="187" t="s">
        <v>215</v>
      </c>
      <c r="E128" s="188"/>
      <c r="F128" s="189"/>
      <c r="G128" s="63">
        <v>100</v>
      </c>
      <c r="H128" s="62" t="s">
        <v>49</v>
      </c>
      <c r="I128" s="63">
        <v>100</v>
      </c>
      <c r="J128" s="63" t="s">
        <v>110</v>
      </c>
      <c r="K128" s="72"/>
    </row>
    <row r="129" spans="1:11" s="36" customFormat="1" x14ac:dyDescent="0.25">
      <c r="A129" s="62" t="s">
        <v>213</v>
      </c>
      <c r="B129" s="62" t="s">
        <v>216</v>
      </c>
      <c r="C129" s="62" t="s">
        <v>147</v>
      </c>
      <c r="D129" s="187" t="s">
        <v>217</v>
      </c>
      <c r="E129" s="188"/>
      <c r="F129" s="189"/>
      <c r="G129" s="63">
        <v>50</v>
      </c>
      <c r="H129" s="62"/>
      <c r="I129" s="63">
        <v>50</v>
      </c>
      <c r="J129" s="63" t="s">
        <v>110</v>
      </c>
      <c r="K129" s="72"/>
    </row>
    <row r="130" spans="1:11" s="36" customFormat="1" x14ac:dyDescent="0.25">
      <c r="A130" s="62" t="s">
        <v>150</v>
      </c>
      <c r="B130" s="62" t="s">
        <v>49</v>
      </c>
      <c r="C130" s="62" t="s">
        <v>218</v>
      </c>
      <c r="D130" s="187" t="s">
        <v>219</v>
      </c>
      <c r="E130" s="188"/>
      <c r="F130" s="189"/>
      <c r="G130" s="69" t="s">
        <v>220</v>
      </c>
      <c r="H130" s="67" t="s">
        <v>49</v>
      </c>
      <c r="I130" s="69" t="s">
        <v>153</v>
      </c>
      <c r="J130" s="63" t="s">
        <v>110</v>
      </c>
      <c r="K130" s="72"/>
    </row>
    <row r="131" spans="1:11" s="36" customFormat="1" x14ac:dyDescent="0.25">
      <c r="A131" s="62" t="s">
        <v>221</v>
      </c>
      <c r="B131" s="62" t="s">
        <v>49</v>
      </c>
      <c r="C131" s="62" t="s">
        <v>201</v>
      </c>
      <c r="D131" s="187" t="s">
        <v>222</v>
      </c>
      <c r="E131" s="188"/>
      <c r="F131" s="189"/>
      <c r="G131" s="69" t="s">
        <v>220</v>
      </c>
      <c r="H131" s="67" t="s">
        <v>49</v>
      </c>
      <c r="I131" s="69" t="s">
        <v>153</v>
      </c>
      <c r="J131" s="63" t="s">
        <v>110</v>
      </c>
      <c r="K131" s="72"/>
    </row>
    <row r="132" spans="1:11" s="36" customFormat="1" x14ac:dyDescent="0.25">
      <c r="A132" s="62" t="s">
        <v>142</v>
      </c>
      <c r="B132" s="62" t="s">
        <v>49</v>
      </c>
      <c r="C132" s="62" t="s">
        <v>223</v>
      </c>
      <c r="D132" s="187" t="s">
        <v>224</v>
      </c>
      <c r="E132" s="188"/>
      <c r="F132" s="189"/>
      <c r="G132" s="63" t="s">
        <v>225</v>
      </c>
      <c r="H132" s="62"/>
      <c r="I132" s="63" t="s">
        <v>153</v>
      </c>
      <c r="J132" s="63" t="s">
        <v>110</v>
      </c>
      <c r="K132" s="72"/>
    </row>
    <row r="133" spans="1:11" s="36" customFormat="1" x14ac:dyDescent="0.25">
      <c r="A133" s="62" t="s">
        <v>142</v>
      </c>
      <c r="B133" s="62" t="s">
        <v>49</v>
      </c>
      <c r="C133" s="62" t="s">
        <v>226</v>
      </c>
      <c r="D133" s="187" t="s">
        <v>227</v>
      </c>
      <c r="E133" s="188"/>
      <c r="F133" s="189"/>
      <c r="G133" s="66">
        <v>150</v>
      </c>
      <c r="H133" s="62" t="s">
        <v>49</v>
      </c>
      <c r="I133" s="66">
        <v>150</v>
      </c>
      <c r="J133" s="63" t="s">
        <v>110</v>
      </c>
      <c r="K133" s="72"/>
    </row>
    <row r="134" spans="1:11" s="36" customFormat="1" x14ac:dyDescent="0.25">
      <c r="A134" s="62" t="s">
        <v>142</v>
      </c>
      <c r="B134" s="62" t="s">
        <v>49</v>
      </c>
      <c r="C134" s="62" t="s">
        <v>228</v>
      </c>
      <c r="D134" s="187" t="s">
        <v>229</v>
      </c>
      <c r="E134" s="188"/>
      <c r="F134" s="189"/>
      <c r="G134" s="66">
        <v>25</v>
      </c>
      <c r="H134" s="62" t="s">
        <v>230</v>
      </c>
      <c r="I134" s="66">
        <v>25</v>
      </c>
      <c r="J134" s="63" t="s">
        <v>110</v>
      </c>
      <c r="K134" s="72"/>
    </row>
    <row r="135" spans="1:11" s="36" customFormat="1" hidden="1" x14ac:dyDescent="0.25">
      <c r="A135" s="62" t="s">
        <v>142</v>
      </c>
      <c r="B135" s="62" t="s">
        <v>146</v>
      </c>
      <c r="C135" s="62" t="s">
        <v>198</v>
      </c>
      <c r="D135" s="187" t="s">
        <v>231</v>
      </c>
      <c r="E135" s="188"/>
      <c r="F135" s="189"/>
      <c r="G135" s="66" t="s">
        <v>232</v>
      </c>
      <c r="H135" s="62" t="s">
        <v>149</v>
      </c>
      <c r="I135" s="66" t="s">
        <v>153</v>
      </c>
      <c r="J135" s="63" t="s">
        <v>110</v>
      </c>
      <c r="K135" s="72"/>
    </row>
    <row r="136" spans="1:11" s="36" customFormat="1" hidden="1" x14ac:dyDescent="0.25">
      <c r="A136" s="62" t="s">
        <v>173</v>
      </c>
      <c r="B136" s="62" t="s">
        <v>146</v>
      </c>
      <c r="C136" s="62" t="s">
        <v>233</v>
      </c>
      <c r="D136" s="187" t="s">
        <v>234</v>
      </c>
      <c r="E136" s="188"/>
      <c r="F136" s="189"/>
      <c r="G136" s="66">
        <v>0.5</v>
      </c>
      <c r="H136" s="62" t="s">
        <v>235</v>
      </c>
      <c r="I136" s="66">
        <v>50</v>
      </c>
      <c r="J136" s="63" t="s">
        <v>110</v>
      </c>
      <c r="K136" s="72"/>
    </row>
    <row r="137" spans="1:11" s="36" customFormat="1" hidden="1" x14ac:dyDescent="0.25">
      <c r="A137" s="62" t="s">
        <v>173</v>
      </c>
      <c r="B137" s="62" t="s">
        <v>146</v>
      </c>
      <c r="C137" s="62" t="s">
        <v>201</v>
      </c>
      <c r="D137" s="187" t="s">
        <v>237</v>
      </c>
      <c r="E137" s="188"/>
      <c r="F137" s="189"/>
      <c r="G137" s="66" t="s">
        <v>238</v>
      </c>
      <c r="H137" s="62" t="s">
        <v>235</v>
      </c>
      <c r="I137" s="66">
        <v>50</v>
      </c>
      <c r="J137" s="63" t="s">
        <v>110</v>
      </c>
      <c r="K137" s="72"/>
    </row>
    <row r="138" spans="1:11" s="36" customFormat="1" x14ac:dyDescent="0.25">
      <c r="A138" s="62" t="s">
        <v>239</v>
      </c>
      <c r="B138" s="62" t="s">
        <v>49</v>
      </c>
      <c r="C138" s="62" t="s">
        <v>143</v>
      </c>
      <c r="D138" s="187" t="s">
        <v>240</v>
      </c>
      <c r="E138" s="188"/>
      <c r="F138" s="189"/>
      <c r="G138" s="69" t="s">
        <v>220</v>
      </c>
      <c r="H138" s="67" t="s">
        <v>49</v>
      </c>
      <c r="I138" s="69" t="s">
        <v>153</v>
      </c>
      <c r="J138" s="63" t="s">
        <v>110</v>
      </c>
      <c r="K138" s="72"/>
    </row>
    <row r="139" spans="1:11" s="36" customFormat="1" x14ac:dyDescent="0.25">
      <c r="A139" s="62" t="s">
        <v>142</v>
      </c>
      <c r="B139" s="62" t="s">
        <v>142</v>
      </c>
      <c r="C139" s="62" t="s">
        <v>147</v>
      </c>
      <c r="D139" s="187" t="s">
        <v>241</v>
      </c>
      <c r="E139" s="188"/>
      <c r="F139" s="189"/>
      <c r="G139" s="66" t="s">
        <v>242</v>
      </c>
      <c r="H139" s="62"/>
      <c r="I139" s="66">
        <v>15</v>
      </c>
      <c r="J139" s="63" t="s">
        <v>110</v>
      </c>
      <c r="K139" s="72"/>
    </row>
    <row r="140" spans="1:11" s="36" customFormat="1" x14ac:dyDescent="0.25">
      <c r="A140" s="62" t="s">
        <v>243</v>
      </c>
      <c r="B140" s="62" t="s">
        <v>49</v>
      </c>
      <c r="C140" s="62" t="s">
        <v>143</v>
      </c>
      <c r="D140" s="187" t="s">
        <v>244</v>
      </c>
      <c r="E140" s="188"/>
      <c r="F140" s="189"/>
      <c r="G140" s="66">
        <v>200</v>
      </c>
      <c r="H140" s="62" t="s">
        <v>49</v>
      </c>
      <c r="I140" s="63">
        <v>200</v>
      </c>
      <c r="J140" s="63" t="s">
        <v>110</v>
      </c>
      <c r="K140" s="72"/>
    </row>
    <row r="141" spans="1:11" s="36" customFormat="1" x14ac:dyDescent="0.25">
      <c r="A141" s="62" t="s">
        <v>245</v>
      </c>
      <c r="B141" s="62" t="s">
        <v>49</v>
      </c>
      <c r="C141" s="62" t="s">
        <v>143</v>
      </c>
      <c r="D141" s="187" t="s">
        <v>246</v>
      </c>
      <c r="E141" s="188"/>
      <c r="F141" s="189"/>
      <c r="G141" s="66">
        <v>250</v>
      </c>
      <c r="H141" s="62" t="s">
        <v>49</v>
      </c>
      <c r="I141" s="63">
        <v>100</v>
      </c>
      <c r="J141" s="63" t="s">
        <v>110</v>
      </c>
      <c r="K141" s="72"/>
    </row>
    <row r="142" spans="1:11" s="36" customFormat="1" x14ac:dyDescent="0.25">
      <c r="A142" s="62" t="s">
        <v>247</v>
      </c>
      <c r="B142" s="62" t="s">
        <v>49</v>
      </c>
      <c r="C142" s="62" t="s">
        <v>143</v>
      </c>
      <c r="D142" s="187" t="s">
        <v>248</v>
      </c>
      <c r="E142" s="188"/>
      <c r="F142" s="189"/>
      <c r="G142" s="63">
        <v>250</v>
      </c>
      <c r="H142" s="62" t="s">
        <v>49</v>
      </c>
      <c r="I142" s="63">
        <v>200</v>
      </c>
      <c r="J142" s="63" t="s">
        <v>110</v>
      </c>
      <c r="K142" s="72"/>
    </row>
    <row r="143" spans="1:11" s="36" customFormat="1" x14ac:dyDescent="0.25">
      <c r="A143" s="62" t="s">
        <v>142</v>
      </c>
      <c r="B143" s="62" t="s">
        <v>49</v>
      </c>
      <c r="C143" s="62" t="s">
        <v>143</v>
      </c>
      <c r="D143" s="187" t="s">
        <v>249</v>
      </c>
      <c r="E143" s="188"/>
      <c r="F143" s="189"/>
      <c r="G143" s="63"/>
      <c r="H143" s="62" t="s">
        <v>49</v>
      </c>
      <c r="I143" s="63" t="s">
        <v>153</v>
      </c>
      <c r="J143" s="63" t="s">
        <v>110</v>
      </c>
      <c r="K143" s="72"/>
    </row>
    <row r="144" spans="1:11" s="36" customFormat="1" x14ac:dyDescent="0.25">
      <c r="A144" s="62" t="s">
        <v>250</v>
      </c>
      <c r="B144" s="62" t="s">
        <v>49</v>
      </c>
      <c r="C144" s="62" t="s">
        <v>143</v>
      </c>
      <c r="D144" s="187" t="s">
        <v>251</v>
      </c>
      <c r="E144" s="188"/>
      <c r="F144" s="189"/>
      <c r="G144" s="66">
        <v>350</v>
      </c>
      <c r="H144" s="62" t="s">
        <v>49</v>
      </c>
      <c r="I144" s="63">
        <v>350</v>
      </c>
      <c r="J144" s="63" t="s">
        <v>110</v>
      </c>
      <c r="K144" s="72"/>
    </row>
    <row r="145" spans="1:11" s="36" customFormat="1" x14ac:dyDescent="0.25">
      <c r="A145" s="118"/>
      <c r="B145" s="118"/>
      <c r="C145" s="118"/>
      <c r="D145" s="119"/>
      <c r="E145" s="119"/>
      <c r="F145" s="119"/>
      <c r="G145" s="120"/>
      <c r="H145" s="118"/>
      <c r="I145" s="121"/>
      <c r="J145" s="121"/>
      <c r="K145" s="72"/>
    </row>
    <row r="146" spans="1:11" s="36" customFormat="1" x14ac:dyDescent="0.25">
      <c r="A146" s="180" t="s">
        <v>72</v>
      </c>
      <c r="B146" s="180"/>
      <c r="C146" s="180"/>
      <c r="D146" s="180"/>
      <c r="E146" s="180"/>
      <c r="F146" s="180"/>
      <c r="G146" s="180"/>
      <c r="H146" s="180"/>
      <c r="I146" s="180"/>
      <c r="J146" s="180"/>
      <c r="K146" s="72"/>
    </row>
    <row r="147" spans="1:11" s="36" customFormat="1" x14ac:dyDescent="0.25">
      <c r="A147" s="186" t="s">
        <v>67</v>
      </c>
      <c r="B147" s="186"/>
      <c r="C147" s="186"/>
      <c r="D147" s="186"/>
      <c r="E147" s="186" t="s">
        <v>68</v>
      </c>
      <c r="F147" s="186"/>
      <c r="G147" s="186"/>
      <c r="H147" s="186"/>
      <c r="I147" s="186"/>
      <c r="J147" s="186"/>
      <c r="K147" s="72"/>
    </row>
    <row r="148" spans="1:11" s="36" customFormat="1" x14ac:dyDescent="0.25">
      <c r="A148" s="185" t="s">
        <v>73</v>
      </c>
      <c r="B148" s="185"/>
      <c r="C148" s="185"/>
      <c r="D148" s="185"/>
      <c r="E148" s="185" t="s">
        <v>254</v>
      </c>
      <c r="F148" s="185"/>
      <c r="G148" s="185"/>
      <c r="H148" s="185"/>
      <c r="I148" s="185"/>
      <c r="J148" s="185"/>
      <c r="K148" s="72"/>
    </row>
    <row r="149" spans="1:11" s="36" customFormat="1" ht="15" customHeight="1" x14ac:dyDescent="0.25">
      <c r="A149" s="185" t="s">
        <v>252</v>
      </c>
      <c r="B149" s="185"/>
      <c r="C149" s="185"/>
      <c r="D149" s="185"/>
      <c r="E149" s="185" t="s">
        <v>253</v>
      </c>
      <c r="F149" s="185"/>
      <c r="G149" s="185"/>
      <c r="H149" s="185"/>
      <c r="I149" s="185"/>
      <c r="J149" s="185"/>
      <c r="K149" s="72"/>
    </row>
    <row r="150" spans="1:11" s="36" customFormat="1" ht="15" customHeight="1" x14ac:dyDescent="0.25">
      <c r="A150" s="185" t="s">
        <v>74</v>
      </c>
      <c r="B150" s="185"/>
      <c r="C150" s="185"/>
      <c r="D150" s="185"/>
      <c r="E150" s="185" t="s">
        <v>75</v>
      </c>
      <c r="F150" s="185"/>
      <c r="G150" s="185"/>
      <c r="H150" s="185"/>
      <c r="I150" s="185"/>
      <c r="J150" s="185"/>
      <c r="K150" s="72"/>
    </row>
    <row r="151" spans="1:11" s="36" customFormat="1" x14ac:dyDescent="0.25">
      <c r="A151" s="185" t="s">
        <v>76</v>
      </c>
      <c r="B151" s="185"/>
      <c r="C151" s="185"/>
      <c r="D151" s="185"/>
      <c r="E151" s="185" t="s">
        <v>77</v>
      </c>
      <c r="F151" s="185"/>
      <c r="G151" s="185"/>
      <c r="H151" s="185"/>
      <c r="I151" s="185"/>
      <c r="J151" s="185"/>
      <c r="K151" s="72"/>
    </row>
    <row r="152" spans="1:11" s="36" customFormat="1" ht="15" customHeight="1" x14ac:dyDescent="0.25">
      <c r="A152" s="185" t="s">
        <v>78</v>
      </c>
      <c r="B152" s="185"/>
      <c r="C152" s="185"/>
      <c r="D152" s="185"/>
      <c r="E152" s="185" t="s">
        <v>79</v>
      </c>
      <c r="F152" s="185"/>
      <c r="G152" s="185"/>
      <c r="H152" s="185"/>
      <c r="I152" s="185"/>
      <c r="J152" s="185"/>
      <c r="K152" s="72"/>
    </row>
    <row r="153" spans="1:11" s="36" customFormat="1" ht="15" customHeight="1" x14ac:dyDescent="0.25">
      <c r="A153" s="180" t="s">
        <v>89</v>
      </c>
      <c r="B153" s="180"/>
      <c r="C153" s="180"/>
      <c r="D153" s="180"/>
      <c r="E153" s="180"/>
      <c r="F153" s="180"/>
      <c r="G153" s="180"/>
      <c r="H153" s="180"/>
      <c r="I153" s="180"/>
      <c r="J153" s="180"/>
      <c r="K153" s="72"/>
    </row>
    <row r="154" spans="1:11" s="36" customFormat="1" x14ac:dyDescent="0.25">
      <c r="A154" s="181" t="s">
        <v>80</v>
      </c>
      <c r="B154" s="181"/>
      <c r="C154" s="181"/>
      <c r="D154" s="181"/>
      <c r="E154" s="181"/>
      <c r="F154" s="181"/>
      <c r="G154" s="181"/>
      <c r="H154" s="181"/>
      <c r="I154" s="181"/>
      <c r="J154" s="181"/>
      <c r="K154" s="72"/>
    </row>
    <row r="155" spans="1:11" s="36" customFormat="1" ht="15" customHeight="1" x14ac:dyDescent="0.2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72"/>
    </row>
    <row r="156" spans="1:11" s="36" customFormat="1" x14ac:dyDescent="0.25">
      <c r="A156" s="182" t="s">
        <v>90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72"/>
    </row>
    <row r="157" spans="1:11" s="36" customFormat="1" ht="15" customHeight="1" x14ac:dyDescent="0.25">
      <c r="A157" s="182"/>
      <c r="B157" s="182"/>
      <c r="C157" s="182"/>
      <c r="D157" s="182"/>
      <c r="E157" s="182"/>
      <c r="F157" s="182"/>
      <c r="G157" s="182"/>
      <c r="H157" s="182"/>
      <c r="I157" s="182"/>
      <c r="J157" s="182"/>
      <c r="K157" s="72"/>
    </row>
    <row r="158" spans="1:11" s="42" customFormat="1" ht="13.9" customHeight="1" x14ac:dyDescent="0.25">
      <c r="A158" s="183" t="s">
        <v>353</v>
      </c>
      <c r="B158" s="183"/>
      <c r="C158" s="183"/>
      <c r="D158" s="183"/>
      <c r="E158" s="183"/>
      <c r="F158" s="183"/>
      <c r="G158" s="183"/>
      <c r="H158" s="183"/>
      <c r="I158" s="183"/>
      <c r="J158" s="48"/>
    </row>
    <row r="159" spans="1:11" s="49" customFormat="1" ht="13.9" customHeight="1" x14ac:dyDescent="0.25">
      <c r="A159" s="184" t="s">
        <v>354</v>
      </c>
      <c r="B159" s="184"/>
      <c r="C159" s="184"/>
      <c r="D159" s="184"/>
      <c r="E159" s="184"/>
      <c r="F159" s="184"/>
      <c r="G159" s="184"/>
      <c r="H159" s="184"/>
      <c r="I159" s="184"/>
      <c r="J159" s="48"/>
    </row>
    <row r="160" spans="1:11" x14ac:dyDescent="0.25">
      <c r="J160" s="48"/>
    </row>
    <row r="161" spans="10:10" x14ac:dyDescent="0.25">
      <c r="J161" s="48"/>
    </row>
    <row r="162" spans="10:10" x14ac:dyDescent="0.25">
      <c r="J162" s="48"/>
    </row>
  </sheetData>
  <protectedRanges>
    <protectedRange algorithmName="SHA-512" hashValue="VF6HSW3Iy4xJ9rvYE/9xGHEoimGCygSu8D4FeqmdsD954MzAHwkkxLcwSP9Q5ui8KTGpWBzFAFpp2yGVfuii3Q==" saltValue="Ht0jMOW+8eakbuvlYpVr7Q==" spinCount="100000" sqref="G54:J60 G29:J31 G33:J35 G37:J42 G13:J27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3:J43 G45:J48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0:J52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80:WWE144" xr:uid="{FA694B6A-433F-4FA4-84BF-050781CB5F76}">
    <filterColumn colId="1">
      <filters>
        <filter val="ALL"/>
        <filter val="CY"/>
      </filters>
    </filterColumn>
    <filterColumn colId="3" showButton="0"/>
    <filterColumn colId="4" showButton="0"/>
  </autoFilter>
  <mergeCells count="150">
    <mergeCell ref="A156:J157"/>
    <mergeCell ref="A158:I158"/>
    <mergeCell ref="A159:I159"/>
    <mergeCell ref="A151:D151"/>
    <mergeCell ref="E151:J151"/>
    <mergeCell ref="A152:D152"/>
    <mergeCell ref="E152:J152"/>
    <mergeCell ref="A153:J153"/>
    <mergeCell ref="A154:J155"/>
    <mergeCell ref="A148:D148"/>
    <mergeCell ref="E148:J148"/>
    <mergeCell ref="A149:D149"/>
    <mergeCell ref="E149:J149"/>
    <mergeCell ref="A150:D150"/>
    <mergeCell ref="E150:J150"/>
    <mergeCell ref="D142:F142"/>
    <mergeCell ref="D143:F143"/>
    <mergeCell ref="D144:F144"/>
    <mergeCell ref="A146:J146"/>
    <mergeCell ref="A147:D147"/>
    <mergeCell ref="E147:J147"/>
    <mergeCell ref="D136:F136"/>
    <mergeCell ref="D137:F137"/>
    <mergeCell ref="D138:F138"/>
    <mergeCell ref="D139:F139"/>
    <mergeCell ref="D140:F140"/>
    <mergeCell ref="D141:F141"/>
    <mergeCell ref="D130:F130"/>
    <mergeCell ref="D131:F131"/>
    <mergeCell ref="D132:F132"/>
    <mergeCell ref="D133:F133"/>
    <mergeCell ref="D134:F134"/>
    <mergeCell ref="D135:F135"/>
    <mergeCell ref="D124:F124"/>
    <mergeCell ref="D125:F125"/>
    <mergeCell ref="D126:F126"/>
    <mergeCell ref="D127:F127"/>
    <mergeCell ref="D128:F128"/>
    <mergeCell ref="D129:F129"/>
    <mergeCell ref="D118:F118"/>
    <mergeCell ref="D119:F119"/>
    <mergeCell ref="D120:F120"/>
    <mergeCell ref="D121:F121"/>
    <mergeCell ref="D122:F122"/>
    <mergeCell ref="D123:F123"/>
    <mergeCell ref="D112:F112"/>
    <mergeCell ref="D113:F113"/>
    <mergeCell ref="D114:F114"/>
    <mergeCell ref="D115:F115"/>
    <mergeCell ref="D116:F116"/>
    <mergeCell ref="D117:F117"/>
    <mergeCell ref="D106:F106"/>
    <mergeCell ref="D107:F107"/>
    <mergeCell ref="D108:F108"/>
    <mergeCell ref="D109:F109"/>
    <mergeCell ref="D110:F110"/>
    <mergeCell ref="D111:F111"/>
    <mergeCell ref="D100:F100"/>
    <mergeCell ref="D101:F101"/>
    <mergeCell ref="D102:F102"/>
    <mergeCell ref="D103:F103"/>
    <mergeCell ref="D104:F104"/>
    <mergeCell ref="D105:F105"/>
    <mergeCell ref="D94:F94"/>
    <mergeCell ref="D95:F95"/>
    <mergeCell ref="D96:F96"/>
    <mergeCell ref="D97:F97"/>
    <mergeCell ref="D98:F98"/>
    <mergeCell ref="D99:F99"/>
    <mergeCell ref="D88:F88"/>
    <mergeCell ref="D89:F89"/>
    <mergeCell ref="D90:F90"/>
    <mergeCell ref="D91:F91"/>
    <mergeCell ref="D92:F92"/>
    <mergeCell ref="D93:F93"/>
    <mergeCell ref="D82:F82"/>
    <mergeCell ref="D83:F83"/>
    <mergeCell ref="D84:F84"/>
    <mergeCell ref="D85:F85"/>
    <mergeCell ref="D86:F86"/>
    <mergeCell ref="D87:F87"/>
    <mergeCell ref="A78:D78"/>
    <mergeCell ref="E78:J78"/>
    <mergeCell ref="L78:Q78"/>
    <mergeCell ref="A79:J79"/>
    <mergeCell ref="D80:F80"/>
    <mergeCell ref="D81:F81"/>
    <mergeCell ref="A76:D76"/>
    <mergeCell ref="G76:J76"/>
    <mergeCell ref="L76:Q76"/>
    <mergeCell ref="A77:D77"/>
    <mergeCell ref="G77:J77"/>
    <mergeCell ref="L77:Q77"/>
    <mergeCell ref="A74:D74"/>
    <mergeCell ref="F74:J74"/>
    <mergeCell ref="L74:Q74"/>
    <mergeCell ref="A75:D75"/>
    <mergeCell ref="G75:J75"/>
    <mergeCell ref="L75:Q75"/>
    <mergeCell ref="L71:Q71"/>
    <mergeCell ref="A72:D72"/>
    <mergeCell ref="F72:J72"/>
    <mergeCell ref="L72:Q72"/>
    <mergeCell ref="A73:D73"/>
    <mergeCell ref="F73:J73"/>
    <mergeCell ref="L73:Q73"/>
    <mergeCell ref="A69:D69"/>
    <mergeCell ref="F69:J69"/>
    <mergeCell ref="A70:D70"/>
    <mergeCell ref="F70:J70"/>
    <mergeCell ref="A71:D71"/>
    <mergeCell ref="F71:J71"/>
    <mergeCell ref="A66:D66"/>
    <mergeCell ref="F66:J66"/>
    <mergeCell ref="L66:Q66"/>
    <mergeCell ref="A67:D67"/>
    <mergeCell ref="F67:J67"/>
    <mergeCell ref="A68:D68"/>
    <mergeCell ref="F68:J68"/>
    <mergeCell ref="A64:D64"/>
    <mergeCell ref="E64:J64"/>
    <mergeCell ref="L64:Q64"/>
    <mergeCell ref="A65:D65"/>
    <mergeCell ref="F65:J65"/>
    <mergeCell ref="L65:Q65"/>
    <mergeCell ref="E44:F44"/>
    <mergeCell ref="E49:F49"/>
    <mergeCell ref="E53:F53"/>
    <mergeCell ref="A60:J60"/>
    <mergeCell ref="A62:J62"/>
    <mergeCell ref="A63:J63"/>
    <mergeCell ref="E12:F12"/>
    <mergeCell ref="E28:F28"/>
    <mergeCell ref="E32:F32"/>
    <mergeCell ref="E36:F36"/>
    <mergeCell ref="B6:C6"/>
    <mergeCell ref="G6:I6"/>
    <mergeCell ref="E8:I8"/>
    <mergeCell ref="A10:J10"/>
    <mergeCell ref="N10:R10"/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</mergeCells>
  <hyperlinks>
    <hyperlink ref="G6" r:id="rId1" xr:uid="{B155190F-5972-4803-B7CF-F335DEF961A7}"/>
    <hyperlink ref="G4" r:id="rId2" display="jchang.lax@oecgroup.com" xr:uid="{24EBB368-47F2-4CBB-8E22-3E7E0159CAE6}"/>
  </hyperlinks>
  <pageMargins left="0.35" right="0.35" top="0.35" bottom="0.35" header="0.3" footer="0.3"/>
  <pageSetup scale="48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7DE9426-853B-4DB9-8637-146965AC4A06}">
          <x14:formula1>
            <xm:f>'C:\Users\twang\AppData\Local\Microsoft\Windows\Temporary Internet Files\Content.Outlook\U7WJNCNV\[QUOTE TEMPLATE 05-01-21.xltx]Sheet1'!#REF!</xm:f>
          </x14:formula1>
          <xm:sqref>E71:E72 E65:E68 E13:E27 E33:E35 E29:E31 E74:E77 E45:E48 E37:E43 E54:E59</xm:sqref>
        </x14:dataValidation>
        <x14:dataValidation type="list" allowBlank="1" showInputMessage="1" showErrorMessage="1" xr:uid="{18ECAB64-A926-4F03-A0A9-D7D77FE5FB1E}">
          <x14:formula1>
            <xm:f>'C:\Users\twang\AppData\Local\Microsoft\Windows\Temporary Internet Files\Content.Outlook\U7WJNCNV\[QUOTE TEMPLATE 05-01-21.xltx]Sheet1'!#REF!</xm:f>
          </x14:formula1>
          <xm:sqref>C13:C27 Q13:Q14 C33:C35 C29:C31 C45:C48 C37:C43 C54:C59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E0E2-E123-481D-B059-573164753E74}">
  <sheetPr>
    <pageSetUpPr fitToPage="1"/>
  </sheetPr>
  <dimension ref="A1:AC163"/>
  <sheetViews>
    <sheetView zoomScale="90" zoomScaleNormal="90" zoomScaleSheetLayoutView="82" workbookViewId="0">
      <pane xSplit="4" topLeftCell="E1" activePane="topRight" state="frozen"/>
      <selection activeCell="A19" sqref="A19"/>
      <selection pane="topRight" activeCell="F70" sqref="F70:J70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44713</v>
      </c>
      <c r="C8" s="45" t="s">
        <v>91</v>
      </c>
      <c r="D8" s="44">
        <v>44726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308</v>
      </c>
      <c r="E13" s="96" t="s">
        <v>114</v>
      </c>
      <c r="F13" s="97" t="s">
        <v>270</v>
      </c>
      <c r="G13" s="98">
        <f>CEILING(S13+W13+X13+O13+N13+Y13,10)</f>
        <v>8960</v>
      </c>
      <c r="H13" s="99">
        <f>CEILING(T13+W13+X13+O13+N13+Z13,10)</f>
        <v>9810</v>
      </c>
      <c r="I13" s="99">
        <f>CEILING(U13+W13+X13+O13+N13+AA13,10)</f>
        <v>9810</v>
      </c>
      <c r="J13" s="99">
        <f>CEILING(V13+W13+X13+O13+N13+AB13,10)</f>
        <v>12080</v>
      </c>
      <c r="K13" s="57"/>
      <c r="L13" s="156" t="s">
        <v>378</v>
      </c>
      <c r="M13" s="52" t="s">
        <v>292</v>
      </c>
      <c r="N13" s="40">
        <v>0</v>
      </c>
      <c r="O13" s="53">
        <f>VLOOKUP(B13,DRAYAGE!$A$1:$C$107,3,FALSE)</f>
        <v>1310</v>
      </c>
      <c r="P13" s="40" t="s">
        <v>347</v>
      </c>
      <c r="S13" s="101">
        <f t="shared" ref="S13:S28" si="0">0.9*T13</f>
        <v>7650</v>
      </c>
      <c r="T13" s="54">
        <v>8500</v>
      </c>
      <c r="U13" s="103">
        <f>T13</f>
        <v>8500</v>
      </c>
      <c r="V13" s="104">
        <f>U13*1.266</f>
        <v>10761</v>
      </c>
      <c r="X13" s="40">
        <v>0</v>
      </c>
    </row>
    <row r="14" spans="1:29" s="40" customFormat="1" ht="14.45" customHeight="1" x14ac:dyDescent="0.25">
      <c r="A14" s="133" t="s">
        <v>55</v>
      </c>
      <c r="B14" s="51" t="s">
        <v>338</v>
      </c>
      <c r="C14" s="94" t="s">
        <v>54</v>
      </c>
      <c r="D14" s="95" t="s">
        <v>308</v>
      </c>
      <c r="E14" s="96" t="s">
        <v>114</v>
      </c>
      <c r="F14" s="97" t="s">
        <v>270</v>
      </c>
      <c r="G14" s="98">
        <f t="shared" ref="G14:G19" si="1">CEILING(S14+W14+X14+O14+N14+Y14,10)</f>
        <v>8960</v>
      </c>
      <c r="H14" s="99">
        <f t="shared" ref="H14:H19" si="2">CEILING(T14+W14+X14+O14+N14+Z14,10)</f>
        <v>9810</v>
      </c>
      <c r="I14" s="99">
        <f t="shared" ref="I14:I19" si="3">CEILING(U14+W14+X14+O14+N14+AA14,10)</f>
        <v>9810</v>
      </c>
      <c r="J14" s="99">
        <f t="shared" ref="J14:J19" si="4">CEILING(V14+W14+X14+O14+N14+AB14,10)</f>
        <v>12080</v>
      </c>
      <c r="K14" s="57"/>
      <c r="L14" s="156" t="s">
        <v>378</v>
      </c>
      <c r="M14" s="52" t="s">
        <v>292</v>
      </c>
      <c r="N14" s="40">
        <v>0</v>
      </c>
      <c r="O14" s="53">
        <f>VLOOKUP(B14,DRAYAGE!$A$1:$C$107,3,FALSE)</f>
        <v>1310</v>
      </c>
      <c r="P14" s="40" t="s">
        <v>347</v>
      </c>
      <c r="S14" s="101">
        <f t="shared" si="0"/>
        <v>7650</v>
      </c>
      <c r="T14" s="54">
        <v>8500</v>
      </c>
      <c r="U14" s="103">
        <f t="shared" ref="U14:U60" si="5">T14</f>
        <v>8500</v>
      </c>
      <c r="V14" s="104">
        <f t="shared" ref="V14:V19" si="6">U14*1.266</f>
        <v>10761</v>
      </c>
      <c r="X14" s="40">
        <v>0</v>
      </c>
    </row>
    <row r="15" spans="1:29" s="40" customFormat="1" ht="14.45" customHeight="1" x14ac:dyDescent="0.25">
      <c r="A15" s="133" t="s">
        <v>56</v>
      </c>
      <c r="B15" s="51" t="s">
        <v>338</v>
      </c>
      <c r="C15" s="94" t="s">
        <v>54</v>
      </c>
      <c r="D15" s="95" t="s">
        <v>308</v>
      </c>
      <c r="E15" s="96" t="s">
        <v>114</v>
      </c>
      <c r="F15" s="97" t="s">
        <v>270</v>
      </c>
      <c r="G15" s="98">
        <f t="shared" si="1"/>
        <v>9860</v>
      </c>
      <c r="H15" s="99">
        <f t="shared" si="2"/>
        <v>10810</v>
      </c>
      <c r="I15" s="99">
        <f t="shared" si="3"/>
        <v>10810</v>
      </c>
      <c r="J15" s="99">
        <f t="shared" si="4"/>
        <v>13340</v>
      </c>
      <c r="K15" s="57"/>
      <c r="L15" s="156" t="s">
        <v>378</v>
      </c>
      <c r="M15" s="52" t="s">
        <v>292</v>
      </c>
      <c r="N15" s="40">
        <v>0</v>
      </c>
      <c r="O15" s="53">
        <f>VLOOKUP(B15,DRAYAGE!$A$1:$C$107,3,FALSE)</f>
        <v>1310</v>
      </c>
      <c r="P15" s="40" t="s">
        <v>347</v>
      </c>
      <c r="S15" s="101">
        <f t="shared" si="0"/>
        <v>8550</v>
      </c>
      <c r="T15" s="54">
        <v>9500</v>
      </c>
      <c r="U15" s="103">
        <f t="shared" si="5"/>
        <v>9500</v>
      </c>
      <c r="V15" s="104">
        <f t="shared" si="6"/>
        <v>12027</v>
      </c>
      <c r="X15" s="40">
        <v>0</v>
      </c>
    </row>
    <row r="16" spans="1:29" s="40" customFormat="1" ht="14.45" customHeight="1" x14ac:dyDescent="0.25">
      <c r="A16" s="133" t="s">
        <v>57</v>
      </c>
      <c r="B16" s="51" t="s">
        <v>338</v>
      </c>
      <c r="C16" s="94" t="s">
        <v>54</v>
      </c>
      <c r="D16" s="95" t="s">
        <v>308</v>
      </c>
      <c r="E16" s="96" t="s">
        <v>114</v>
      </c>
      <c r="F16" s="97" t="s">
        <v>270</v>
      </c>
      <c r="G16" s="98">
        <f t="shared" si="1"/>
        <v>11660</v>
      </c>
      <c r="H16" s="99">
        <f t="shared" si="2"/>
        <v>12810</v>
      </c>
      <c r="I16" s="99">
        <f t="shared" si="3"/>
        <v>12810</v>
      </c>
      <c r="J16" s="99">
        <f t="shared" si="4"/>
        <v>15870</v>
      </c>
      <c r="K16" s="57"/>
      <c r="L16" s="156" t="s">
        <v>378</v>
      </c>
      <c r="M16" s="52" t="s">
        <v>292</v>
      </c>
      <c r="N16" s="40">
        <v>0</v>
      </c>
      <c r="O16" s="53">
        <f>VLOOKUP(B16,DRAYAGE!$A$1:$C$107,3,FALSE)</f>
        <v>1310</v>
      </c>
      <c r="P16" s="40" t="s">
        <v>347</v>
      </c>
      <c r="S16" s="101">
        <f t="shared" si="0"/>
        <v>10350</v>
      </c>
      <c r="T16" s="54">
        <v>11500</v>
      </c>
      <c r="U16" s="103">
        <f t="shared" si="5"/>
        <v>11500</v>
      </c>
      <c r="V16" s="104">
        <f t="shared" si="6"/>
        <v>14559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308</v>
      </c>
      <c r="E17" s="96" t="s">
        <v>114</v>
      </c>
      <c r="F17" s="97" t="s">
        <v>270</v>
      </c>
      <c r="G17" s="98">
        <f>CEILING(S17+W17+X17+O17+N17+Y17,10)</f>
        <v>11660</v>
      </c>
      <c r="H17" s="99">
        <f>CEILING(T17+W17+X17+O17+N17+Z17,10)</f>
        <v>12810</v>
      </c>
      <c r="I17" s="99">
        <f>CEILING(U17+W17+X17+O17+N17+AA17,10)</f>
        <v>12810</v>
      </c>
      <c r="J17" s="99">
        <f>CEILING(V17+W17+X17+O17+N17+AB17,10)</f>
        <v>15870</v>
      </c>
      <c r="K17" s="57"/>
      <c r="L17" s="156" t="s">
        <v>378</v>
      </c>
      <c r="M17" s="52" t="s">
        <v>292</v>
      </c>
      <c r="N17" s="40">
        <v>0</v>
      </c>
      <c r="O17" s="53">
        <f>VLOOKUP(B17,DRAYAGE!$A$1:$C$107,3,FALSE)</f>
        <v>1310</v>
      </c>
      <c r="P17" s="40" t="s">
        <v>347</v>
      </c>
      <c r="S17" s="101">
        <f>0.9*T17</f>
        <v>10350</v>
      </c>
      <c r="T17" s="54">
        <f>T16</f>
        <v>11500</v>
      </c>
      <c r="U17" s="103">
        <f>T17</f>
        <v>11500</v>
      </c>
      <c r="V17" s="104">
        <f>U17*1.266</f>
        <v>14559</v>
      </c>
      <c r="X17" s="40">
        <v>0</v>
      </c>
    </row>
    <row r="18" spans="1:29" s="40" customFormat="1" ht="18.75" x14ac:dyDescent="0.25">
      <c r="A18" s="133" t="s">
        <v>366</v>
      </c>
      <c r="B18" s="51" t="s">
        <v>338</v>
      </c>
      <c r="C18" s="94" t="s">
        <v>54</v>
      </c>
      <c r="D18" s="95" t="s">
        <v>308</v>
      </c>
      <c r="E18" s="96" t="s">
        <v>114</v>
      </c>
      <c r="F18" s="97" t="s">
        <v>270</v>
      </c>
      <c r="G18" s="98">
        <f>CEILING(S18+W18+X18+O18+N18+Y18,10)</f>
        <v>12560</v>
      </c>
      <c r="H18" s="99">
        <f>CEILING(T18+W18+X18+O18+N18+Z18,10)</f>
        <v>13810</v>
      </c>
      <c r="I18" s="99">
        <f>CEILING(U18+W18+X18+O18+N18+AA18,10)</f>
        <v>13810</v>
      </c>
      <c r="J18" s="99">
        <f>CEILING(V18+W18+X18+O18+N18+AB18,10)</f>
        <v>17140</v>
      </c>
      <c r="K18" s="57"/>
      <c r="L18" s="156" t="s">
        <v>378</v>
      </c>
      <c r="M18" s="52" t="s">
        <v>292</v>
      </c>
      <c r="N18" s="40">
        <v>0</v>
      </c>
      <c r="O18" s="53">
        <f>VLOOKUP(B18,DRAYAGE!$A$1:$C$107,3,FALSE)</f>
        <v>1310</v>
      </c>
      <c r="P18" s="40" t="s">
        <v>347</v>
      </c>
      <c r="S18" s="101">
        <f>0.9*T18</f>
        <v>11250</v>
      </c>
      <c r="T18" s="54">
        <f>T16+1000</f>
        <v>12500</v>
      </c>
      <c r="U18" s="103">
        <f>T18</f>
        <v>12500</v>
      </c>
      <c r="V18" s="104">
        <f>U18*1.266</f>
        <v>15825</v>
      </c>
      <c r="X18" s="40">
        <v>0</v>
      </c>
    </row>
    <row r="19" spans="1:29" s="40" customFormat="1" ht="14.45" customHeight="1" x14ac:dyDescent="0.25">
      <c r="A19" s="133" t="s">
        <v>59</v>
      </c>
      <c r="B19" s="51" t="s">
        <v>338</v>
      </c>
      <c r="C19" s="94" t="s">
        <v>54</v>
      </c>
      <c r="D19" s="95" t="s">
        <v>308</v>
      </c>
      <c r="E19" s="96" t="s">
        <v>114</v>
      </c>
      <c r="F19" s="97" t="s">
        <v>270</v>
      </c>
      <c r="G19" s="98">
        <f t="shared" si="1"/>
        <v>9140</v>
      </c>
      <c r="H19" s="99">
        <f t="shared" si="2"/>
        <v>10010</v>
      </c>
      <c r="I19" s="99">
        <f t="shared" si="3"/>
        <v>10010</v>
      </c>
      <c r="J19" s="99">
        <f t="shared" si="4"/>
        <v>12330</v>
      </c>
      <c r="K19" s="57"/>
      <c r="L19" s="156" t="s">
        <v>378</v>
      </c>
      <c r="M19" s="52" t="s">
        <v>292</v>
      </c>
      <c r="N19" s="40">
        <v>0</v>
      </c>
      <c r="O19" s="53">
        <f>VLOOKUP(B19,DRAYAGE!$A$1:$C$107,3,FALSE)</f>
        <v>1310</v>
      </c>
      <c r="P19" s="40" t="s">
        <v>347</v>
      </c>
      <c r="S19" s="101">
        <f t="shared" si="0"/>
        <v>7830</v>
      </c>
      <c r="T19" s="54">
        <v>8700</v>
      </c>
      <c r="U19" s="103">
        <f t="shared" si="5"/>
        <v>8700</v>
      </c>
      <c r="V19" s="104">
        <f t="shared" si="6"/>
        <v>11014.2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308</v>
      </c>
      <c r="E20" s="96" t="s">
        <v>114</v>
      </c>
      <c r="F20" s="97" t="s">
        <v>270</v>
      </c>
      <c r="G20" s="98">
        <f>CEILING(S20+W20+X20+O20+N20+Y20,10)</f>
        <v>8960</v>
      </c>
      <c r="H20" s="99">
        <f>CEILING(T20+W20+X20+O20+N20+Z20,10)</f>
        <v>9810</v>
      </c>
      <c r="I20" s="99">
        <f>CEILING(U20+W20+X20+O20+N20+AA20,10)</f>
        <v>9810</v>
      </c>
      <c r="J20" s="99">
        <f>CEILING(V20+W20+X20+O20+N20+AB20,10)</f>
        <v>12080</v>
      </c>
      <c r="K20" s="57"/>
      <c r="L20" s="156" t="s">
        <v>378</v>
      </c>
      <c r="M20" s="52" t="s">
        <v>292</v>
      </c>
      <c r="N20" s="40">
        <v>0</v>
      </c>
      <c r="O20" s="53">
        <f>VLOOKUP(B20,DRAYAGE!$A$1:$C$107,3,FALSE)</f>
        <v>1310</v>
      </c>
      <c r="P20" s="40" t="s">
        <v>347</v>
      </c>
      <c r="S20" s="101">
        <f t="shared" si="0"/>
        <v>7650</v>
      </c>
      <c r="T20" s="54">
        <v>8500</v>
      </c>
      <c r="U20" s="103">
        <f t="shared" si="5"/>
        <v>8500</v>
      </c>
      <c r="V20" s="104">
        <f>U20*1.266</f>
        <v>10761</v>
      </c>
      <c r="X20" s="40">
        <v>0</v>
      </c>
    </row>
    <row r="21" spans="1:29" s="40" customFormat="1" ht="14.45" customHeight="1" x14ac:dyDescent="0.25">
      <c r="A21" s="133" t="s">
        <v>376</v>
      </c>
      <c r="B21" s="51" t="s">
        <v>338</v>
      </c>
      <c r="C21" s="94" t="s">
        <v>54</v>
      </c>
      <c r="D21" s="95" t="s">
        <v>308</v>
      </c>
      <c r="E21" s="96" t="s">
        <v>114</v>
      </c>
      <c r="F21" s="97" t="s">
        <v>270</v>
      </c>
      <c r="G21" s="98">
        <f t="shared" ref="G21:G28" si="7">CEILING(S21+W21+X21+O21+N21+Y21,10)</f>
        <v>8960</v>
      </c>
      <c r="H21" s="99">
        <f t="shared" ref="H21:H28" si="8">CEILING(T21+W21+X21+O21+N21+Z21,10)</f>
        <v>9810</v>
      </c>
      <c r="I21" s="99">
        <f t="shared" ref="I21:I28" si="9">CEILING(U21+W21+X21+O21+N21+AA21,10)</f>
        <v>9810</v>
      </c>
      <c r="J21" s="99">
        <f t="shared" ref="J21:J28" si="10">CEILING(V21+W21+X21+O21+N21+AB21,10)</f>
        <v>12080</v>
      </c>
      <c r="K21" s="57"/>
      <c r="L21" s="156" t="s">
        <v>378</v>
      </c>
      <c r="M21" s="52" t="s">
        <v>292</v>
      </c>
      <c r="N21" s="40">
        <v>0</v>
      </c>
      <c r="O21" s="53">
        <f>VLOOKUP(B21,DRAYAGE!$A$1:$C$107,3,FALSE)</f>
        <v>1310</v>
      </c>
      <c r="P21" s="40" t="s">
        <v>347</v>
      </c>
      <c r="S21" s="101">
        <f t="shared" si="0"/>
        <v>7650</v>
      </c>
      <c r="T21" s="54">
        <v>8500</v>
      </c>
      <c r="U21" s="103">
        <f t="shared" si="5"/>
        <v>8500</v>
      </c>
      <c r="V21" s="104">
        <f t="shared" ref="V21:V28" si="11">U21*1.266</f>
        <v>10761</v>
      </c>
      <c r="X21" s="40">
        <v>0</v>
      </c>
    </row>
    <row r="22" spans="1:29" s="40" customFormat="1" ht="14.45" customHeight="1" x14ac:dyDescent="0.25">
      <c r="A22" s="133" t="s">
        <v>108</v>
      </c>
      <c r="B22" s="51" t="s">
        <v>338</v>
      </c>
      <c r="C22" s="94" t="s">
        <v>54</v>
      </c>
      <c r="D22" s="95" t="s">
        <v>308</v>
      </c>
      <c r="E22" s="96" t="s">
        <v>114</v>
      </c>
      <c r="F22" s="97" t="s">
        <v>270</v>
      </c>
      <c r="G22" s="98">
        <f t="shared" si="7"/>
        <v>9140</v>
      </c>
      <c r="H22" s="99">
        <f t="shared" si="8"/>
        <v>10010</v>
      </c>
      <c r="I22" s="99">
        <f t="shared" si="9"/>
        <v>10010</v>
      </c>
      <c r="J22" s="99">
        <f t="shared" si="10"/>
        <v>12330</v>
      </c>
      <c r="K22" s="57"/>
      <c r="L22" s="156" t="s">
        <v>378</v>
      </c>
      <c r="M22" s="52" t="s">
        <v>292</v>
      </c>
      <c r="N22" s="40">
        <v>0</v>
      </c>
      <c r="O22" s="53">
        <f>VLOOKUP(B22,DRAYAGE!$A$1:$C$107,3,FALSE)</f>
        <v>1310</v>
      </c>
      <c r="P22" s="40" t="s">
        <v>347</v>
      </c>
      <c r="S22" s="101">
        <f t="shared" si="0"/>
        <v>7830</v>
      </c>
      <c r="T22" s="54">
        <v>8700</v>
      </c>
      <c r="U22" s="103">
        <f t="shared" si="5"/>
        <v>8700</v>
      </c>
      <c r="V22" s="104">
        <f t="shared" si="11"/>
        <v>11014.2</v>
      </c>
      <c r="X22" s="40">
        <v>0</v>
      </c>
    </row>
    <row r="23" spans="1:29" s="40" customFormat="1" ht="14.45" customHeight="1" x14ac:dyDescent="0.25">
      <c r="A23" s="133" t="s">
        <v>62</v>
      </c>
      <c r="B23" s="51" t="s">
        <v>338</v>
      </c>
      <c r="C23" s="94" t="s">
        <v>54</v>
      </c>
      <c r="D23" s="95" t="s">
        <v>308</v>
      </c>
      <c r="E23" s="96" t="s">
        <v>114</v>
      </c>
      <c r="F23" s="97" t="s">
        <v>270</v>
      </c>
      <c r="G23" s="98">
        <f t="shared" si="7"/>
        <v>10760</v>
      </c>
      <c r="H23" s="99">
        <f t="shared" si="8"/>
        <v>11810</v>
      </c>
      <c r="I23" s="99">
        <f t="shared" si="9"/>
        <v>11810</v>
      </c>
      <c r="J23" s="99">
        <f t="shared" si="10"/>
        <v>14610</v>
      </c>
      <c r="K23" s="57"/>
      <c r="L23" s="156" t="s">
        <v>378</v>
      </c>
      <c r="M23" s="52" t="s">
        <v>292</v>
      </c>
      <c r="N23" s="40">
        <v>0</v>
      </c>
      <c r="O23" s="53">
        <f>VLOOKUP(B23,DRAYAGE!$A$1:$C$107,3,FALSE)</f>
        <v>1310</v>
      </c>
      <c r="P23" s="40" t="s">
        <v>347</v>
      </c>
      <c r="S23" s="101">
        <f t="shared" si="0"/>
        <v>9450</v>
      </c>
      <c r="T23" s="54">
        <f>T14+2000</f>
        <v>10500</v>
      </c>
      <c r="U23" s="103">
        <f t="shared" si="5"/>
        <v>10500</v>
      </c>
      <c r="V23" s="104">
        <f t="shared" si="11"/>
        <v>13293</v>
      </c>
      <c r="X23" s="40">
        <v>0</v>
      </c>
      <c r="Y23" s="40">
        <f>0.9*Z23</f>
        <v>0</v>
      </c>
      <c r="AA23" s="40">
        <f>Z23</f>
        <v>0</v>
      </c>
      <c r="AB23" s="40">
        <f>Z23*1.266</f>
        <v>0</v>
      </c>
    </row>
    <row r="24" spans="1:29" s="40" customFormat="1" ht="14.45" customHeight="1" x14ac:dyDescent="0.25">
      <c r="A24" s="133" t="s">
        <v>66</v>
      </c>
      <c r="B24" s="51" t="s">
        <v>338</v>
      </c>
      <c r="C24" s="94" t="s">
        <v>54</v>
      </c>
      <c r="D24" s="95" t="s">
        <v>308</v>
      </c>
      <c r="E24" s="96" t="s">
        <v>114</v>
      </c>
      <c r="F24" s="97" t="s">
        <v>270</v>
      </c>
      <c r="G24" s="98">
        <f t="shared" si="7"/>
        <v>10760</v>
      </c>
      <c r="H24" s="99">
        <f t="shared" si="8"/>
        <v>11810</v>
      </c>
      <c r="I24" s="99">
        <f t="shared" si="9"/>
        <v>11810</v>
      </c>
      <c r="J24" s="99">
        <f t="shared" si="10"/>
        <v>14610</v>
      </c>
      <c r="K24" s="57"/>
      <c r="L24" s="156" t="s">
        <v>378</v>
      </c>
      <c r="M24" s="52" t="s">
        <v>292</v>
      </c>
      <c r="N24" s="40">
        <v>0</v>
      </c>
      <c r="O24" s="53">
        <f>VLOOKUP(B24,DRAYAGE!$A$1:$C$107,3,FALSE)</f>
        <v>1310</v>
      </c>
      <c r="P24" s="40" t="s">
        <v>347</v>
      </c>
      <c r="S24" s="101">
        <f t="shared" si="0"/>
        <v>9450</v>
      </c>
      <c r="T24" s="54">
        <f>T14+2000</f>
        <v>10500</v>
      </c>
      <c r="U24" s="103">
        <f t="shared" si="5"/>
        <v>10500</v>
      </c>
      <c r="V24" s="104">
        <f t="shared" si="11"/>
        <v>13293</v>
      </c>
      <c r="X24" s="40">
        <v>0</v>
      </c>
    </row>
    <row r="25" spans="1:29" s="40" customFormat="1" ht="14.45" customHeight="1" x14ac:dyDescent="0.25">
      <c r="A25" s="133" t="s">
        <v>65</v>
      </c>
      <c r="B25" s="51" t="s">
        <v>338</v>
      </c>
      <c r="C25" s="94" t="s">
        <v>54</v>
      </c>
      <c r="D25" s="95" t="s">
        <v>308</v>
      </c>
      <c r="E25" s="96" t="s">
        <v>114</v>
      </c>
      <c r="F25" s="97" t="s">
        <v>270</v>
      </c>
      <c r="G25" s="98">
        <f t="shared" si="7"/>
        <v>10760</v>
      </c>
      <c r="H25" s="99">
        <f t="shared" si="8"/>
        <v>11810</v>
      </c>
      <c r="I25" s="99">
        <f t="shared" si="9"/>
        <v>11810</v>
      </c>
      <c r="J25" s="99">
        <f t="shared" si="10"/>
        <v>14610</v>
      </c>
      <c r="K25" s="57"/>
      <c r="L25" s="156" t="s">
        <v>378</v>
      </c>
      <c r="M25" s="52" t="s">
        <v>292</v>
      </c>
      <c r="N25" s="40">
        <v>0</v>
      </c>
      <c r="O25" s="53">
        <f>VLOOKUP(B25,DRAYAGE!$A$1:$C$107,3,FALSE)</f>
        <v>1310</v>
      </c>
      <c r="P25" s="40" t="s">
        <v>347</v>
      </c>
      <c r="S25" s="101">
        <f t="shared" si="0"/>
        <v>9450</v>
      </c>
      <c r="T25" s="54">
        <f>T14+2000</f>
        <v>10500</v>
      </c>
      <c r="U25" s="103">
        <f t="shared" si="5"/>
        <v>10500</v>
      </c>
      <c r="V25" s="104">
        <f t="shared" si="11"/>
        <v>13293</v>
      </c>
      <c r="X25" s="40">
        <v>0</v>
      </c>
      <c r="Y25" s="40">
        <f>0.9*Z25</f>
        <v>0</v>
      </c>
      <c r="AA25" s="40">
        <f>Z25</f>
        <v>0</v>
      </c>
      <c r="AB25" s="40">
        <f>Z25*1.266</f>
        <v>0</v>
      </c>
    </row>
    <row r="26" spans="1:29" s="40" customFormat="1" ht="14.45" customHeight="1" x14ac:dyDescent="0.25">
      <c r="A26" s="133" t="s">
        <v>63</v>
      </c>
      <c r="B26" s="51" t="s">
        <v>338</v>
      </c>
      <c r="C26" s="94" t="s">
        <v>54</v>
      </c>
      <c r="D26" s="95" t="s">
        <v>308</v>
      </c>
      <c r="E26" s="96" t="s">
        <v>114</v>
      </c>
      <c r="F26" s="97" t="s">
        <v>270</v>
      </c>
      <c r="G26" s="98">
        <f t="shared" si="7"/>
        <v>10760</v>
      </c>
      <c r="H26" s="99">
        <f t="shared" si="8"/>
        <v>11810</v>
      </c>
      <c r="I26" s="99">
        <f t="shared" si="9"/>
        <v>11810</v>
      </c>
      <c r="J26" s="99">
        <f t="shared" si="10"/>
        <v>14610</v>
      </c>
      <c r="K26" s="57"/>
      <c r="L26" s="156" t="s">
        <v>378</v>
      </c>
      <c r="M26" s="52" t="s">
        <v>292</v>
      </c>
      <c r="N26" s="40">
        <v>0</v>
      </c>
      <c r="O26" s="53">
        <f>VLOOKUP(B26,DRAYAGE!$A$1:$C$107,3,FALSE)</f>
        <v>1310</v>
      </c>
      <c r="P26" s="40" t="s">
        <v>347</v>
      </c>
      <c r="S26" s="101">
        <f t="shared" si="0"/>
        <v>9450</v>
      </c>
      <c r="T26" s="54">
        <f>T14+2000</f>
        <v>10500</v>
      </c>
      <c r="U26" s="103">
        <f t="shared" si="5"/>
        <v>10500</v>
      </c>
      <c r="V26" s="104">
        <f t="shared" si="11"/>
        <v>13293</v>
      </c>
      <c r="X26" s="40">
        <v>0</v>
      </c>
      <c r="Y26" s="40">
        <f>0.9*Z26</f>
        <v>0</v>
      </c>
      <c r="AA26" s="40">
        <f>Z26</f>
        <v>0</v>
      </c>
      <c r="AB26" s="40">
        <f>Z26*1.266</f>
        <v>0</v>
      </c>
    </row>
    <row r="27" spans="1:29" s="45" customFormat="1" ht="14.45" customHeight="1" x14ac:dyDescent="0.25">
      <c r="A27" s="133" t="s">
        <v>275</v>
      </c>
      <c r="B27" s="51" t="s">
        <v>338</v>
      </c>
      <c r="C27" s="106" t="s">
        <v>54</v>
      </c>
      <c r="D27" s="95" t="s">
        <v>308</v>
      </c>
      <c r="E27" s="107" t="s">
        <v>114</v>
      </c>
      <c r="F27" s="108" t="s">
        <v>270</v>
      </c>
      <c r="G27" s="98">
        <f t="shared" si="7"/>
        <v>10760</v>
      </c>
      <c r="H27" s="99">
        <f t="shared" si="8"/>
        <v>11810</v>
      </c>
      <c r="I27" s="99">
        <f t="shared" si="9"/>
        <v>11810</v>
      </c>
      <c r="J27" s="99">
        <f t="shared" si="10"/>
        <v>14610</v>
      </c>
      <c r="K27" s="111"/>
      <c r="L27" s="156" t="s">
        <v>378</v>
      </c>
      <c r="M27" s="52" t="s">
        <v>292</v>
      </c>
      <c r="N27" s="45">
        <v>0</v>
      </c>
      <c r="O27" s="53">
        <f>VLOOKUP(B27,DRAYAGE!$A$1:$C$107,3,FALSE)</f>
        <v>1310</v>
      </c>
      <c r="P27" s="40" t="s">
        <v>347</v>
      </c>
      <c r="R27" s="105"/>
      <c r="S27" s="113">
        <f t="shared" si="0"/>
        <v>9450</v>
      </c>
      <c r="T27" s="54">
        <f>T14+2000</f>
        <v>10500</v>
      </c>
      <c r="U27" s="103">
        <f t="shared" si="5"/>
        <v>10500</v>
      </c>
      <c r="V27" s="114">
        <f t="shared" si="11"/>
        <v>13293</v>
      </c>
      <c r="X27" s="45">
        <v>0</v>
      </c>
      <c r="Y27" s="40">
        <f>0.9*Z27</f>
        <v>0</v>
      </c>
      <c r="AA27" s="40">
        <f>Z27</f>
        <v>0</v>
      </c>
      <c r="AB27" s="40">
        <f>Z27*1.266</f>
        <v>0</v>
      </c>
    </row>
    <row r="28" spans="1:29" s="40" customFormat="1" ht="14.45" customHeight="1" x14ac:dyDescent="0.25">
      <c r="A28" s="144" t="s">
        <v>376</v>
      </c>
      <c r="B28" s="51" t="s">
        <v>338</v>
      </c>
      <c r="C28" s="94" t="s">
        <v>54</v>
      </c>
      <c r="D28" s="153" t="s">
        <v>377</v>
      </c>
      <c r="E28" s="96" t="s">
        <v>114</v>
      </c>
      <c r="F28" s="97" t="s">
        <v>270</v>
      </c>
      <c r="G28" s="98">
        <f t="shared" si="7"/>
        <v>8150</v>
      </c>
      <c r="H28" s="159">
        <f t="shared" si="8"/>
        <v>8910</v>
      </c>
      <c r="I28" s="159">
        <f t="shared" si="9"/>
        <v>9110</v>
      </c>
      <c r="J28" s="99">
        <f t="shared" si="10"/>
        <v>11190</v>
      </c>
      <c r="K28" s="57"/>
      <c r="L28" s="155" t="s">
        <v>377</v>
      </c>
      <c r="M28" s="52" t="s">
        <v>292</v>
      </c>
      <c r="N28" s="40">
        <v>0</v>
      </c>
      <c r="O28" s="53">
        <f>VLOOKUP(B28,DRAYAGE!$A$1:$C$107,3,FALSE)</f>
        <v>1310</v>
      </c>
      <c r="P28" s="40" t="s">
        <v>347</v>
      </c>
      <c r="S28" s="113">
        <f t="shared" si="0"/>
        <v>6840</v>
      </c>
      <c r="T28" s="158">
        <v>7600</v>
      </c>
      <c r="U28" s="157">
        <v>7800</v>
      </c>
      <c r="V28" s="104">
        <f t="shared" si="11"/>
        <v>9874.7999999999993</v>
      </c>
      <c r="X28" s="40">
        <v>0</v>
      </c>
    </row>
    <row r="29" spans="1:29" s="40" customFormat="1" ht="14.45" customHeight="1" x14ac:dyDescent="0.25">
      <c r="A29" s="134" t="s">
        <v>333</v>
      </c>
      <c r="B29" s="88"/>
      <c r="C29" s="88"/>
      <c r="D29" s="88"/>
      <c r="E29" s="210"/>
      <c r="F29" s="211"/>
      <c r="G29" s="88"/>
      <c r="H29" s="88"/>
      <c r="I29" s="88"/>
      <c r="J29" s="88"/>
      <c r="K29" s="57"/>
      <c r="L29" s="89" t="s">
        <v>48</v>
      </c>
      <c r="M29" s="89" t="s">
        <v>261</v>
      </c>
      <c r="N29" s="90" t="s">
        <v>51</v>
      </c>
      <c r="O29" s="91" t="s">
        <v>50</v>
      </c>
      <c r="P29" s="91" t="s">
        <v>262</v>
      </c>
      <c r="Q29" s="91" t="s">
        <v>263</v>
      </c>
      <c r="R29" s="91" t="s">
        <v>264</v>
      </c>
      <c r="S29" s="92" t="s">
        <v>52</v>
      </c>
      <c r="T29" s="92" t="s">
        <v>53</v>
      </c>
      <c r="U29" s="92" t="s">
        <v>265</v>
      </c>
      <c r="V29" s="92" t="s">
        <v>266</v>
      </c>
      <c r="W29" s="92" t="s">
        <v>267</v>
      </c>
      <c r="X29" s="92" t="s">
        <v>268</v>
      </c>
      <c r="Y29" s="92" t="s">
        <v>52</v>
      </c>
      <c r="Z29" s="92" t="s">
        <v>53</v>
      </c>
      <c r="AA29" s="92" t="s">
        <v>265</v>
      </c>
      <c r="AB29" s="92" t="s">
        <v>266</v>
      </c>
      <c r="AC29" s="93" t="s">
        <v>269</v>
      </c>
    </row>
    <row r="30" spans="1:29" s="40" customFormat="1" ht="14.45" customHeight="1" x14ac:dyDescent="0.25">
      <c r="A30" s="133" t="s">
        <v>58</v>
      </c>
      <c r="B30" s="51" t="s">
        <v>339</v>
      </c>
      <c r="C30" s="94" t="s">
        <v>54</v>
      </c>
      <c r="D30" s="95" t="s">
        <v>308</v>
      </c>
      <c r="E30" s="96" t="s">
        <v>114</v>
      </c>
      <c r="F30" s="97" t="s">
        <v>270</v>
      </c>
      <c r="G30" s="98">
        <f>CEILING(S30+W30+X30+O30+N30+Y30,10)</f>
        <v>16170</v>
      </c>
      <c r="H30" s="99">
        <f>CEILING(T30+W30+X30+O30+N30+Z30,10)</f>
        <v>17670</v>
      </c>
      <c r="I30" s="99">
        <f>CEILING(U30+W30+X30+O30+N30+AA30,10)</f>
        <v>17670</v>
      </c>
      <c r="J30" s="99">
        <f>CEILING(V30+W30+X30+O30+N30+AB30,10)</f>
        <v>21660</v>
      </c>
      <c r="K30" s="57"/>
      <c r="L30" s="156" t="s">
        <v>378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S30" s="101">
        <f>0.9*T30</f>
        <v>13500</v>
      </c>
      <c r="T30" s="54">
        <f>14000+1000</f>
        <v>15000</v>
      </c>
      <c r="U30" s="103">
        <f t="shared" si="5"/>
        <v>15000</v>
      </c>
      <c r="V30" s="104">
        <f>U30*1.266</f>
        <v>18990</v>
      </c>
    </row>
    <row r="31" spans="1:29" s="40" customFormat="1" ht="14.45" customHeight="1" x14ac:dyDescent="0.25">
      <c r="A31" s="133" t="s">
        <v>55</v>
      </c>
      <c r="B31" s="51" t="s">
        <v>339</v>
      </c>
      <c r="C31" s="94" t="s">
        <v>54</v>
      </c>
      <c r="D31" s="95" t="s">
        <v>308</v>
      </c>
      <c r="E31" s="96" t="s">
        <v>114</v>
      </c>
      <c r="F31" s="97" t="s">
        <v>270</v>
      </c>
      <c r="G31" s="98">
        <f>CEILING(S31+W31+X31+O31+N31+Y31,10)</f>
        <v>13470</v>
      </c>
      <c r="H31" s="99">
        <f>CEILING(T31+W31+X31+O31+N31+Z31,10)</f>
        <v>14670</v>
      </c>
      <c r="I31" s="99">
        <f>CEILING(U31+W31+X31+O31+N31+AA31,10)</f>
        <v>14670</v>
      </c>
      <c r="J31" s="99">
        <f>CEILING(V31+W31+X31+O31+N31+AB31,10)</f>
        <v>17860</v>
      </c>
      <c r="K31" s="57"/>
      <c r="L31" s="156" t="s">
        <v>378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S31" s="101">
        <f>0.9*T31</f>
        <v>10800</v>
      </c>
      <c r="T31" s="54">
        <v>12000</v>
      </c>
      <c r="U31" s="103">
        <f t="shared" si="5"/>
        <v>12000</v>
      </c>
      <c r="V31" s="104">
        <f>U31*1.266</f>
        <v>15192</v>
      </c>
    </row>
    <row r="32" spans="1:29" s="40" customFormat="1" ht="14.45" customHeight="1" x14ac:dyDescent="0.25">
      <c r="A32" s="133" t="s">
        <v>61</v>
      </c>
      <c r="B32" s="51" t="s">
        <v>339</v>
      </c>
      <c r="C32" s="94" t="s">
        <v>54</v>
      </c>
      <c r="D32" s="95" t="s">
        <v>308</v>
      </c>
      <c r="E32" s="96" t="s">
        <v>114</v>
      </c>
      <c r="F32" s="97" t="s">
        <v>270</v>
      </c>
      <c r="G32" s="98">
        <f>CEILING(S32+W32+X32+O32+N32+Y32,10)</f>
        <v>13470</v>
      </c>
      <c r="H32" s="99">
        <f>CEILING(T32+W32+X32+O32+N32+Z32,10)</f>
        <v>14670</v>
      </c>
      <c r="I32" s="99">
        <f>CEILING(U32+W32+X32+O32+N32+AA32,10)</f>
        <v>14670</v>
      </c>
      <c r="J32" s="99">
        <f>CEILING(V32+W32+X32+O32+N32+AB32,10)</f>
        <v>17860</v>
      </c>
      <c r="K32" s="57"/>
      <c r="L32" s="156" t="s">
        <v>378</v>
      </c>
      <c r="M32" s="52" t="s">
        <v>293</v>
      </c>
      <c r="N32" s="40">
        <v>0</v>
      </c>
      <c r="O32" s="53">
        <f>VLOOKUP(B32,DRAYAGE!$A$1:$C$107,3,FALSE)</f>
        <v>2665</v>
      </c>
      <c r="P32" s="40" t="s">
        <v>299</v>
      </c>
      <c r="S32" s="101">
        <f>0.9*T32</f>
        <v>10800</v>
      </c>
      <c r="T32" s="54">
        <v>12000</v>
      </c>
      <c r="U32" s="103">
        <f t="shared" si="5"/>
        <v>12000</v>
      </c>
      <c r="V32" s="104">
        <f>U32*1.266</f>
        <v>15192</v>
      </c>
    </row>
    <row r="33" spans="1:29" s="40" customFormat="1" ht="14.45" customHeight="1" x14ac:dyDescent="0.25">
      <c r="A33" s="134" t="s">
        <v>334</v>
      </c>
      <c r="B33" s="88"/>
      <c r="C33" s="88"/>
      <c r="D33" s="88"/>
      <c r="E33" s="210"/>
      <c r="F33" s="211"/>
      <c r="G33" s="88"/>
      <c r="H33" s="88"/>
      <c r="I33" s="88"/>
      <c r="J33" s="88"/>
      <c r="K33" s="57"/>
      <c r="L33" s="89" t="s">
        <v>48</v>
      </c>
      <c r="M33" s="89" t="s">
        <v>261</v>
      </c>
      <c r="N33" s="90" t="s">
        <v>51</v>
      </c>
      <c r="O33" s="91" t="s">
        <v>50</v>
      </c>
      <c r="P33" s="91" t="s">
        <v>262</v>
      </c>
      <c r="Q33" s="91" t="s">
        <v>263</v>
      </c>
      <c r="R33" s="91" t="s">
        <v>264</v>
      </c>
      <c r="S33" s="92" t="s">
        <v>52</v>
      </c>
      <c r="T33" s="92" t="s">
        <v>53</v>
      </c>
      <c r="U33" s="92" t="s">
        <v>265</v>
      </c>
      <c r="V33" s="92" t="s">
        <v>266</v>
      </c>
      <c r="W33" s="92" t="s">
        <v>267</v>
      </c>
      <c r="X33" s="92" t="s">
        <v>268</v>
      </c>
      <c r="Y33" s="92" t="s">
        <v>52</v>
      </c>
      <c r="Z33" s="92" t="s">
        <v>53</v>
      </c>
      <c r="AA33" s="92" t="s">
        <v>265</v>
      </c>
      <c r="AB33" s="92" t="s">
        <v>266</v>
      </c>
      <c r="AC33" s="93" t="s">
        <v>269</v>
      </c>
    </row>
    <row r="34" spans="1:29" s="40" customFormat="1" ht="14.45" customHeight="1" x14ac:dyDescent="0.25">
      <c r="A34" s="133" t="s">
        <v>58</v>
      </c>
      <c r="B34" s="51" t="s">
        <v>341</v>
      </c>
      <c r="C34" s="94" t="s">
        <v>54</v>
      </c>
      <c r="D34" s="95" t="s">
        <v>308</v>
      </c>
      <c r="E34" s="96" t="s">
        <v>114</v>
      </c>
      <c r="F34" s="97" t="s">
        <v>270</v>
      </c>
      <c r="G34" s="98">
        <f>CEILING(S34+W34+X34+O34+N34+Y34,10)</f>
        <v>15190</v>
      </c>
      <c r="H34" s="99">
        <f>CEILING(T34+W34+X34+O34+N34+Z34,10)</f>
        <v>16690</v>
      </c>
      <c r="I34" s="99">
        <f>CEILING(U34+W34+X34+O34+N34+AA34,10)</f>
        <v>16690</v>
      </c>
      <c r="J34" s="99">
        <f>CEILING(V34+W34+X34+O34+N34+AB34,10)</f>
        <v>20680</v>
      </c>
      <c r="K34" s="57"/>
      <c r="L34" s="156" t="s">
        <v>378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S34" s="101">
        <f>0.9*T34</f>
        <v>13500</v>
      </c>
      <c r="T34" s="54">
        <f>T30</f>
        <v>15000</v>
      </c>
      <c r="U34" s="103">
        <f t="shared" si="5"/>
        <v>15000</v>
      </c>
      <c r="V34" s="104">
        <f>U34*1.266</f>
        <v>18990</v>
      </c>
      <c r="X34" s="40">
        <v>0</v>
      </c>
    </row>
    <row r="35" spans="1:29" s="40" customFormat="1" ht="14.45" customHeight="1" x14ac:dyDescent="0.25">
      <c r="A35" s="133" t="s">
        <v>55</v>
      </c>
      <c r="B35" s="51" t="s">
        <v>341</v>
      </c>
      <c r="C35" s="94" t="s">
        <v>54</v>
      </c>
      <c r="D35" s="95" t="s">
        <v>308</v>
      </c>
      <c r="E35" s="96" t="s">
        <v>114</v>
      </c>
      <c r="F35" s="97" t="s">
        <v>270</v>
      </c>
      <c r="G35" s="98">
        <f>CEILING(S35+W35+X35+O35+N35+Y35,10)</f>
        <v>12490</v>
      </c>
      <c r="H35" s="99">
        <f>CEILING(T35+W35+X35+O35+N35+Z35,10)</f>
        <v>13690</v>
      </c>
      <c r="I35" s="99">
        <f>CEILING(U35+W35+X35+O35+N35+AA35,10)</f>
        <v>13690</v>
      </c>
      <c r="J35" s="99">
        <f>CEILING(V35+W35+X35+O35+N35+AB35,10)</f>
        <v>16890</v>
      </c>
      <c r="K35" s="57"/>
      <c r="L35" s="156" t="s">
        <v>378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S35" s="101">
        <f>0.9*T35</f>
        <v>10800</v>
      </c>
      <c r="T35" s="54">
        <f>T31</f>
        <v>12000</v>
      </c>
      <c r="U35" s="103">
        <f t="shared" si="5"/>
        <v>12000</v>
      </c>
      <c r="V35" s="104">
        <f>U35*1.266</f>
        <v>15192</v>
      </c>
      <c r="X35" s="40">
        <v>0</v>
      </c>
    </row>
    <row r="36" spans="1:29" s="40" customFormat="1" ht="14.45" customHeight="1" x14ac:dyDescent="0.25">
      <c r="A36" s="133" t="s">
        <v>61</v>
      </c>
      <c r="B36" s="51" t="s">
        <v>341</v>
      </c>
      <c r="C36" s="94" t="s">
        <v>54</v>
      </c>
      <c r="D36" s="95" t="s">
        <v>308</v>
      </c>
      <c r="E36" s="96" t="s">
        <v>114</v>
      </c>
      <c r="F36" s="97" t="s">
        <v>270</v>
      </c>
      <c r="G36" s="98">
        <f>CEILING(S36+W36+X36+O36+N36+Y36,10)</f>
        <v>12490</v>
      </c>
      <c r="H36" s="99">
        <f>CEILING(T36+W36+X36+O36+N36+Z36,10)</f>
        <v>13690</v>
      </c>
      <c r="I36" s="99">
        <f>CEILING(U36+W36+X36+O36+N36+AA36,10)</f>
        <v>13690</v>
      </c>
      <c r="J36" s="99">
        <f>CEILING(V36+W36+X36+O36+N36+AB36,10)</f>
        <v>16890</v>
      </c>
      <c r="K36" s="57"/>
      <c r="L36" s="156" t="s">
        <v>378</v>
      </c>
      <c r="M36" s="52" t="s">
        <v>293</v>
      </c>
      <c r="N36" s="40">
        <v>0</v>
      </c>
      <c r="O36" s="53">
        <f>VLOOKUP(B36,DRAYAGE!$A$1:$C$107,3,FALSE)</f>
        <v>1690</v>
      </c>
      <c r="P36" s="40" t="s">
        <v>299</v>
      </c>
      <c r="S36" s="101">
        <f>0.9*T36</f>
        <v>10800</v>
      </c>
      <c r="T36" s="54">
        <f>T32</f>
        <v>12000</v>
      </c>
      <c r="U36" s="103">
        <f t="shared" si="5"/>
        <v>12000</v>
      </c>
      <c r="V36" s="104">
        <f>U36*1.266</f>
        <v>15192</v>
      </c>
      <c r="X36" s="40">
        <v>0</v>
      </c>
    </row>
    <row r="37" spans="1:29" s="40" customFormat="1" ht="14.45" customHeight="1" x14ac:dyDescent="0.25">
      <c r="A37" s="134" t="s">
        <v>335</v>
      </c>
      <c r="B37" s="88"/>
      <c r="C37" s="88"/>
      <c r="D37" s="88"/>
      <c r="E37" s="210"/>
      <c r="F37" s="211"/>
      <c r="G37" s="88"/>
      <c r="H37" s="88"/>
      <c r="I37" s="88"/>
      <c r="J37" s="88"/>
      <c r="K37" s="57"/>
      <c r="L37" s="89" t="s">
        <v>48</v>
      </c>
      <c r="M37" s="89" t="s">
        <v>261</v>
      </c>
      <c r="N37" s="90" t="s">
        <v>51</v>
      </c>
      <c r="O37" s="91" t="s">
        <v>50</v>
      </c>
      <c r="P37" s="91" t="s">
        <v>262</v>
      </c>
      <c r="Q37" s="91" t="s">
        <v>263</v>
      </c>
      <c r="R37" s="91" t="s">
        <v>264</v>
      </c>
      <c r="S37" s="92" t="s">
        <v>52</v>
      </c>
      <c r="T37" s="92" t="s">
        <v>53</v>
      </c>
      <c r="U37" s="92" t="s">
        <v>265</v>
      </c>
      <c r="V37" s="92" t="s">
        <v>266</v>
      </c>
      <c r="W37" s="92" t="s">
        <v>267</v>
      </c>
      <c r="X37" s="92" t="s">
        <v>268</v>
      </c>
      <c r="Y37" s="92" t="s">
        <v>52</v>
      </c>
      <c r="Z37" s="92" t="s">
        <v>53</v>
      </c>
      <c r="AA37" s="92" t="s">
        <v>265</v>
      </c>
      <c r="AB37" s="92" t="s">
        <v>266</v>
      </c>
      <c r="AC37" s="93" t="s">
        <v>269</v>
      </c>
    </row>
    <row r="38" spans="1:29" s="40" customFormat="1" ht="18.75" x14ac:dyDescent="0.25">
      <c r="A38" s="133" t="s">
        <v>81</v>
      </c>
      <c r="B38" s="51" t="s">
        <v>340</v>
      </c>
      <c r="C38" s="94" t="s">
        <v>54</v>
      </c>
      <c r="D38" s="95" t="s">
        <v>308</v>
      </c>
      <c r="E38" s="96" t="s">
        <v>114</v>
      </c>
      <c r="F38" s="97" t="s">
        <v>270</v>
      </c>
      <c r="G38" s="98">
        <f t="shared" ref="G38:G44" si="12">CEILING(S38+W38+X38+O38+N38+Y38,10)</f>
        <v>12610</v>
      </c>
      <c r="H38" s="99">
        <f t="shared" ref="H38:H44" si="13">CEILING(T38+W38+X38+O38+N38+Z38,10)</f>
        <v>13810</v>
      </c>
      <c r="I38" s="99">
        <f t="shared" ref="I38:I44" si="14">CEILING(U38+W38+X38+O38+N38+AA38,10)</f>
        <v>13810</v>
      </c>
      <c r="J38" s="99">
        <f t="shared" ref="J38:J44" si="15">CEILING(V38+W38+X38+O38+N38+AB38,10)</f>
        <v>17000</v>
      </c>
      <c r="K38" s="57"/>
      <c r="L38" s="156" t="s">
        <v>378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S38" s="101">
        <f t="shared" ref="S38:S44" si="16">0.9*T38</f>
        <v>10800</v>
      </c>
      <c r="T38" s="54">
        <v>12000</v>
      </c>
      <c r="U38" s="103">
        <f t="shared" si="5"/>
        <v>12000</v>
      </c>
      <c r="V38" s="104">
        <f t="shared" ref="V38:V44" si="17">U38*1.266</f>
        <v>15192</v>
      </c>
      <c r="X38" s="40">
        <v>0</v>
      </c>
    </row>
    <row r="39" spans="1:29" s="40" customFormat="1" ht="27" customHeight="1" x14ac:dyDescent="0.25">
      <c r="A39" s="133" t="s">
        <v>55</v>
      </c>
      <c r="B39" s="51" t="s">
        <v>340</v>
      </c>
      <c r="C39" s="94" t="s">
        <v>54</v>
      </c>
      <c r="D39" s="95" t="s">
        <v>308</v>
      </c>
      <c r="E39" s="96" t="s">
        <v>114</v>
      </c>
      <c r="F39" s="97" t="s">
        <v>270</v>
      </c>
      <c r="G39" s="98">
        <f t="shared" si="12"/>
        <v>12610</v>
      </c>
      <c r="H39" s="99">
        <f t="shared" si="13"/>
        <v>13810</v>
      </c>
      <c r="I39" s="99">
        <f t="shared" si="14"/>
        <v>13810</v>
      </c>
      <c r="J39" s="99">
        <f t="shared" si="15"/>
        <v>17000</v>
      </c>
      <c r="K39" s="57"/>
      <c r="L39" s="156" t="s">
        <v>378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S39" s="101">
        <f t="shared" si="16"/>
        <v>10800</v>
      </c>
      <c r="T39" s="54">
        <v>12000</v>
      </c>
      <c r="U39" s="103">
        <f t="shared" si="5"/>
        <v>12000</v>
      </c>
      <c r="V39" s="104">
        <f t="shared" si="17"/>
        <v>15192</v>
      </c>
      <c r="X39" s="40">
        <v>0</v>
      </c>
    </row>
    <row r="40" spans="1:29" s="40" customFormat="1" ht="14.45" customHeight="1" x14ac:dyDescent="0.25">
      <c r="A40" s="133" t="s">
        <v>59</v>
      </c>
      <c r="B40" s="51" t="s">
        <v>340</v>
      </c>
      <c r="C40" s="94" t="s">
        <v>54</v>
      </c>
      <c r="D40" s="95" t="s">
        <v>308</v>
      </c>
      <c r="E40" s="96" t="s">
        <v>114</v>
      </c>
      <c r="F40" s="97" t="s">
        <v>270</v>
      </c>
      <c r="G40" s="98">
        <f t="shared" si="12"/>
        <v>14410</v>
      </c>
      <c r="H40" s="99">
        <f t="shared" si="13"/>
        <v>15810</v>
      </c>
      <c r="I40" s="99">
        <f t="shared" si="14"/>
        <v>15810</v>
      </c>
      <c r="J40" s="99">
        <f t="shared" si="15"/>
        <v>19530</v>
      </c>
      <c r="K40" s="57"/>
      <c r="L40" s="156" t="s">
        <v>378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S40" s="101">
        <f t="shared" si="16"/>
        <v>12600</v>
      </c>
      <c r="T40" s="54">
        <v>14000</v>
      </c>
      <c r="U40" s="103">
        <f t="shared" si="5"/>
        <v>14000</v>
      </c>
      <c r="V40" s="104">
        <f t="shared" si="17"/>
        <v>17724</v>
      </c>
      <c r="X40" s="40">
        <v>0</v>
      </c>
    </row>
    <row r="41" spans="1:29" s="40" customFormat="1" ht="18.75" x14ac:dyDescent="0.25">
      <c r="A41" s="133" t="s">
        <v>60</v>
      </c>
      <c r="B41" s="51" t="s">
        <v>340</v>
      </c>
      <c r="C41" s="94" t="s">
        <v>54</v>
      </c>
      <c r="D41" s="95" t="s">
        <v>308</v>
      </c>
      <c r="E41" s="96" t="s">
        <v>114</v>
      </c>
      <c r="F41" s="97" t="s">
        <v>270</v>
      </c>
      <c r="G41" s="98">
        <f t="shared" si="12"/>
        <v>14860</v>
      </c>
      <c r="H41" s="99">
        <f t="shared" si="13"/>
        <v>16310</v>
      </c>
      <c r="I41" s="99">
        <f t="shared" si="14"/>
        <v>16310</v>
      </c>
      <c r="J41" s="99">
        <f t="shared" si="15"/>
        <v>20170</v>
      </c>
      <c r="K41" s="57"/>
      <c r="L41" s="156" t="s">
        <v>378</v>
      </c>
      <c r="M41" s="52" t="s">
        <v>294</v>
      </c>
      <c r="N41" s="40">
        <v>0</v>
      </c>
      <c r="O41" s="53">
        <f>VLOOKUP(B41,DRAYAGE!$A$1:$C$107,3,FALSE)</f>
        <v>1805</v>
      </c>
      <c r="P41" s="40" t="s">
        <v>300</v>
      </c>
      <c r="S41" s="101">
        <f t="shared" si="16"/>
        <v>13050</v>
      </c>
      <c r="T41" s="54">
        <v>14500</v>
      </c>
      <c r="U41" s="103">
        <f t="shared" si="5"/>
        <v>14500</v>
      </c>
      <c r="V41" s="104">
        <f t="shared" si="17"/>
        <v>18357</v>
      </c>
      <c r="X41" s="40">
        <v>0</v>
      </c>
    </row>
    <row r="42" spans="1:29" s="45" customFormat="1" ht="14.45" customHeight="1" x14ac:dyDescent="0.25">
      <c r="A42" s="133" t="s">
        <v>61</v>
      </c>
      <c r="B42" s="51" t="s">
        <v>340</v>
      </c>
      <c r="C42" s="106" t="s">
        <v>54</v>
      </c>
      <c r="D42" s="95" t="s">
        <v>308</v>
      </c>
      <c r="E42" s="107" t="s">
        <v>114</v>
      </c>
      <c r="F42" s="108" t="s">
        <v>270</v>
      </c>
      <c r="G42" s="109">
        <f t="shared" si="12"/>
        <v>12610</v>
      </c>
      <c r="H42" s="110">
        <f t="shared" si="13"/>
        <v>13810</v>
      </c>
      <c r="I42" s="110">
        <f t="shared" si="14"/>
        <v>13810</v>
      </c>
      <c r="J42" s="110">
        <f t="shared" si="15"/>
        <v>17000</v>
      </c>
      <c r="K42" s="111"/>
      <c r="L42" s="156" t="s">
        <v>378</v>
      </c>
      <c r="M42" s="52" t="s">
        <v>294</v>
      </c>
      <c r="N42" s="45">
        <v>0</v>
      </c>
      <c r="O42" s="53">
        <f>VLOOKUP(B42,DRAYAGE!$A$1:$C$107,3,FALSE)</f>
        <v>1805</v>
      </c>
      <c r="P42" s="40" t="s">
        <v>300</v>
      </c>
      <c r="R42" s="40"/>
      <c r="S42" s="113">
        <f t="shared" si="16"/>
        <v>10800</v>
      </c>
      <c r="T42" s="54">
        <v>12000</v>
      </c>
      <c r="U42" s="103">
        <f t="shared" si="5"/>
        <v>12000</v>
      </c>
      <c r="V42" s="114">
        <f t="shared" si="17"/>
        <v>15192</v>
      </c>
      <c r="X42" s="45">
        <v>0</v>
      </c>
      <c r="Y42" s="40"/>
      <c r="Z42" s="40"/>
      <c r="AA42" s="40"/>
      <c r="AB42" s="40"/>
    </row>
    <row r="43" spans="1:29" s="40" customFormat="1" ht="18.75" x14ac:dyDescent="0.25">
      <c r="A43" s="133" t="s">
        <v>273</v>
      </c>
      <c r="B43" s="51" t="s">
        <v>340</v>
      </c>
      <c r="C43" s="94" t="s">
        <v>54</v>
      </c>
      <c r="D43" s="95" t="s">
        <v>308</v>
      </c>
      <c r="E43" s="96" t="s">
        <v>114</v>
      </c>
      <c r="F43" s="97" t="s">
        <v>270</v>
      </c>
      <c r="G43" s="98">
        <f t="shared" si="12"/>
        <v>16660</v>
      </c>
      <c r="H43" s="99">
        <f t="shared" si="13"/>
        <v>18310</v>
      </c>
      <c r="I43" s="99">
        <f t="shared" si="14"/>
        <v>18310</v>
      </c>
      <c r="J43" s="99">
        <f t="shared" si="15"/>
        <v>22700</v>
      </c>
      <c r="K43" s="57"/>
      <c r="L43" s="156" t="s">
        <v>378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S43" s="101">
        <f t="shared" si="16"/>
        <v>14850</v>
      </c>
      <c r="T43" s="54">
        <f>16000+500</f>
        <v>16500</v>
      </c>
      <c r="U43" s="103">
        <f t="shared" si="5"/>
        <v>16500</v>
      </c>
      <c r="V43" s="104">
        <f t="shared" si="17"/>
        <v>20889</v>
      </c>
      <c r="X43" s="40">
        <v>0</v>
      </c>
    </row>
    <row r="44" spans="1:29" s="40" customFormat="1" ht="14.45" customHeight="1" x14ac:dyDescent="0.25">
      <c r="A44" s="133" t="s">
        <v>58</v>
      </c>
      <c r="B44" s="51" t="s">
        <v>340</v>
      </c>
      <c r="C44" s="94" t="s">
        <v>54</v>
      </c>
      <c r="D44" s="126" t="s">
        <v>290</v>
      </c>
      <c r="E44" s="96" t="s">
        <v>114</v>
      </c>
      <c r="F44" s="97" t="s">
        <v>270</v>
      </c>
      <c r="G44" s="98">
        <f t="shared" si="12"/>
        <v>16660</v>
      </c>
      <c r="H44" s="99">
        <f t="shared" si="13"/>
        <v>18310</v>
      </c>
      <c r="I44" s="99">
        <f t="shared" si="14"/>
        <v>18310</v>
      </c>
      <c r="J44" s="99">
        <f t="shared" si="15"/>
        <v>22700</v>
      </c>
      <c r="K44" s="57"/>
      <c r="L44" s="155" t="s">
        <v>290</v>
      </c>
      <c r="M44" s="52" t="s">
        <v>294</v>
      </c>
      <c r="N44" s="40">
        <v>0</v>
      </c>
      <c r="O44" s="53">
        <f>VLOOKUP(B44,DRAYAGE!$A$1:$C$107,3,FALSE)</f>
        <v>1805</v>
      </c>
      <c r="P44" s="40" t="s">
        <v>298</v>
      </c>
      <c r="S44" s="101">
        <f t="shared" si="16"/>
        <v>14850</v>
      </c>
      <c r="T44" s="54">
        <f>15500+1000</f>
        <v>16500</v>
      </c>
      <c r="U44" s="103">
        <f t="shared" si="5"/>
        <v>16500</v>
      </c>
      <c r="V44" s="104">
        <f t="shared" si="17"/>
        <v>20889</v>
      </c>
      <c r="X44" s="40">
        <v>0</v>
      </c>
    </row>
    <row r="45" spans="1:29" s="40" customFormat="1" ht="14.45" customHeight="1" x14ac:dyDescent="0.25">
      <c r="A45" s="134" t="s">
        <v>98</v>
      </c>
      <c r="B45" s="88"/>
      <c r="C45" s="88"/>
      <c r="D45" s="88"/>
      <c r="E45" s="210"/>
      <c r="F45" s="211"/>
      <c r="G45" s="88"/>
      <c r="H45" s="88"/>
      <c r="I45" s="88"/>
      <c r="J45" s="88"/>
      <c r="K45" s="57"/>
      <c r="L45" s="89" t="s">
        <v>48</v>
      </c>
      <c r="M45" s="89" t="s">
        <v>261</v>
      </c>
      <c r="N45" s="90" t="s">
        <v>51</v>
      </c>
      <c r="O45" s="91" t="s">
        <v>50</v>
      </c>
      <c r="P45" s="91" t="s">
        <v>262</v>
      </c>
      <c r="Q45" s="91" t="s">
        <v>263</v>
      </c>
      <c r="R45" s="92" t="s">
        <v>52</v>
      </c>
      <c r="S45" s="92" t="s">
        <v>52</v>
      </c>
      <c r="T45" s="92" t="s">
        <v>53</v>
      </c>
      <c r="U45" s="92" t="s">
        <v>265</v>
      </c>
      <c r="V45" s="92" t="s">
        <v>266</v>
      </c>
      <c r="W45" s="92" t="s">
        <v>267</v>
      </c>
      <c r="X45" s="92" t="s">
        <v>268</v>
      </c>
      <c r="Y45" s="92" t="s">
        <v>52</v>
      </c>
      <c r="Z45" s="92" t="s">
        <v>53</v>
      </c>
      <c r="AA45" s="92" t="s">
        <v>265</v>
      </c>
      <c r="AB45" s="92" t="s">
        <v>266</v>
      </c>
      <c r="AC45" s="93" t="s">
        <v>269</v>
      </c>
    </row>
    <row r="46" spans="1:29" s="40" customFormat="1" ht="14.45" customHeight="1" x14ac:dyDescent="0.25">
      <c r="A46" s="133" t="s">
        <v>331</v>
      </c>
      <c r="B46" s="51" t="s">
        <v>342</v>
      </c>
      <c r="C46" s="94" t="s">
        <v>54</v>
      </c>
      <c r="D46" s="95" t="s">
        <v>308</v>
      </c>
      <c r="E46" s="96" t="s">
        <v>114</v>
      </c>
      <c r="F46" s="97" t="s">
        <v>270</v>
      </c>
      <c r="G46" s="98">
        <f>CEILING(S46+W46+X46+O46+N46+Y46,10)</f>
        <v>13800</v>
      </c>
      <c r="H46" s="99">
        <f>CEILING(T46+W46+X46+O46+N46+Z46,10)</f>
        <v>15000</v>
      </c>
      <c r="I46" s="99">
        <f>CEILING(U46+W46+X46+O46+N46+AA46,10)</f>
        <v>15000</v>
      </c>
      <c r="J46" s="99">
        <f>CEILING(V46+W46+X46+O46+N46+AB46,10)</f>
        <v>18190</v>
      </c>
      <c r="K46" s="57"/>
      <c r="L46" s="156" t="s">
        <v>378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R46" s="101">
        <v>19800</v>
      </c>
      <c r="S46" s="101">
        <f>0.9*T46</f>
        <v>10800</v>
      </c>
      <c r="T46" s="54">
        <v>12000</v>
      </c>
      <c r="U46" s="103">
        <f>T46</f>
        <v>12000</v>
      </c>
      <c r="V46" s="104">
        <f>U46*1.266</f>
        <v>15192</v>
      </c>
      <c r="W46" s="40">
        <v>0</v>
      </c>
    </row>
    <row r="47" spans="1:29" s="40" customFormat="1" ht="14.45" customHeight="1" x14ac:dyDescent="0.25">
      <c r="A47" s="133" t="s">
        <v>328</v>
      </c>
      <c r="B47" s="51" t="s">
        <v>342</v>
      </c>
      <c r="C47" s="94" t="s">
        <v>54</v>
      </c>
      <c r="D47" s="95" t="s">
        <v>308</v>
      </c>
      <c r="E47" s="96" t="s">
        <v>114</v>
      </c>
      <c r="F47" s="97" t="s">
        <v>270</v>
      </c>
      <c r="G47" s="98">
        <f>CEILING(S47+W47+X47+O47+N47+Y47,10)</f>
        <v>15150</v>
      </c>
      <c r="H47" s="99">
        <f>CEILING(T47+W47+X47+O47+N47+Z47,10)</f>
        <v>16500</v>
      </c>
      <c r="I47" s="99">
        <f>CEILING(U47+W47+X47+O47+N47+AA47,10)</f>
        <v>16500</v>
      </c>
      <c r="J47" s="99">
        <f>CEILING(V47+W47+X47+O47+N47+AB47,10)</f>
        <v>20090</v>
      </c>
      <c r="K47" s="57"/>
      <c r="L47" s="156" t="s">
        <v>378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R47" s="101">
        <v>19800</v>
      </c>
      <c r="S47" s="101">
        <f>0.9*T47</f>
        <v>12150</v>
      </c>
      <c r="T47" s="54">
        <v>13500</v>
      </c>
      <c r="U47" s="103">
        <f>T47</f>
        <v>13500</v>
      </c>
      <c r="V47" s="104">
        <f>U47*1.266</f>
        <v>17091</v>
      </c>
      <c r="W47" s="40">
        <v>0</v>
      </c>
    </row>
    <row r="48" spans="1:29" s="40" customFormat="1" ht="14.45" customHeight="1" x14ac:dyDescent="0.25">
      <c r="A48" s="133" t="s">
        <v>58</v>
      </c>
      <c r="B48" s="51" t="s">
        <v>342</v>
      </c>
      <c r="C48" s="94" t="s">
        <v>54</v>
      </c>
      <c r="D48" s="95" t="s">
        <v>308</v>
      </c>
      <c r="E48" s="96" t="s">
        <v>114</v>
      </c>
      <c r="F48" s="97" t="s">
        <v>270</v>
      </c>
      <c r="G48" s="98">
        <f>CEILING(S48+W48+X48+O48+N48+Y48,10)</f>
        <v>16500</v>
      </c>
      <c r="H48" s="99">
        <f>CEILING(T48+W48+X48+O48+N48+Z48,10)</f>
        <v>18000</v>
      </c>
      <c r="I48" s="99">
        <f>CEILING(U48+W48+X48+O48+N48+AA48,10)</f>
        <v>18000</v>
      </c>
      <c r="J48" s="99">
        <f>CEILING(V48+W48+X48+O48+N48+AB48,10)</f>
        <v>21990</v>
      </c>
      <c r="K48" s="57"/>
      <c r="L48" s="156" t="s">
        <v>378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R48" s="101">
        <v>19800</v>
      </c>
      <c r="S48" s="101">
        <f>0.9*T48</f>
        <v>13500</v>
      </c>
      <c r="T48" s="54">
        <f>14000+1000</f>
        <v>15000</v>
      </c>
      <c r="U48" s="103">
        <f>T48</f>
        <v>15000</v>
      </c>
      <c r="V48" s="104">
        <f>U48*1.266</f>
        <v>18990</v>
      </c>
      <c r="W48" s="40">
        <v>0</v>
      </c>
    </row>
    <row r="49" spans="1:29" s="40" customFormat="1" ht="14.45" customHeight="1" x14ac:dyDescent="0.25">
      <c r="A49" s="133" t="s">
        <v>330</v>
      </c>
      <c r="B49" s="51" t="s">
        <v>342</v>
      </c>
      <c r="C49" s="94" t="s">
        <v>54</v>
      </c>
      <c r="D49" s="95" t="s">
        <v>308</v>
      </c>
      <c r="E49" s="96" t="s">
        <v>114</v>
      </c>
      <c r="F49" s="97" t="s">
        <v>270</v>
      </c>
      <c r="G49" s="98">
        <f>CEILING(S49+W49+X49+O49+N49+Y49,10)</f>
        <v>13800</v>
      </c>
      <c r="H49" s="99">
        <f>CEILING(T49+W49+X49+O49+N49+Z49,10)</f>
        <v>15000</v>
      </c>
      <c r="I49" s="99">
        <f>CEILING(U49+W49+X49+O49+N49+AA49,10)</f>
        <v>15000</v>
      </c>
      <c r="J49" s="99">
        <f>CEILING(V49+W49+X49+O49+N49+AB49,10)</f>
        <v>18190</v>
      </c>
      <c r="K49" s="57"/>
      <c r="L49" s="156" t="s">
        <v>378</v>
      </c>
      <c r="M49" s="52" t="s">
        <v>293</v>
      </c>
      <c r="N49" s="40">
        <v>0</v>
      </c>
      <c r="O49" s="53">
        <f>VLOOKUP(B49,DRAYAGE!$A$1:$C$107,3,FALSE)</f>
        <v>2995</v>
      </c>
      <c r="P49" s="40" t="s">
        <v>302</v>
      </c>
      <c r="R49" s="101">
        <v>19800</v>
      </c>
      <c r="S49" s="101">
        <f>0.9*T49</f>
        <v>10800</v>
      </c>
      <c r="T49" s="54">
        <v>12000</v>
      </c>
      <c r="U49" s="103">
        <f>T49</f>
        <v>12000</v>
      </c>
      <c r="V49" s="104">
        <f>U49*1.266</f>
        <v>15192</v>
      </c>
      <c r="W49" s="40">
        <v>0</v>
      </c>
    </row>
    <row r="50" spans="1:29" s="40" customFormat="1" ht="14.45" customHeight="1" x14ac:dyDescent="0.25">
      <c r="A50" s="134" t="s">
        <v>336</v>
      </c>
      <c r="B50" s="88"/>
      <c r="C50" s="88"/>
      <c r="D50" s="88"/>
      <c r="E50" s="210"/>
      <c r="F50" s="211"/>
      <c r="G50" s="88"/>
      <c r="H50" s="88"/>
      <c r="I50" s="88"/>
      <c r="J50" s="88"/>
      <c r="K50" s="57"/>
      <c r="L50" s="89" t="s">
        <v>48</v>
      </c>
      <c r="M50" s="89" t="s">
        <v>261</v>
      </c>
      <c r="N50" s="90" t="s">
        <v>51</v>
      </c>
      <c r="O50" s="91" t="s">
        <v>50</v>
      </c>
      <c r="P50" s="91" t="s">
        <v>262</v>
      </c>
      <c r="Q50" s="91" t="s">
        <v>263</v>
      </c>
      <c r="R50" s="92" t="s">
        <v>52</v>
      </c>
      <c r="S50" s="92" t="s">
        <v>52</v>
      </c>
      <c r="T50" s="92" t="s">
        <v>53</v>
      </c>
      <c r="U50" s="92" t="s">
        <v>265</v>
      </c>
      <c r="V50" s="92" t="s">
        <v>266</v>
      </c>
      <c r="W50" s="92" t="s">
        <v>267</v>
      </c>
      <c r="X50" s="92" t="s">
        <v>268</v>
      </c>
      <c r="Y50" s="92" t="s">
        <v>52</v>
      </c>
      <c r="Z50" s="92" t="s">
        <v>53</v>
      </c>
      <c r="AA50" s="92" t="s">
        <v>265</v>
      </c>
      <c r="AB50" s="92" t="s">
        <v>266</v>
      </c>
      <c r="AC50" s="93" t="s">
        <v>269</v>
      </c>
    </row>
    <row r="51" spans="1:29" s="40" customFormat="1" ht="14.45" customHeight="1" x14ac:dyDescent="0.25">
      <c r="A51" s="133" t="s">
        <v>326</v>
      </c>
      <c r="B51" s="51" t="s">
        <v>343</v>
      </c>
      <c r="C51" s="94" t="s">
        <v>54</v>
      </c>
      <c r="D51" s="95" t="s">
        <v>308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56" t="s">
        <v>378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R51" s="101">
        <v>18000</v>
      </c>
      <c r="S51" s="101">
        <f>0.9*T51</f>
        <v>14400</v>
      </c>
      <c r="T51" s="54">
        <v>16000</v>
      </c>
      <c r="U51" s="103">
        <f>T51</f>
        <v>16000</v>
      </c>
      <c r="V51" s="104">
        <f>U51*1.266</f>
        <v>20256</v>
      </c>
      <c r="W51" s="40">
        <v>0</v>
      </c>
    </row>
    <row r="52" spans="1:29" s="40" customFormat="1" ht="14.45" customHeight="1" x14ac:dyDescent="0.25">
      <c r="A52" s="133" t="s">
        <v>327</v>
      </c>
      <c r="B52" s="51" t="s">
        <v>343</v>
      </c>
      <c r="C52" s="94" t="s">
        <v>54</v>
      </c>
      <c r="D52" s="95" t="s">
        <v>308</v>
      </c>
      <c r="E52" s="96" t="s">
        <v>114</v>
      </c>
      <c r="F52" s="97" t="s">
        <v>270</v>
      </c>
      <c r="G52" s="98">
        <v>18510</v>
      </c>
      <c r="H52" s="99">
        <v>20510</v>
      </c>
      <c r="I52" s="99">
        <v>20510</v>
      </c>
      <c r="J52" s="99">
        <v>25830</v>
      </c>
      <c r="K52" s="57"/>
      <c r="L52" s="156" t="s">
        <v>378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R52" s="101">
        <v>18000</v>
      </c>
      <c r="S52" s="101">
        <f>0.9*T52</f>
        <v>13950</v>
      </c>
      <c r="T52" s="54">
        <v>15500</v>
      </c>
      <c r="U52" s="103">
        <f>T52</f>
        <v>15500</v>
      </c>
      <c r="V52" s="104">
        <f>U52*1.266</f>
        <v>19623</v>
      </c>
      <c r="W52" s="40">
        <v>0</v>
      </c>
    </row>
    <row r="53" spans="1:29" s="40" customFormat="1" ht="14.45" customHeight="1" x14ac:dyDescent="0.25">
      <c r="A53" s="133" t="s">
        <v>328</v>
      </c>
      <c r="B53" s="51" t="s">
        <v>343</v>
      </c>
      <c r="C53" s="94" t="s">
        <v>54</v>
      </c>
      <c r="D53" s="95" t="s">
        <v>308</v>
      </c>
      <c r="E53" s="96" t="s">
        <v>114</v>
      </c>
      <c r="F53" s="97" t="s">
        <v>270</v>
      </c>
      <c r="G53" s="98">
        <v>18510</v>
      </c>
      <c r="H53" s="99">
        <v>20510</v>
      </c>
      <c r="I53" s="99">
        <v>20510</v>
      </c>
      <c r="J53" s="99">
        <v>25830</v>
      </c>
      <c r="K53" s="57"/>
      <c r="L53" s="156" t="s">
        <v>378</v>
      </c>
      <c r="M53" s="52" t="s">
        <v>295</v>
      </c>
      <c r="N53" s="40">
        <v>0</v>
      </c>
      <c r="O53" s="53">
        <f>VLOOKUP(B53,DRAYAGE!$A$1:$C$107,3,FALSE)</f>
        <v>1185</v>
      </c>
      <c r="P53" s="40" t="s">
        <v>361</v>
      </c>
      <c r="R53" s="101">
        <v>18000</v>
      </c>
      <c r="S53" s="101">
        <f>0.9*T53</f>
        <v>14400</v>
      </c>
      <c r="T53" s="54">
        <v>16000</v>
      </c>
      <c r="U53" s="103">
        <f>T53</f>
        <v>16000</v>
      </c>
      <c r="V53" s="104">
        <f>U53*1.266</f>
        <v>20256</v>
      </c>
      <c r="W53" s="40">
        <v>0</v>
      </c>
    </row>
    <row r="54" spans="1:29" s="40" customFormat="1" ht="14.45" customHeight="1" x14ac:dyDescent="0.25">
      <c r="A54" s="134" t="s">
        <v>337</v>
      </c>
      <c r="B54" s="88"/>
      <c r="C54" s="88"/>
      <c r="D54" s="88"/>
      <c r="E54" s="210"/>
      <c r="F54" s="211"/>
      <c r="G54" s="88"/>
      <c r="H54" s="88"/>
      <c r="I54" s="88"/>
      <c r="J54" s="88"/>
      <c r="K54" s="57"/>
      <c r="L54" s="89" t="s">
        <v>48</v>
      </c>
      <c r="M54" s="89" t="s">
        <v>261</v>
      </c>
      <c r="N54" s="90" t="s">
        <v>51</v>
      </c>
      <c r="O54" s="91" t="s">
        <v>50</v>
      </c>
      <c r="P54" s="91" t="s">
        <v>262</v>
      </c>
      <c r="Q54" s="91" t="s">
        <v>263</v>
      </c>
      <c r="R54" s="91" t="s">
        <v>264</v>
      </c>
      <c r="S54" s="92" t="s">
        <v>52</v>
      </c>
      <c r="T54" s="92" t="s">
        <v>53</v>
      </c>
      <c r="U54" s="92" t="s">
        <v>265</v>
      </c>
      <c r="V54" s="92" t="s">
        <v>266</v>
      </c>
      <c r="W54" s="92" t="s">
        <v>267</v>
      </c>
      <c r="X54" s="92" t="s">
        <v>268</v>
      </c>
      <c r="Y54" s="92" t="s">
        <v>52</v>
      </c>
      <c r="Z54" s="92" t="s">
        <v>53</v>
      </c>
      <c r="AA54" s="92" t="s">
        <v>265</v>
      </c>
      <c r="AB54" s="92" t="s">
        <v>266</v>
      </c>
      <c r="AC54" s="93" t="s">
        <v>269</v>
      </c>
    </row>
    <row r="55" spans="1:29" s="40" customFormat="1" ht="18.75" x14ac:dyDescent="0.25">
      <c r="A55" s="133" t="s">
        <v>81</v>
      </c>
      <c r="B55" s="51" t="s">
        <v>344</v>
      </c>
      <c r="C55" s="94" t="s">
        <v>54</v>
      </c>
      <c r="D55" s="95" t="s">
        <v>308</v>
      </c>
      <c r="E55" s="96" t="s">
        <v>114</v>
      </c>
      <c r="F55" s="97" t="s">
        <v>270</v>
      </c>
      <c r="G55" s="98">
        <f t="shared" ref="G55:G60" si="18">CEILING(S55+W55+X55+O55+N55+Y55,10)</f>
        <v>12150</v>
      </c>
      <c r="H55" s="99">
        <f t="shared" ref="H55:H60" si="19">CEILING(T55+W55+X55+O55+N55+Z55,10)</f>
        <v>13350</v>
      </c>
      <c r="I55" s="99">
        <f t="shared" ref="I55:I60" si="20">CEILING(U55+W55+X55+O55+N55+AA55,10)</f>
        <v>13350</v>
      </c>
      <c r="J55" s="99">
        <f t="shared" ref="J55:J60" si="21">CEILING(V55+W55+X55+O55+N55+AB55,10)</f>
        <v>16540</v>
      </c>
      <c r="K55" s="57"/>
      <c r="L55" s="156" t="s">
        <v>378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S55" s="101">
        <f t="shared" ref="S55:S60" si="22">0.9*T55</f>
        <v>10800</v>
      </c>
      <c r="T55" s="54">
        <f t="shared" ref="T55:T60" si="23">T38</f>
        <v>12000</v>
      </c>
      <c r="U55" s="103">
        <f t="shared" si="5"/>
        <v>12000</v>
      </c>
      <c r="V55" s="104">
        <f t="shared" ref="V55:V60" si="24">U55*1.266</f>
        <v>15192</v>
      </c>
      <c r="X55" s="40">
        <v>0</v>
      </c>
    </row>
    <row r="56" spans="1:29" s="40" customFormat="1" ht="14.45" customHeight="1" x14ac:dyDescent="0.25">
      <c r="A56" s="133" t="s">
        <v>55</v>
      </c>
      <c r="B56" s="51" t="s">
        <v>344</v>
      </c>
      <c r="C56" s="94" t="s">
        <v>54</v>
      </c>
      <c r="D56" s="95" t="s">
        <v>308</v>
      </c>
      <c r="E56" s="96" t="s">
        <v>114</v>
      </c>
      <c r="F56" s="97" t="s">
        <v>270</v>
      </c>
      <c r="G56" s="98">
        <f t="shared" si="18"/>
        <v>12150</v>
      </c>
      <c r="H56" s="99">
        <f t="shared" si="19"/>
        <v>13350</v>
      </c>
      <c r="I56" s="99">
        <f t="shared" si="20"/>
        <v>13350</v>
      </c>
      <c r="J56" s="99">
        <f t="shared" si="21"/>
        <v>16540</v>
      </c>
      <c r="K56" s="57"/>
      <c r="L56" s="156" t="s">
        <v>378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S56" s="101">
        <f t="shared" si="22"/>
        <v>10800</v>
      </c>
      <c r="T56" s="54">
        <f t="shared" si="23"/>
        <v>12000</v>
      </c>
      <c r="U56" s="103">
        <f t="shared" si="5"/>
        <v>12000</v>
      </c>
      <c r="V56" s="104">
        <f t="shared" si="24"/>
        <v>15192</v>
      </c>
      <c r="X56" s="40">
        <v>0</v>
      </c>
    </row>
    <row r="57" spans="1:29" s="40" customFormat="1" ht="14.45" customHeight="1" x14ac:dyDescent="0.25">
      <c r="A57" s="133" t="s">
        <v>59</v>
      </c>
      <c r="B57" s="51" t="s">
        <v>344</v>
      </c>
      <c r="C57" s="94" t="s">
        <v>54</v>
      </c>
      <c r="D57" s="95" t="s">
        <v>308</v>
      </c>
      <c r="E57" s="96" t="s">
        <v>114</v>
      </c>
      <c r="F57" s="97" t="s">
        <v>270</v>
      </c>
      <c r="G57" s="98">
        <f t="shared" si="18"/>
        <v>13950</v>
      </c>
      <c r="H57" s="99">
        <f t="shared" si="19"/>
        <v>15350</v>
      </c>
      <c r="I57" s="99">
        <f t="shared" si="20"/>
        <v>15350</v>
      </c>
      <c r="J57" s="99">
        <f t="shared" si="21"/>
        <v>19070</v>
      </c>
      <c r="K57" s="57"/>
      <c r="L57" s="156" t="s">
        <v>378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S57" s="101">
        <f t="shared" si="22"/>
        <v>12600</v>
      </c>
      <c r="T57" s="54">
        <f t="shared" si="23"/>
        <v>14000</v>
      </c>
      <c r="U57" s="103">
        <f t="shared" si="5"/>
        <v>14000</v>
      </c>
      <c r="V57" s="104">
        <f t="shared" si="24"/>
        <v>17724</v>
      </c>
      <c r="X57" s="40">
        <v>0</v>
      </c>
    </row>
    <row r="58" spans="1:29" s="40" customFormat="1" ht="18.75" x14ac:dyDescent="0.25">
      <c r="A58" s="133" t="s">
        <v>60</v>
      </c>
      <c r="B58" s="51" t="s">
        <v>344</v>
      </c>
      <c r="C58" s="94" t="s">
        <v>54</v>
      </c>
      <c r="D58" s="95" t="s">
        <v>308</v>
      </c>
      <c r="E58" s="96" t="s">
        <v>114</v>
      </c>
      <c r="F58" s="97" t="s">
        <v>270</v>
      </c>
      <c r="G58" s="98">
        <f t="shared" si="18"/>
        <v>14400</v>
      </c>
      <c r="H58" s="99">
        <f t="shared" si="19"/>
        <v>15850</v>
      </c>
      <c r="I58" s="99">
        <f t="shared" si="20"/>
        <v>15850</v>
      </c>
      <c r="J58" s="99">
        <f t="shared" si="21"/>
        <v>19710</v>
      </c>
      <c r="K58" s="57"/>
      <c r="L58" s="156" t="s">
        <v>378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S58" s="101">
        <f t="shared" si="22"/>
        <v>13050</v>
      </c>
      <c r="T58" s="54">
        <f t="shared" si="23"/>
        <v>14500</v>
      </c>
      <c r="U58" s="103">
        <f t="shared" si="5"/>
        <v>14500</v>
      </c>
      <c r="V58" s="104">
        <f t="shared" si="24"/>
        <v>18357</v>
      </c>
      <c r="X58" s="40">
        <v>0</v>
      </c>
    </row>
    <row r="59" spans="1:29" s="40" customFormat="1" ht="14.45" customHeight="1" x14ac:dyDescent="0.25">
      <c r="A59" s="133" t="s">
        <v>61</v>
      </c>
      <c r="B59" s="51" t="s">
        <v>344</v>
      </c>
      <c r="C59" s="94" t="s">
        <v>54</v>
      </c>
      <c r="D59" s="95" t="s">
        <v>308</v>
      </c>
      <c r="E59" s="96" t="s">
        <v>114</v>
      </c>
      <c r="F59" s="97" t="s">
        <v>270</v>
      </c>
      <c r="G59" s="98">
        <f t="shared" si="18"/>
        <v>12150</v>
      </c>
      <c r="H59" s="99">
        <f t="shared" si="19"/>
        <v>13350</v>
      </c>
      <c r="I59" s="99">
        <f t="shared" si="20"/>
        <v>13350</v>
      </c>
      <c r="J59" s="99">
        <f t="shared" si="21"/>
        <v>16540</v>
      </c>
      <c r="K59" s="57"/>
      <c r="L59" s="156" t="s">
        <v>378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S59" s="101">
        <f t="shared" si="22"/>
        <v>10800</v>
      </c>
      <c r="T59" s="54">
        <f t="shared" si="23"/>
        <v>12000</v>
      </c>
      <c r="U59" s="103">
        <f t="shared" si="5"/>
        <v>12000</v>
      </c>
      <c r="V59" s="104">
        <f t="shared" si="24"/>
        <v>15192</v>
      </c>
      <c r="X59" s="40">
        <v>0</v>
      </c>
    </row>
    <row r="60" spans="1:29" s="40" customFormat="1" ht="18.75" x14ac:dyDescent="0.25">
      <c r="A60" s="133" t="s">
        <v>273</v>
      </c>
      <c r="B60" s="51" t="s">
        <v>344</v>
      </c>
      <c r="C60" s="94" t="s">
        <v>54</v>
      </c>
      <c r="D60" s="95" t="s">
        <v>308</v>
      </c>
      <c r="E60" s="96" t="s">
        <v>114</v>
      </c>
      <c r="F60" s="97" t="s">
        <v>270</v>
      </c>
      <c r="G60" s="98">
        <f t="shared" si="18"/>
        <v>16200</v>
      </c>
      <c r="H60" s="99">
        <f t="shared" si="19"/>
        <v>17850</v>
      </c>
      <c r="I60" s="99">
        <f t="shared" si="20"/>
        <v>17850</v>
      </c>
      <c r="J60" s="99">
        <f t="shared" si="21"/>
        <v>22240</v>
      </c>
      <c r="K60" s="57"/>
      <c r="L60" s="156" t="s">
        <v>378</v>
      </c>
      <c r="M60" s="52" t="s">
        <v>294</v>
      </c>
      <c r="N60" s="40">
        <v>0</v>
      </c>
      <c r="O60" s="53">
        <f>VLOOKUP(B60,DRAYAGE!$A$1:$C$107,3,FALSE)</f>
        <v>1345</v>
      </c>
      <c r="P60" s="40" t="s">
        <v>301</v>
      </c>
      <c r="S60" s="101">
        <f t="shared" si="22"/>
        <v>14850</v>
      </c>
      <c r="T60" s="54">
        <f t="shared" si="23"/>
        <v>16500</v>
      </c>
      <c r="U60" s="103">
        <f t="shared" si="5"/>
        <v>16500</v>
      </c>
      <c r="V60" s="104">
        <f t="shared" si="24"/>
        <v>20889</v>
      </c>
      <c r="X60" s="40">
        <v>0</v>
      </c>
    </row>
    <row r="61" spans="1:29" s="40" customFormat="1" ht="14.45" customHeight="1" x14ac:dyDescent="0.25">
      <c r="A61" s="212" t="s">
        <v>271</v>
      </c>
      <c r="B61" s="212"/>
      <c r="C61" s="212"/>
      <c r="D61" s="212"/>
      <c r="E61" s="212"/>
      <c r="F61" s="212"/>
      <c r="G61" s="212"/>
      <c r="H61" s="212"/>
      <c r="I61" s="212"/>
      <c r="J61" s="212"/>
      <c r="K61" s="57"/>
      <c r="L61" s="100"/>
      <c r="M61" s="100"/>
      <c r="S61" s="101"/>
      <c r="T61" s="102"/>
      <c r="U61" s="103"/>
      <c r="V61" s="104"/>
    </row>
    <row r="62" spans="1:29" s="32" customFormat="1" ht="12.75" x14ac:dyDescent="0.2">
      <c r="A62" s="31"/>
      <c r="B62" s="33"/>
      <c r="C62" s="33"/>
      <c r="D62" s="33"/>
      <c r="E62" s="33"/>
      <c r="F62" s="34"/>
      <c r="G62" s="34"/>
      <c r="H62" s="34"/>
      <c r="I62" s="35"/>
      <c r="J62" s="29"/>
      <c r="K62" s="57"/>
      <c r="L62" s="27"/>
      <c r="M62" s="27"/>
      <c r="N62" s="30"/>
      <c r="O62" s="30"/>
      <c r="P62" s="30"/>
      <c r="Q62" s="30"/>
      <c r="R62" s="30"/>
      <c r="S62" s="28"/>
      <c r="T62" s="28"/>
      <c r="U62" s="28"/>
      <c r="V62" s="28"/>
      <c r="W62" s="28"/>
    </row>
    <row r="63" spans="1:29" s="37" customFormat="1" ht="14.45" customHeight="1" x14ac:dyDescent="0.25">
      <c r="A63" s="180" t="s">
        <v>111</v>
      </c>
      <c r="B63" s="180"/>
      <c r="C63" s="180"/>
      <c r="D63" s="180"/>
      <c r="E63" s="180"/>
      <c r="F63" s="180"/>
      <c r="G63" s="180"/>
      <c r="H63" s="180"/>
      <c r="I63" s="180"/>
      <c r="J63" s="180"/>
      <c r="K63" s="57"/>
    </row>
    <row r="64" spans="1:29" s="37" customFormat="1" ht="14.45" customHeight="1" x14ac:dyDescent="0.25">
      <c r="A64" s="208" t="s">
        <v>112</v>
      </c>
      <c r="B64" s="208"/>
      <c r="C64" s="208"/>
      <c r="D64" s="208"/>
      <c r="E64" s="208"/>
      <c r="F64" s="208"/>
      <c r="G64" s="208"/>
      <c r="H64" s="208"/>
      <c r="I64" s="208"/>
      <c r="J64" s="208"/>
      <c r="K64" s="57"/>
    </row>
    <row r="65" spans="1:17" s="37" customFormat="1" ht="14.45" customHeight="1" x14ac:dyDescent="0.25">
      <c r="A65" s="186" t="s">
        <v>67</v>
      </c>
      <c r="B65" s="186"/>
      <c r="C65" s="186"/>
      <c r="D65" s="186"/>
      <c r="E65" s="186" t="s">
        <v>68</v>
      </c>
      <c r="F65" s="186"/>
      <c r="G65" s="186"/>
      <c r="H65" s="186"/>
      <c r="I65" s="186"/>
      <c r="J65" s="186"/>
      <c r="K65" s="57"/>
      <c r="L65" s="209" t="s">
        <v>113</v>
      </c>
      <c r="M65" s="209"/>
      <c r="N65" s="209"/>
      <c r="O65" s="209"/>
      <c r="P65" s="209"/>
      <c r="Q65" s="209"/>
    </row>
    <row r="66" spans="1:17" s="37" customFormat="1" ht="14.45" customHeight="1" x14ac:dyDescent="0.25">
      <c r="A66" s="196" t="s">
        <v>69</v>
      </c>
      <c r="B66" s="196"/>
      <c r="C66" s="196"/>
      <c r="D66" s="196"/>
      <c r="E66" s="58" t="s">
        <v>114</v>
      </c>
      <c r="F66" s="196" t="s">
        <v>70</v>
      </c>
      <c r="G66" s="196"/>
      <c r="H66" s="196"/>
      <c r="I66" s="196"/>
      <c r="J66" s="196"/>
      <c r="K66" s="57"/>
      <c r="L66" s="197" t="s">
        <v>115</v>
      </c>
      <c r="M66" s="197"/>
      <c r="N66" s="197"/>
      <c r="O66" s="197"/>
      <c r="P66" s="197"/>
      <c r="Q66" s="197"/>
    </row>
    <row r="67" spans="1:17" s="37" customFormat="1" ht="14.45" customHeight="1" x14ac:dyDescent="0.25">
      <c r="A67" s="196" t="s">
        <v>71</v>
      </c>
      <c r="B67" s="196"/>
      <c r="C67" s="196"/>
      <c r="D67" s="201"/>
      <c r="E67" s="58" t="s">
        <v>114</v>
      </c>
      <c r="F67" s="196" t="s">
        <v>116</v>
      </c>
      <c r="G67" s="196"/>
      <c r="H67" s="196"/>
      <c r="I67" s="196"/>
      <c r="J67" s="196"/>
      <c r="K67" s="57"/>
      <c r="L67" s="197"/>
      <c r="M67" s="197"/>
      <c r="N67" s="197"/>
      <c r="O67" s="197"/>
      <c r="P67" s="197"/>
      <c r="Q67" s="197"/>
    </row>
    <row r="68" spans="1:17" s="37" customFormat="1" ht="18" customHeight="1" x14ac:dyDescent="0.25">
      <c r="A68" s="196" t="s">
        <v>117</v>
      </c>
      <c r="B68" s="196"/>
      <c r="C68" s="196"/>
      <c r="D68" s="201"/>
      <c r="E68" s="58" t="s">
        <v>114</v>
      </c>
      <c r="F68" s="196" t="s">
        <v>306</v>
      </c>
      <c r="G68" s="196"/>
      <c r="H68" s="196"/>
      <c r="I68" s="196"/>
      <c r="J68" s="196"/>
      <c r="K68" s="57"/>
      <c r="L68" s="59" t="s">
        <v>118</v>
      </c>
      <c r="M68" s="129"/>
      <c r="N68" s="129"/>
      <c r="O68" s="129"/>
      <c r="P68" s="129"/>
      <c r="Q68" s="129"/>
    </row>
    <row r="69" spans="1:17" s="37" customFormat="1" ht="32.65" customHeight="1" x14ac:dyDescent="0.25">
      <c r="A69" s="234" t="s">
        <v>382</v>
      </c>
      <c r="B69" s="234"/>
      <c r="C69" s="234"/>
      <c r="D69" s="235"/>
      <c r="E69" s="131" t="s">
        <v>114</v>
      </c>
      <c r="F69" s="185" t="s">
        <v>381</v>
      </c>
      <c r="G69" s="185"/>
      <c r="H69" s="185"/>
      <c r="I69" s="185"/>
      <c r="J69" s="185"/>
      <c r="K69" s="57"/>
      <c r="L69" s="59" t="s">
        <v>118</v>
      </c>
      <c r="M69" s="129"/>
      <c r="N69" s="129"/>
      <c r="O69" s="129"/>
      <c r="P69" s="129"/>
      <c r="Q69" s="129"/>
    </row>
    <row r="70" spans="1:17" s="37" customFormat="1" ht="36.950000000000003" customHeight="1" x14ac:dyDescent="0.25">
      <c r="A70" s="196" t="s">
        <v>367</v>
      </c>
      <c r="B70" s="196"/>
      <c r="C70" s="196"/>
      <c r="D70" s="201"/>
      <c r="E70" s="58" t="s">
        <v>114</v>
      </c>
      <c r="F70" s="185" t="s">
        <v>368</v>
      </c>
      <c r="G70" s="185"/>
      <c r="H70" s="185"/>
      <c r="I70" s="185"/>
      <c r="J70" s="185"/>
      <c r="K70" s="57"/>
      <c r="L70" s="59" t="s">
        <v>118</v>
      </c>
      <c r="M70" s="129"/>
      <c r="N70" s="129"/>
      <c r="O70" s="129"/>
      <c r="P70" s="129"/>
      <c r="Q70" s="129"/>
    </row>
    <row r="71" spans="1:17" s="37" customFormat="1" ht="40.5" customHeight="1" x14ac:dyDescent="0.25">
      <c r="A71" s="229" t="s">
        <v>309</v>
      </c>
      <c r="B71" s="229"/>
      <c r="C71" s="229"/>
      <c r="D71" s="198"/>
      <c r="E71" s="131" t="s">
        <v>114</v>
      </c>
      <c r="F71" s="229" t="s">
        <v>310</v>
      </c>
      <c r="G71" s="229"/>
      <c r="H71" s="229"/>
      <c r="I71" s="229"/>
      <c r="J71" s="229"/>
      <c r="K71" s="132"/>
      <c r="L71" s="59" t="s">
        <v>118</v>
      </c>
      <c r="M71" s="129"/>
      <c r="N71" s="129"/>
      <c r="O71" s="129"/>
      <c r="P71" s="129"/>
      <c r="Q71" s="129"/>
    </row>
    <row r="72" spans="1:17" s="37" customFormat="1" ht="14.45" customHeight="1" x14ac:dyDescent="0.25">
      <c r="A72" s="196" t="s">
        <v>119</v>
      </c>
      <c r="B72" s="196"/>
      <c r="C72" s="196"/>
      <c r="D72" s="196"/>
      <c r="E72" s="58" t="s">
        <v>114</v>
      </c>
      <c r="F72" s="196" t="s">
        <v>120</v>
      </c>
      <c r="G72" s="196"/>
      <c r="H72" s="196"/>
      <c r="I72" s="196"/>
      <c r="J72" s="196"/>
      <c r="K72" s="132"/>
      <c r="L72" s="197" t="s">
        <v>121</v>
      </c>
      <c r="M72" s="197"/>
      <c r="N72" s="197"/>
      <c r="O72" s="197"/>
      <c r="P72" s="197"/>
      <c r="Q72" s="197"/>
    </row>
    <row r="73" spans="1:17" s="37" customFormat="1" ht="14.45" customHeight="1" x14ac:dyDescent="0.25">
      <c r="A73" s="196" t="s">
        <v>122</v>
      </c>
      <c r="B73" s="196"/>
      <c r="C73" s="196"/>
      <c r="D73" s="196"/>
      <c r="E73" s="58" t="s">
        <v>114</v>
      </c>
      <c r="F73" s="196" t="s">
        <v>123</v>
      </c>
      <c r="G73" s="196"/>
      <c r="H73" s="196"/>
      <c r="I73" s="196"/>
      <c r="J73" s="196"/>
      <c r="K73" s="132"/>
      <c r="L73" s="197"/>
      <c r="M73" s="197"/>
      <c r="N73" s="197"/>
      <c r="O73" s="197"/>
      <c r="P73" s="197"/>
      <c r="Q73" s="197"/>
    </row>
    <row r="74" spans="1:17" s="37" customFormat="1" ht="14.45" customHeight="1" x14ac:dyDescent="0.25">
      <c r="A74" s="196" t="s">
        <v>277</v>
      </c>
      <c r="B74" s="196"/>
      <c r="C74" s="196"/>
      <c r="D74" s="196"/>
      <c r="E74" s="58" t="s">
        <v>114</v>
      </c>
      <c r="F74" s="196" t="s">
        <v>278</v>
      </c>
      <c r="G74" s="196"/>
      <c r="H74" s="196"/>
      <c r="I74" s="196"/>
      <c r="J74" s="196"/>
      <c r="K74" s="132"/>
      <c r="L74" s="197"/>
      <c r="M74" s="197"/>
      <c r="N74" s="197"/>
      <c r="O74" s="197"/>
      <c r="P74" s="197"/>
      <c r="Q74" s="197"/>
    </row>
    <row r="75" spans="1:17" s="37" customFormat="1" ht="14.45" customHeight="1" x14ac:dyDescent="0.25">
      <c r="A75" s="196" t="s">
        <v>124</v>
      </c>
      <c r="B75" s="196"/>
      <c r="C75" s="196"/>
      <c r="D75" s="196"/>
      <c r="E75" s="58" t="s">
        <v>114</v>
      </c>
      <c r="F75" s="196" t="s">
        <v>125</v>
      </c>
      <c r="G75" s="196"/>
      <c r="H75" s="196"/>
      <c r="I75" s="196"/>
      <c r="J75" s="196"/>
      <c r="K75" s="132"/>
      <c r="L75" s="197"/>
      <c r="M75" s="197"/>
      <c r="N75" s="197"/>
      <c r="O75" s="197"/>
      <c r="P75" s="197"/>
      <c r="Q75" s="197"/>
    </row>
    <row r="76" spans="1:17" s="37" customFormat="1" ht="18.95" customHeight="1" x14ac:dyDescent="0.25">
      <c r="A76" s="196" t="s">
        <v>126</v>
      </c>
      <c r="B76" s="196"/>
      <c r="C76" s="196"/>
      <c r="D76" s="201"/>
      <c r="E76" s="58" t="s">
        <v>127</v>
      </c>
      <c r="F76" s="128" t="s">
        <v>128</v>
      </c>
      <c r="G76" s="185" t="s">
        <v>375</v>
      </c>
      <c r="H76" s="185"/>
      <c r="I76" s="185"/>
      <c r="J76" s="185"/>
      <c r="K76" s="132"/>
      <c r="L76" s="197" t="s">
        <v>130</v>
      </c>
      <c r="M76" s="197"/>
      <c r="N76" s="197"/>
      <c r="O76" s="197"/>
      <c r="P76" s="197"/>
      <c r="Q76" s="197"/>
    </row>
    <row r="77" spans="1:17" s="37" customFormat="1" ht="24.95" customHeight="1" x14ac:dyDescent="0.25">
      <c r="A77" s="196" t="s">
        <v>126</v>
      </c>
      <c r="B77" s="196"/>
      <c r="C77" s="196"/>
      <c r="D77" s="196"/>
      <c r="E77" s="58" t="s">
        <v>127</v>
      </c>
      <c r="F77" s="128" t="s">
        <v>131</v>
      </c>
      <c r="G77" s="185" t="s">
        <v>374</v>
      </c>
      <c r="H77" s="185"/>
      <c r="I77" s="185"/>
      <c r="J77" s="185"/>
      <c r="K77" s="132"/>
      <c r="L77" s="197" t="s">
        <v>130</v>
      </c>
      <c r="M77" s="197"/>
      <c r="N77" s="197"/>
      <c r="O77" s="197"/>
      <c r="P77" s="197"/>
      <c r="Q77" s="197"/>
    </row>
    <row r="78" spans="1:17" s="37" customFormat="1" ht="24.95" customHeight="1" x14ac:dyDescent="0.25">
      <c r="A78" s="231" t="s">
        <v>372</v>
      </c>
      <c r="B78" s="231"/>
      <c r="C78" s="231"/>
      <c r="D78" s="231"/>
      <c r="E78" s="145" t="s">
        <v>127</v>
      </c>
      <c r="F78" s="150" t="s">
        <v>131</v>
      </c>
      <c r="G78" s="233" t="s">
        <v>373</v>
      </c>
      <c r="H78" s="233"/>
      <c r="I78" s="233"/>
      <c r="J78" s="233"/>
      <c r="K78" s="132"/>
      <c r="L78" s="197" t="s">
        <v>130</v>
      </c>
      <c r="M78" s="197"/>
      <c r="N78" s="197"/>
      <c r="O78" s="197"/>
      <c r="P78" s="197"/>
      <c r="Q78" s="197"/>
    </row>
    <row r="79" spans="1:17" s="37" customFormat="1" ht="37.5" customHeight="1" x14ac:dyDescent="0.25">
      <c r="A79" s="198" t="s">
        <v>311</v>
      </c>
      <c r="B79" s="199"/>
      <c r="C79" s="199"/>
      <c r="D79" s="200"/>
      <c r="E79" s="198" t="s">
        <v>312</v>
      </c>
      <c r="F79" s="199"/>
      <c r="G79" s="199"/>
      <c r="H79" s="199"/>
      <c r="I79" s="199"/>
      <c r="J79" s="200"/>
      <c r="K79" s="132"/>
      <c r="L79" s="197"/>
      <c r="M79" s="197"/>
      <c r="N79" s="197"/>
      <c r="O79" s="197"/>
      <c r="P79" s="197"/>
      <c r="Q79" s="197"/>
    </row>
    <row r="80" spans="1:17" s="37" customFormat="1" ht="14.45" customHeight="1" x14ac:dyDescent="0.25">
      <c r="A80" s="180" t="s">
        <v>133</v>
      </c>
      <c r="B80" s="180"/>
      <c r="C80" s="180"/>
      <c r="D80" s="180"/>
      <c r="E80" s="180"/>
      <c r="F80" s="180"/>
      <c r="G80" s="180"/>
      <c r="H80" s="180"/>
      <c r="I80" s="180"/>
      <c r="J80" s="180"/>
      <c r="K80" s="57"/>
      <c r="L80" s="129"/>
      <c r="M80" s="129"/>
    </row>
    <row r="81" spans="1:13" s="37" customFormat="1" ht="14.45" customHeight="1" x14ac:dyDescent="0.2">
      <c r="A81" s="60" t="s">
        <v>134</v>
      </c>
      <c r="B81" s="60" t="s">
        <v>135</v>
      </c>
      <c r="C81" s="60" t="s">
        <v>136</v>
      </c>
      <c r="D81" s="193" t="s">
        <v>137</v>
      </c>
      <c r="E81" s="194"/>
      <c r="F81" s="195"/>
      <c r="G81" s="61" t="s">
        <v>138</v>
      </c>
      <c r="H81" s="60" t="s">
        <v>139</v>
      </c>
      <c r="I81" s="61" t="s">
        <v>140</v>
      </c>
      <c r="J81" s="61" t="s">
        <v>141</v>
      </c>
      <c r="K81" s="57"/>
      <c r="L81" s="129"/>
      <c r="M81" s="129"/>
    </row>
    <row r="82" spans="1:13" s="37" customFormat="1" ht="14.45" customHeight="1" x14ac:dyDescent="0.2">
      <c r="A82" s="62" t="s">
        <v>142</v>
      </c>
      <c r="B82" s="62" t="s">
        <v>49</v>
      </c>
      <c r="C82" s="62" t="s">
        <v>143</v>
      </c>
      <c r="D82" s="187" t="s">
        <v>144</v>
      </c>
      <c r="E82" s="188"/>
      <c r="F82" s="189"/>
      <c r="G82" s="63">
        <v>50</v>
      </c>
      <c r="H82" s="62" t="s">
        <v>145</v>
      </c>
      <c r="I82" s="63">
        <v>150</v>
      </c>
      <c r="J82" s="63" t="s">
        <v>110</v>
      </c>
      <c r="K82" s="57"/>
      <c r="L82" s="129"/>
      <c r="M82" s="129"/>
    </row>
    <row r="83" spans="1:13" s="37" customFormat="1" ht="14.45" customHeight="1" x14ac:dyDescent="0.2">
      <c r="A83" s="62" t="s">
        <v>142</v>
      </c>
      <c r="B83" s="62" t="s">
        <v>146</v>
      </c>
      <c r="C83" s="62" t="s">
        <v>147</v>
      </c>
      <c r="D83" s="187" t="s">
        <v>148</v>
      </c>
      <c r="E83" s="188"/>
      <c r="F83" s="189"/>
      <c r="G83" s="63">
        <v>3</v>
      </c>
      <c r="H83" s="62" t="s">
        <v>149</v>
      </c>
      <c r="I83" s="63">
        <v>3</v>
      </c>
      <c r="J83" s="63" t="s">
        <v>110</v>
      </c>
      <c r="K83" s="57"/>
      <c r="L83" s="129"/>
      <c r="M83" s="129"/>
    </row>
    <row r="84" spans="1:13" s="37" customFormat="1" ht="14.45" customHeight="1" x14ac:dyDescent="0.2">
      <c r="A84" s="62" t="s">
        <v>150</v>
      </c>
      <c r="B84" s="62" t="s">
        <v>146</v>
      </c>
      <c r="C84" s="62" t="s">
        <v>147</v>
      </c>
      <c r="D84" s="187" t="s">
        <v>151</v>
      </c>
      <c r="E84" s="188"/>
      <c r="F84" s="189"/>
      <c r="G84" s="63">
        <v>3</v>
      </c>
      <c r="H84" s="62" t="s">
        <v>152</v>
      </c>
      <c r="I84" s="63">
        <v>3</v>
      </c>
      <c r="J84" s="63" t="s">
        <v>110</v>
      </c>
      <c r="K84" s="57"/>
      <c r="L84" s="129"/>
      <c r="M84" s="129"/>
    </row>
    <row r="85" spans="1:13" s="37" customFormat="1" ht="14.45" customHeight="1" x14ac:dyDescent="0.2">
      <c r="A85" s="62" t="s">
        <v>173</v>
      </c>
      <c r="B85" s="62" t="s">
        <v>49</v>
      </c>
      <c r="C85" s="62" t="s">
        <v>143</v>
      </c>
      <c r="D85" s="187" t="s">
        <v>313</v>
      </c>
      <c r="E85" s="188"/>
      <c r="F85" s="189"/>
      <c r="G85" s="66">
        <v>75</v>
      </c>
      <c r="H85" s="62" t="s">
        <v>145</v>
      </c>
      <c r="I85" s="66">
        <f>75*3</f>
        <v>225</v>
      </c>
      <c r="J85" s="66" t="s">
        <v>314</v>
      </c>
      <c r="K85" s="132"/>
      <c r="L85" s="129"/>
      <c r="M85" s="129"/>
    </row>
    <row r="86" spans="1:13" s="37" customFormat="1" ht="14.45" customHeight="1" x14ac:dyDescent="0.2">
      <c r="A86" s="62" t="s">
        <v>142</v>
      </c>
      <c r="B86" s="62" t="s">
        <v>49</v>
      </c>
      <c r="C86" s="62" t="s">
        <v>143</v>
      </c>
      <c r="D86" s="187" t="s">
        <v>279</v>
      </c>
      <c r="E86" s="188"/>
      <c r="F86" s="189"/>
      <c r="G86" s="63">
        <v>150</v>
      </c>
      <c r="H86" s="62" t="s">
        <v>280</v>
      </c>
      <c r="I86" s="63" t="s">
        <v>153</v>
      </c>
      <c r="J86" s="63" t="s">
        <v>110</v>
      </c>
      <c r="K86" s="57"/>
      <c r="L86" s="129"/>
      <c r="M86" s="129"/>
    </row>
    <row r="87" spans="1:13" s="37" customFormat="1" ht="14.45" customHeight="1" x14ac:dyDescent="0.2">
      <c r="A87" s="62" t="s">
        <v>154</v>
      </c>
      <c r="B87" s="62" t="s">
        <v>49</v>
      </c>
      <c r="C87" s="62" t="s">
        <v>143</v>
      </c>
      <c r="D87" s="187" t="s">
        <v>155</v>
      </c>
      <c r="E87" s="188"/>
      <c r="F87" s="189"/>
      <c r="G87" s="63">
        <v>250</v>
      </c>
      <c r="H87" s="62" t="s">
        <v>49</v>
      </c>
      <c r="I87" s="63" t="s">
        <v>153</v>
      </c>
      <c r="J87" s="63" t="s">
        <v>110</v>
      </c>
      <c r="K87" s="57"/>
      <c r="L87" s="129"/>
      <c r="M87" s="129"/>
    </row>
    <row r="88" spans="1:13" s="37" customFormat="1" ht="14.45" customHeight="1" x14ac:dyDescent="0.2">
      <c r="A88" s="65" t="s">
        <v>156</v>
      </c>
      <c r="B88" s="65" t="s">
        <v>49</v>
      </c>
      <c r="C88" s="65" t="s">
        <v>143</v>
      </c>
      <c r="D88" s="187" t="s">
        <v>157</v>
      </c>
      <c r="E88" s="188"/>
      <c r="F88" s="189"/>
      <c r="G88" s="63">
        <v>250</v>
      </c>
      <c r="H88" s="62" t="s">
        <v>49</v>
      </c>
      <c r="I88" s="63" t="s">
        <v>153</v>
      </c>
      <c r="J88" s="63" t="s">
        <v>110</v>
      </c>
      <c r="K88" s="57"/>
      <c r="L88" s="129"/>
      <c r="M88" s="129"/>
    </row>
    <row r="89" spans="1:13" s="37" customFormat="1" ht="14.45" customHeight="1" x14ac:dyDescent="0.2">
      <c r="A89" s="62" t="s">
        <v>142</v>
      </c>
      <c r="B89" s="62" t="s">
        <v>49</v>
      </c>
      <c r="C89" s="62" t="s">
        <v>143</v>
      </c>
      <c r="D89" s="187" t="s">
        <v>281</v>
      </c>
      <c r="E89" s="188"/>
      <c r="F89" s="189"/>
      <c r="G89" s="63">
        <v>200</v>
      </c>
      <c r="H89" s="62" t="s">
        <v>280</v>
      </c>
      <c r="I89" s="63" t="s">
        <v>153</v>
      </c>
      <c r="J89" s="63" t="s">
        <v>110</v>
      </c>
      <c r="K89" s="57"/>
      <c r="L89" s="129"/>
      <c r="M89" s="129"/>
    </row>
    <row r="90" spans="1:13" s="37" customFormat="1" ht="14.45" customHeight="1" x14ac:dyDescent="0.2">
      <c r="A90" s="62" t="s">
        <v>142</v>
      </c>
      <c r="B90" s="62" t="s">
        <v>49</v>
      </c>
      <c r="C90" s="62" t="s">
        <v>143</v>
      </c>
      <c r="D90" s="187" t="s">
        <v>158</v>
      </c>
      <c r="E90" s="188"/>
      <c r="F90" s="189"/>
      <c r="G90" s="66">
        <v>150</v>
      </c>
      <c r="H90" s="62" t="s">
        <v>49</v>
      </c>
      <c r="I90" s="66" t="s">
        <v>153</v>
      </c>
      <c r="J90" s="63" t="s">
        <v>110</v>
      </c>
      <c r="K90" s="57"/>
      <c r="L90" s="129"/>
      <c r="M90" s="129"/>
    </row>
    <row r="91" spans="1:13" s="37" customFormat="1" ht="14.45" customHeight="1" x14ac:dyDescent="0.2">
      <c r="A91" s="62" t="s">
        <v>150</v>
      </c>
      <c r="B91" s="67" t="s">
        <v>49</v>
      </c>
      <c r="C91" s="62" t="s">
        <v>143</v>
      </c>
      <c r="D91" s="187" t="s">
        <v>159</v>
      </c>
      <c r="E91" s="188"/>
      <c r="F91" s="189"/>
      <c r="G91" s="68">
        <v>180</v>
      </c>
      <c r="H91" s="67" t="s">
        <v>49</v>
      </c>
      <c r="I91" s="68" t="s">
        <v>153</v>
      </c>
      <c r="J91" s="63" t="s">
        <v>110</v>
      </c>
      <c r="K91" s="57"/>
      <c r="L91" s="129"/>
      <c r="M91" s="129"/>
    </row>
    <row r="92" spans="1:13" s="37" customFormat="1" ht="14.45" customHeight="1" x14ac:dyDescent="0.2">
      <c r="A92" s="62" t="s">
        <v>160</v>
      </c>
      <c r="B92" s="67" t="s">
        <v>49</v>
      </c>
      <c r="C92" s="62" t="s">
        <v>143</v>
      </c>
      <c r="D92" s="187" t="s">
        <v>161</v>
      </c>
      <c r="E92" s="188"/>
      <c r="F92" s="189"/>
      <c r="G92" s="69">
        <v>47.9</v>
      </c>
      <c r="H92" s="67" t="s">
        <v>24</v>
      </c>
      <c r="I92" s="69">
        <v>47.9</v>
      </c>
      <c r="J92" s="63" t="s">
        <v>110</v>
      </c>
      <c r="K92" s="57"/>
      <c r="L92" s="129"/>
      <c r="M92" s="129"/>
    </row>
    <row r="93" spans="1:13" s="37" customFormat="1" ht="14.45" customHeight="1" x14ac:dyDescent="0.2">
      <c r="A93" s="62" t="s">
        <v>160</v>
      </c>
      <c r="B93" s="67" t="s">
        <v>49</v>
      </c>
      <c r="C93" s="62" t="s">
        <v>143</v>
      </c>
      <c r="D93" s="187" t="s">
        <v>161</v>
      </c>
      <c r="E93" s="188"/>
      <c r="F93" s="189"/>
      <c r="G93" s="69">
        <v>65.400000000000006</v>
      </c>
      <c r="H93" s="67" t="s">
        <v>162</v>
      </c>
      <c r="I93" s="69">
        <v>65.400000000000006</v>
      </c>
      <c r="J93" s="63" t="s">
        <v>110</v>
      </c>
      <c r="K93" s="57"/>
      <c r="L93" s="129"/>
      <c r="M93" s="129"/>
    </row>
    <row r="94" spans="1:13" s="37" customFormat="1" ht="14.1" customHeight="1" x14ac:dyDescent="0.2">
      <c r="A94" s="62" t="s">
        <v>163</v>
      </c>
      <c r="B94" s="67" t="s">
        <v>49</v>
      </c>
      <c r="C94" s="62" t="s">
        <v>143</v>
      </c>
      <c r="D94" s="187" t="s">
        <v>164</v>
      </c>
      <c r="E94" s="188"/>
      <c r="F94" s="189"/>
      <c r="G94" s="69">
        <v>48</v>
      </c>
      <c r="H94" s="67" t="s">
        <v>49</v>
      </c>
      <c r="I94" s="69">
        <v>48</v>
      </c>
      <c r="J94" s="63" t="s">
        <v>110</v>
      </c>
      <c r="K94" s="57"/>
      <c r="L94" s="129"/>
      <c r="M94" s="129"/>
    </row>
    <row r="95" spans="1:13" s="37" customFormat="1" ht="14.45" customHeight="1" x14ac:dyDescent="0.2">
      <c r="A95" s="62" t="s">
        <v>163</v>
      </c>
      <c r="B95" s="67" t="s">
        <v>49</v>
      </c>
      <c r="C95" s="62" t="s">
        <v>143</v>
      </c>
      <c r="D95" s="187" t="s">
        <v>165</v>
      </c>
      <c r="E95" s="188"/>
      <c r="F95" s="189"/>
      <c r="G95" s="69">
        <v>18</v>
      </c>
      <c r="H95" s="67" t="s">
        <v>49</v>
      </c>
      <c r="I95" s="69">
        <v>18</v>
      </c>
      <c r="J95" s="63" t="s">
        <v>110</v>
      </c>
      <c r="K95" s="57"/>
      <c r="L95" s="129"/>
      <c r="M95" s="129"/>
    </row>
    <row r="96" spans="1:13" s="37" customFormat="1" ht="14.45" customHeight="1" x14ac:dyDescent="0.2">
      <c r="A96" s="62" t="s">
        <v>163</v>
      </c>
      <c r="B96" s="67" t="s">
        <v>49</v>
      </c>
      <c r="C96" s="62" t="s">
        <v>143</v>
      </c>
      <c r="D96" s="187" t="s">
        <v>166</v>
      </c>
      <c r="E96" s="188"/>
      <c r="F96" s="189"/>
      <c r="G96" s="69">
        <v>42</v>
      </c>
      <c r="H96" s="67" t="s">
        <v>49</v>
      </c>
      <c r="I96" s="69">
        <v>42</v>
      </c>
      <c r="J96" s="63" t="s">
        <v>110</v>
      </c>
      <c r="K96" s="57"/>
      <c r="L96" s="129"/>
      <c r="M96" s="129"/>
    </row>
    <row r="97" spans="1:13" s="37" customFormat="1" ht="14.45" customHeight="1" x14ac:dyDescent="0.2">
      <c r="A97" s="62" t="s">
        <v>167</v>
      </c>
      <c r="B97" s="62" t="s">
        <v>49</v>
      </c>
      <c r="C97" s="62" t="s">
        <v>143</v>
      </c>
      <c r="D97" s="187" t="s">
        <v>168</v>
      </c>
      <c r="E97" s="188"/>
      <c r="F97" s="189"/>
      <c r="G97" s="66">
        <v>54</v>
      </c>
      <c r="H97" s="62" t="s">
        <v>49</v>
      </c>
      <c r="I97" s="66">
        <v>54</v>
      </c>
      <c r="J97" s="63" t="s">
        <v>110</v>
      </c>
      <c r="K97" s="57"/>
      <c r="L97" s="129"/>
      <c r="M97" s="129"/>
    </row>
    <row r="98" spans="1:13" s="37" customFormat="1" ht="14.45" customHeight="1" x14ac:dyDescent="0.2">
      <c r="A98" s="67" t="s">
        <v>169</v>
      </c>
      <c r="B98" s="67" t="s">
        <v>49</v>
      </c>
      <c r="C98" s="67" t="s">
        <v>147</v>
      </c>
      <c r="D98" s="187" t="s">
        <v>170</v>
      </c>
      <c r="E98" s="188"/>
      <c r="F98" s="189"/>
      <c r="G98" s="70">
        <v>35</v>
      </c>
      <c r="H98" s="70" t="s">
        <v>280</v>
      </c>
      <c r="I98" s="70">
        <v>35</v>
      </c>
      <c r="J98" s="63" t="s">
        <v>110</v>
      </c>
      <c r="K98" s="57"/>
      <c r="L98" s="129"/>
      <c r="M98" s="129"/>
    </row>
    <row r="99" spans="1:13" s="37" customFormat="1" ht="14.45" customHeight="1" x14ac:dyDescent="0.2">
      <c r="A99" s="62" t="s">
        <v>142</v>
      </c>
      <c r="B99" s="62" t="s">
        <v>49</v>
      </c>
      <c r="C99" s="62" t="s">
        <v>143</v>
      </c>
      <c r="D99" s="187" t="s">
        <v>171</v>
      </c>
      <c r="E99" s="188"/>
      <c r="F99" s="189"/>
      <c r="G99" s="63">
        <v>85</v>
      </c>
      <c r="H99" s="62" t="s">
        <v>172</v>
      </c>
      <c r="I99" s="63" t="s">
        <v>153</v>
      </c>
      <c r="J99" s="63" t="s">
        <v>110</v>
      </c>
      <c r="K99" s="57"/>
      <c r="L99" s="129"/>
      <c r="M99" s="129"/>
    </row>
    <row r="100" spans="1:13" s="37" customFormat="1" ht="14.45" customHeight="1" x14ac:dyDescent="0.2">
      <c r="A100" s="62" t="s">
        <v>173</v>
      </c>
      <c r="B100" s="62" t="s">
        <v>146</v>
      </c>
      <c r="C100" s="62" t="s">
        <v>147</v>
      </c>
      <c r="D100" s="187" t="s">
        <v>174</v>
      </c>
      <c r="E100" s="188"/>
      <c r="F100" s="189"/>
      <c r="G100" s="63">
        <v>4</v>
      </c>
      <c r="H100" s="62" t="s">
        <v>149</v>
      </c>
      <c r="I100" s="63">
        <v>4</v>
      </c>
      <c r="J100" s="63" t="s">
        <v>110</v>
      </c>
      <c r="K100" s="57"/>
      <c r="L100" s="129"/>
      <c r="M100" s="129"/>
    </row>
    <row r="101" spans="1:13" s="37" customFormat="1" ht="24" customHeight="1" x14ac:dyDescent="0.2">
      <c r="A101" s="62" t="s">
        <v>173</v>
      </c>
      <c r="B101" s="62" t="s">
        <v>49</v>
      </c>
      <c r="C101" s="62" t="s">
        <v>143</v>
      </c>
      <c r="D101" s="187" t="s">
        <v>175</v>
      </c>
      <c r="E101" s="188"/>
      <c r="F101" s="189"/>
      <c r="G101" s="137" t="s">
        <v>348</v>
      </c>
      <c r="H101" s="62" t="s">
        <v>24</v>
      </c>
      <c r="I101" s="66" t="s">
        <v>153</v>
      </c>
      <c r="J101" s="63" t="s">
        <v>282</v>
      </c>
      <c r="K101" s="57"/>
      <c r="L101" s="129"/>
      <c r="M101" s="129"/>
    </row>
    <row r="102" spans="1:13" s="37" customFormat="1" ht="27" customHeight="1" x14ac:dyDescent="0.2">
      <c r="A102" s="62" t="s">
        <v>173</v>
      </c>
      <c r="B102" s="62" t="s">
        <v>49</v>
      </c>
      <c r="C102" s="62" t="s">
        <v>143</v>
      </c>
      <c r="D102" s="187" t="s">
        <v>176</v>
      </c>
      <c r="E102" s="188"/>
      <c r="F102" s="189"/>
      <c r="G102" s="137" t="s">
        <v>348</v>
      </c>
      <c r="H102" s="62" t="s">
        <v>162</v>
      </c>
      <c r="I102" s="66" t="s">
        <v>153</v>
      </c>
      <c r="J102" s="63" t="s">
        <v>282</v>
      </c>
      <c r="K102" s="57"/>
      <c r="L102" s="129"/>
      <c r="M102" s="129"/>
    </row>
    <row r="103" spans="1:13" s="152" customFormat="1" ht="52.35" customHeight="1" x14ac:dyDescent="0.2">
      <c r="A103" s="67" t="s">
        <v>142</v>
      </c>
      <c r="B103" s="67" t="s">
        <v>49</v>
      </c>
      <c r="C103" s="147" t="s">
        <v>362</v>
      </c>
      <c r="D103" s="190" t="s">
        <v>363</v>
      </c>
      <c r="E103" s="191"/>
      <c r="F103" s="192"/>
      <c r="G103" s="146" t="s">
        <v>371</v>
      </c>
      <c r="H103" s="148" t="s">
        <v>280</v>
      </c>
      <c r="I103" s="69" t="s">
        <v>153</v>
      </c>
      <c r="J103" s="149" t="s">
        <v>365</v>
      </c>
      <c r="K103" s="111"/>
      <c r="L103" s="151"/>
      <c r="M103" s="151"/>
    </row>
    <row r="104" spans="1:13" s="37" customFormat="1" ht="14.45" customHeight="1" x14ac:dyDescent="0.2">
      <c r="A104" s="62" t="s">
        <v>173</v>
      </c>
      <c r="B104" s="62" t="s">
        <v>146</v>
      </c>
      <c r="C104" s="62" t="s">
        <v>147</v>
      </c>
      <c r="D104" s="187" t="s">
        <v>177</v>
      </c>
      <c r="E104" s="188"/>
      <c r="F104" s="189"/>
      <c r="G104" s="63">
        <v>2</v>
      </c>
      <c r="H104" s="62" t="s">
        <v>149</v>
      </c>
      <c r="I104" s="63">
        <v>2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173</v>
      </c>
      <c r="B105" s="62" t="s">
        <v>146</v>
      </c>
      <c r="C105" s="62" t="s">
        <v>283</v>
      </c>
      <c r="D105" s="187" t="s">
        <v>284</v>
      </c>
      <c r="E105" s="188"/>
      <c r="F105" s="189"/>
      <c r="G105" s="63">
        <v>10</v>
      </c>
      <c r="H105" s="62" t="s">
        <v>285</v>
      </c>
      <c r="I105" s="63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142</v>
      </c>
      <c r="B106" s="62" t="s">
        <v>49</v>
      </c>
      <c r="C106" s="62" t="s">
        <v>143</v>
      </c>
      <c r="D106" s="187" t="s">
        <v>178</v>
      </c>
      <c r="E106" s="188"/>
      <c r="F106" s="189"/>
      <c r="G106" s="63">
        <v>50</v>
      </c>
      <c r="H106" s="62" t="s">
        <v>145</v>
      </c>
      <c r="I106" s="63" t="s">
        <v>153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173</v>
      </c>
      <c r="B107" s="62" t="s">
        <v>49</v>
      </c>
      <c r="C107" s="62" t="s">
        <v>143</v>
      </c>
      <c r="D107" s="187" t="s">
        <v>179</v>
      </c>
      <c r="E107" s="188"/>
      <c r="F107" s="189"/>
      <c r="G107" s="63">
        <v>175</v>
      </c>
      <c r="H107" s="62" t="s">
        <v>49</v>
      </c>
      <c r="I107" s="63" t="s">
        <v>153</v>
      </c>
      <c r="J107" s="63" t="s">
        <v>110</v>
      </c>
      <c r="K107" s="57"/>
      <c r="L107" s="129"/>
      <c r="M107" s="129"/>
    </row>
    <row r="108" spans="1:13" s="37" customFormat="1" ht="14.45" customHeight="1" x14ac:dyDescent="0.2">
      <c r="A108" s="62" t="s">
        <v>142</v>
      </c>
      <c r="B108" s="62" t="s">
        <v>49</v>
      </c>
      <c r="C108" s="62" t="s">
        <v>147</v>
      </c>
      <c r="D108" s="187" t="s">
        <v>180</v>
      </c>
      <c r="E108" s="188"/>
      <c r="F108" s="189"/>
      <c r="G108" s="63">
        <v>40</v>
      </c>
      <c r="H108" s="62" t="s">
        <v>181</v>
      </c>
      <c r="I108" s="63" t="s">
        <v>153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173</v>
      </c>
      <c r="B109" s="62" t="s">
        <v>146</v>
      </c>
      <c r="C109" s="62" t="s">
        <v>147</v>
      </c>
      <c r="D109" s="187" t="s">
        <v>182</v>
      </c>
      <c r="E109" s="188"/>
      <c r="F109" s="189"/>
      <c r="G109" s="63">
        <v>7.5</v>
      </c>
      <c r="H109" s="62" t="s">
        <v>152</v>
      </c>
      <c r="I109" s="63">
        <v>75</v>
      </c>
      <c r="J109" s="63" t="s">
        <v>110</v>
      </c>
      <c r="K109" s="57"/>
      <c r="L109" s="129"/>
      <c r="M109" s="129"/>
    </row>
    <row r="110" spans="1:13" s="37" customFormat="1" ht="14.45" customHeight="1" x14ac:dyDescent="0.2">
      <c r="A110" s="62" t="s">
        <v>142</v>
      </c>
      <c r="B110" s="62" t="s">
        <v>146</v>
      </c>
      <c r="C110" s="62" t="s">
        <v>147</v>
      </c>
      <c r="D110" s="187" t="s">
        <v>183</v>
      </c>
      <c r="E110" s="188"/>
      <c r="F110" s="189"/>
      <c r="G110" s="63">
        <v>20</v>
      </c>
      <c r="H110" s="62" t="s">
        <v>184</v>
      </c>
      <c r="I110" s="63" t="s">
        <v>153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142</v>
      </c>
      <c r="B111" s="62" t="s">
        <v>146</v>
      </c>
      <c r="C111" s="62" t="s">
        <v>147</v>
      </c>
      <c r="D111" s="187" t="s">
        <v>185</v>
      </c>
      <c r="E111" s="188"/>
      <c r="F111" s="189"/>
      <c r="G111" s="63">
        <v>25</v>
      </c>
      <c r="H111" s="62" t="s">
        <v>184</v>
      </c>
      <c r="I111" s="63" t="s">
        <v>153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142</v>
      </c>
      <c r="B112" s="62" t="s">
        <v>142</v>
      </c>
      <c r="C112" s="62" t="s">
        <v>147</v>
      </c>
      <c r="D112" s="187" t="s">
        <v>186</v>
      </c>
      <c r="E112" s="188"/>
      <c r="F112" s="189"/>
      <c r="G112" s="68">
        <v>75</v>
      </c>
      <c r="H112" s="62" t="s">
        <v>181</v>
      </c>
      <c r="I112" s="63" t="s">
        <v>153</v>
      </c>
      <c r="J112" s="63" t="s">
        <v>110</v>
      </c>
      <c r="K112" s="57"/>
      <c r="L112" s="129"/>
      <c r="M112" s="129"/>
    </row>
    <row r="113" spans="1:29" s="37" customFormat="1" ht="14.45" customHeight="1" x14ac:dyDescent="0.2">
      <c r="A113" s="62" t="s">
        <v>142</v>
      </c>
      <c r="B113" s="62" t="s">
        <v>142</v>
      </c>
      <c r="C113" s="62" t="s">
        <v>147</v>
      </c>
      <c r="D113" s="187" t="s">
        <v>187</v>
      </c>
      <c r="E113" s="188"/>
      <c r="F113" s="189"/>
      <c r="G113" s="63">
        <v>35</v>
      </c>
      <c r="H113" s="62" t="s">
        <v>181</v>
      </c>
      <c r="I113" s="63" t="s">
        <v>153</v>
      </c>
      <c r="J113" s="63" t="s">
        <v>110</v>
      </c>
      <c r="K113" s="57"/>
      <c r="L113" s="129"/>
      <c r="M113" s="129"/>
    </row>
    <row r="114" spans="1:29" s="37" customFormat="1" ht="14.45" customHeight="1" x14ac:dyDescent="0.2">
      <c r="A114" s="62" t="s">
        <v>142</v>
      </c>
      <c r="B114" s="62" t="s">
        <v>146</v>
      </c>
      <c r="C114" s="62" t="s">
        <v>143</v>
      </c>
      <c r="D114" s="187" t="s">
        <v>188</v>
      </c>
      <c r="E114" s="188"/>
      <c r="F114" s="189"/>
      <c r="G114" s="63">
        <v>100</v>
      </c>
      <c r="H114" s="62" t="s">
        <v>181</v>
      </c>
      <c r="I114" s="63" t="s">
        <v>153</v>
      </c>
      <c r="J114" s="63" t="s">
        <v>110</v>
      </c>
      <c r="K114" s="57"/>
      <c r="L114" s="129"/>
      <c r="M114" s="129"/>
    </row>
    <row r="115" spans="1:29" s="37" customFormat="1" ht="14.45" customHeight="1" x14ac:dyDescent="0.2">
      <c r="A115" s="62" t="s">
        <v>142</v>
      </c>
      <c r="B115" s="62" t="s">
        <v>146</v>
      </c>
      <c r="C115" s="62" t="s">
        <v>143</v>
      </c>
      <c r="D115" s="187" t="s">
        <v>189</v>
      </c>
      <c r="E115" s="188"/>
      <c r="F115" s="189"/>
      <c r="G115" s="63">
        <v>100</v>
      </c>
      <c r="H115" s="62" t="s">
        <v>190</v>
      </c>
      <c r="I115" s="63" t="s">
        <v>153</v>
      </c>
      <c r="J115" s="63" t="s">
        <v>110</v>
      </c>
      <c r="K115" s="57"/>
      <c r="O115" s="38"/>
      <c r="P115" s="38"/>
    </row>
    <row r="116" spans="1:29" s="37" customFormat="1" ht="14.45" customHeight="1" x14ac:dyDescent="0.2">
      <c r="A116" s="62" t="s">
        <v>142</v>
      </c>
      <c r="B116" s="62" t="s">
        <v>146</v>
      </c>
      <c r="C116" s="62" t="s">
        <v>143</v>
      </c>
      <c r="D116" s="187" t="s">
        <v>191</v>
      </c>
      <c r="E116" s="188"/>
      <c r="F116" s="189"/>
      <c r="G116" s="63">
        <v>100</v>
      </c>
      <c r="H116" s="62" t="s">
        <v>181</v>
      </c>
      <c r="I116" s="63" t="s">
        <v>153</v>
      </c>
      <c r="J116" s="63" t="s">
        <v>110</v>
      </c>
      <c r="K116" s="57"/>
      <c r="O116" s="39"/>
      <c r="P116" s="39"/>
    </row>
    <row r="117" spans="1:29" s="37" customFormat="1" ht="14.45" customHeight="1" x14ac:dyDescent="0.2">
      <c r="A117" s="62" t="s">
        <v>173</v>
      </c>
      <c r="B117" s="62" t="s">
        <v>146</v>
      </c>
      <c r="C117" s="62" t="s">
        <v>143</v>
      </c>
      <c r="D117" s="187" t="s">
        <v>189</v>
      </c>
      <c r="E117" s="188"/>
      <c r="F117" s="189"/>
      <c r="G117" s="63">
        <v>50</v>
      </c>
      <c r="H117" s="62" t="s">
        <v>192</v>
      </c>
      <c r="I117" s="63" t="s">
        <v>153</v>
      </c>
      <c r="J117" s="63" t="s">
        <v>110</v>
      </c>
      <c r="K117" s="57"/>
      <c r="O117" s="39"/>
      <c r="P117" s="39"/>
    </row>
    <row r="118" spans="1:29" s="37" customFormat="1" ht="14.45" customHeight="1" x14ac:dyDescent="0.2">
      <c r="A118" s="62" t="s">
        <v>173</v>
      </c>
      <c r="B118" s="62" t="s">
        <v>146</v>
      </c>
      <c r="C118" s="62" t="s">
        <v>143</v>
      </c>
      <c r="D118" s="187" t="s">
        <v>191</v>
      </c>
      <c r="E118" s="188"/>
      <c r="F118" s="189"/>
      <c r="G118" s="63">
        <v>50</v>
      </c>
      <c r="H118" s="62" t="s">
        <v>181</v>
      </c>
      <c r="I118" s="63" t="s">
        <v>153</v>
      </c>
      <c r="J118" s="63" t="s">
        <v>110</v>
      </c>
      <c r="K118" s="57"/>
      <c r="O118" s="38"/>
      <c r="P118" s="38"/>
    </row>
    <row r="119" spans="1:29" s="37" customFormat="1" ht="14.45" customHeight="1" x14ac:dyDescent="0.25">
      <c r="A119" s="62" t="s">
        <v>142</v>
      </c>
      <c r="B119" s="62" t="s">
        <v>146</v>
      </c>
      <c r="C119" s="62" t="s">
        <v>143</v>
      </c>
      <c r="D119" s="187" t="s">
        <v>193</v>
      </c>
      <c r="E119" s="188"/>
      <c r="F119" s="189"/>
      <c r="G119" s="63">
        <v>85</v>
      </c>
      <c r="H119" s="62" t="s">
        <v>194</v>
      </c>
      <c r="I119" s="63" t="s">
        <v>153</v>
      </c>
      <c r="J119" s="63" t="s">
        <v>110</v>
      </c>
      <c r="K119" s="57"/>
      <c r="O119" s="36"/>
      <c r="P119" s="36"/>
    </row>
    <row r="120" spans="1:29" s="37" customFormat="1" ht="14.45" customHeight="1" x14ac:dyDescent="0.25">
      <c r="A120" s="62" t="s">
        <v>173</v>
      </c>
      <c r="B120" s="62" t="s">
        <v>146</v>
      </c>
      <c r="C120" s="62" t="s">
        <v>195</v>
      </c>
      <c r="D120" s="187" t="s">
        <v>196</v>
      </c>
      <c r="E120" s="188"/>
      <c r="F120" s="189"/>
      <c r="G120" s="63">
        <v>0.1</v>
      </c>
      <c r="H120" s="62" t="s">
        <v>197</v>
      </c>
      <c r="I120" s="63">
        <v>150</v>
      </c>
      <c r="J120" s="63" t="s">
        <v>110</v>
      </c>
      <c r="K120" s="57"/>
      <c r="O120" s="36"/>
      <c r="P120" s="36"/>
    </row>
    <row r="121" spans="1:29" s="37" customFormat="1" ht="14.45" customHeight="1" x14ac:dyDescent="0.25">
      <c r="A121" s="62" t="s">
        <v>142</v>
      </c>
      <c r="B121" s="62" t="s">
        <v>49</v>
      </c>
      <c r="C121" s="62" t="s">
        <v>198</v>
      </c>
      <c r="D121" s="187" t="s">
        <v>199</v>
      </c>
      <c r="E121" s="188"/>
      <c r="F121" s="189"/>
      <c r="G121" s="63">
        <v>35</v>
      </c>
      <c r="H121" s="62" t="s">
        <v>181</v>
      </c>
      <c r="I121" s="63" t="s">
        <v>153</v>
      </c>
      <c r="J121" s="63" t="s">
        <v>110</v>
      </c>
      <c r="K121" s="57"/>
      <c r="O121" s="36"/>
      <c r="P121" s="36"/>
    </row>
    <row r="122" spans="1:29" s="37" customFormat="1" ht="14.45" customHeight="1" x14ac:dyDescent="0.25">
      <c r="A122" s="62" t="s">
        <v>142</v>
      </c>
      <c r="B122" s="62" t="s">
        <v>146</v>
      </c>
      <c r="C122" s="62" t="s">
        <v>198</v>
      </c>
      <c r="D122" s="187" t="s">
        <v>200</v>
      </c>
      <c r="E122" s="188"/>
      <c r="F122" s="189"/>
      <c r="G122" s="63">
        <v>7</v>
      </c>
      <c r="H122" s="62" t="s">
        <v>152</v>
      </c>
      <c r="I122" s="63">
        <v>7</v>
      </c>
      <c r="J122" s="63" t="s">
        <v>110</v>
      </c>
      <c r="K122" s="57"/>
      <c r="O122" s="36"/>
      <c r="P122" s="36"/>
    </row>
    <row r="123" spans="1:29" s="37" customFormat="1" ht="14.1" customHeight="1" x14ac:dyDescent="0.25">
      <c r="A123" s="62" t="s">
        <v>142</v>
      </c>
      <c r="B123" s="62" t="s">
        <v>142</v>
      </c>
      <c r="C123" s="62" t="s">
        <v>201</v>
      </c>
      <c r="D123" s="187" t="s">
        <v>202</v>
      </c>
      <c r="E123" s="188"/>
      <c r="F123" s="189"/>
      <c r="G123" s="63">
        <v>40</v>
      </c>
      <c r="H123" s="62" t="s">
        <v>203</v>
      </c>
      <c r="I123" s="63" t="s">
        <v>153</v>
      </c>
      <c r="J123" s="63" t="s">
        <v>110</v>
      </c>
      <c r="K123" s="57"/>
      <c r="O123" s="36"/>
      <c r="P123" s="36"/>
    </row>
    <row r="124" spans="1:29" s="37" customFormat="1" ht="14.1" customHeight="1" x14ac:dyDescent="0.25">
      <c r="A124" s="62" t="s">
        <v>142</v>
      </c>
      <c r="B124" s="62" t="s">
        <v>49</v>
      </c>
      <c r="C124" s="62" t="s">
        <v>143</v>
      </c>
      <c r="D124" s="187" t="s">
        <v>204</v>
      </c>
      <c r="E124" s="188"/>
      <c r="F124" s="189"/>
      <c r="G124" s="63">
        <v>50</v>
      </c>
      <c r="H124" s="62" t="s">
        <v>49</v>
      </c>
      <c r="I124" s="63" t="s">
        <v>153</v>
      </c>
      <c r="J124" s="63" t="s">
        <v>110</v>
      </c>
      <c r="K124" s="57"/>
      <c r="L124" s="38"/>
      <c r="M124" s="38"/>
      <c r="N124" s="38"/>
      <c r="O124" s="36"/>
      <c r="P124" s="36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 spans="1:29" s="39" customFormat="1" ht="14.1" customHeight="1" x14ac:dyDescent="0.25">
      <c r="A125" s="62" t="s">
        <v>142</v>
      </c>
      <c r="B125" s="62" t="s">
        <v>49</v>
      </c>
      <c r="C125" s="62" t="s">
        <v>143</v>
      </c>
      <c r="D125" s="187" t="s">
        <v>205</v>
      </c>
      <c r="E125" s="188"/>
      <c r="F125" s="189"/>
      <c r="G125" s="63">
        <v>200</v>
      </c>
      <c r="H125" s="62" t="s">
        <v>206</v>
      </c>
      <c r="I125" s="63" t="s">
        <v>153</v>
      </c>
      <c r="J125" s="63" t="s">
        <v>110</v>
      </c>
      <c r="K125" s="57"/>
      <c r="O125" s="36"/>
      <c r="P125" s="36"/>
    </row>
    <row r="126" spans="1:29" s="39" customFormat="1" ht="14.1" customHeight="1" x14ac:dyDescent="0.25">
      <c r="A126" s="62" t="s">
        <v>142</v>
      </c>
      <c r="B126" s="62" t="s">
        <v>49</v>
      </c>
      <c r="C126" s="62" t="s">
        <v>143</v>
      </c>
      <c r="D126" s="187" t="s">
        <v>207</v>
      </c>
      <c r="E126" s="188"/>
      <c r="F126" s="189"/>
      <c r="G126" s="63">
        <v>250</v>
      </c>
      <c r="H126" s="62" t="s">
        <v>208</v>
      </c>
      <c r="I126" s="63">
        <v>100</v>
      </c>
      <c r="J126" s="63" t="s">
        <v>110</v>
      </c>
      <c r="K126" s="57"/>
      <c r="L126" s="38"/>
      <c r="M126" s="38"/>
      <c r="N126" s="38"/>
      <c r="O126" s="36"/>
      <c r="P126" s="36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 spans="1:29" s="38" customFormat="1" ht="14.1" customHeight="1" x14ac:dyDescent="0.25">
      <c r="A127" s="62" t="s">
        <v>142</v>
      </c>
      <c r="B127" s="62" t="s">
        <v>49</v>
      </c>
      <c r="C127" s="62" t="s">
        <v>201</v>
      </c>
      <c r="D127" s="187" t="s">
        <v>209</v>
      </c>
      <c r="E127" s="188"/>
      <c r="F127" s="189"/>
      <c r="G127" s="63" t="s">
        <v>210</v>
      </c>
      <c r="H127" s="62"/>
      <c r="I127" s="63" t="s">
        <v>153</v>
      </c>
      <c r="J127" s="63" t="s">
        <v>110</v>
      </c>
      <c r="K127" s="57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:29" s="36" customFormat="1" x14ac:dyDescent="0.25">
      <c r="A128" s="62" t="s">
        <v>142</v>
      </c>
      <c r="B128" s="62" t="s">
        <v>49</v>
      </c>
      <c r="C128" s="62" t="s">
        <v>201</v>
      </c>
      <c r="D128" s="187" t="s">
        <v>211</v>
      </c>
      <c r="E128" s="188"/>
      <c r="F128" s="189"/>
      <c r="G128" s="63" t="s">
        <v>212</v>
      </c>
      <c r="H128" s="62"/>
      <c r="I128" s="63" t="s">
        <v>153</v>
      </c>
      <c r="J128" s="63" t="s">
        <v>110</v>
      </c>
      <c r="K128" s="72"/>
    </row>
    <row r="129" spans="1:11" s="36" customFormat="1" x14ac:dyDescent="0.25">
      <c r="A129" s="62" t="s">
        <v>213</v>
      </c>
      <c r="B129" s="62" t="s">
        <v>49</v>
      </c>
      <c r="C129" s="62" t="s">
        <v>214</v>
      </c>
      <c r="D129" s="187" t="s">
        <v>215</v>
      </c>
      <c r="E129" s="188"/>
      <c r="F129" s="189"/>
      <c r="G129" s="63">
        <v>100</v>
      </c>
      <c r="H129" s="62" t="s">
        <v>49</v>
      </c>
      <c r="I129" s="63">
        <v>100</v>
      </c>
      <c r="J129" s="63" t="s">
        <v>110</v>
      </c>
      <c r="K129" s="72"/>
    </row>
    <row r="130" spans="1:11" s="36" customFormat="1" x14ac:dyDescent="0.25">
      <c r="A130" s="62" t="s">
        <v>213</v>
      </c>
      <c r="B130" s="62" t="s">
        <v>216</v>
      </c>
      <c r="C130" s="62" t="s">
        <v>147</v>
      </c>
      <c r="D130" s="187" t="s">
        <v>217</v>
      </c>
      <c r="E130" s="188"/>
      <c r="F130" s="189"/>
      <c r="G130" s="63">
        <v>50</v>
      </c>
      <c r="H130" s="62"/>
      <c r="I130" s="63">
        <v>50</v>
      </c>
      <c r="J130" s="63" t="s">
        <v>110</v>
      </c>
      <c r="K130" s="72"/>
    </row>
    <row r="131" spans="1:11" s="36" customFormat="1" x14ac:dyDescent="0.25">
      <c r="A131" s="62" t="s">
        <v>150</v>
      </c>
      <c r="B131" s="62" t="s">
        <v>49</v>
      </c>
      <c r="C131" s="62" t="s">
        <v>218</v>
      </c>
      <c r="D131" s="187" t="s">
        <v>219</v>
      </c>
      <c r="E131" s="188"/>
      <c r="F131" s="189"/>
      <c r="G131" s="69" t="s">
        <v>220</v>
      </c>
      <c r="H131" s="67" t="s">
        <v>49</v>
      </c>
      <c r="I131" s="69" t="s">
        <v>153</v>
      </c>
      <c r="J131" s="63" t="s">
        <v>110</v>
      </c>
      <c r="K131" s="72"/>
    </row>
    <row r="132" spans="1:11" s="36" customFormat="1" x14ac:dyDescent="0.25">
      <c r="A132" s="62" t="s">
        <v>221</v>
      </c>
      <c r="B132" s="62" t="s">
        <v>49</v>
      </c>
      <c r="C132" s="62" t="s">
        <v>201</v>
      </c>
      <c r="D132" s="187" t="s">
        <v>222</v>
      </c>
      <c r="E132" s="188"/>
      <c r="F132" s="189"/>
      <c r="G132" s="69" t="s">
        <v>220</v>
      </c>
      <c r="H132" s="67" t="s">
        <v>49</v>
      </c>
      <c r="I132" s="69" t="s">
        <v>153</v>
      </c>
      <c r="J132" s="63" t="s">
        <v>110</v>
      </c>
      <c r="K132" s="72"/>
    </row>
    <row r="133" spans="1:11" s="36" customFormat="1" x14ac:dyDescent="0.25">
      <c r="A133" s="62" t="s">
        <v>142</v>
      </c>
      <c r="B133" s="62" t="s">
        <v>49</v>
      </c>
      <c r="C133" s="62" t="s">
        <v>223</v>
      </c>
      <c r="D133" s="187" t="s">
        <v>224</v>
      </c>
      <c r="E133" s="188"/>
      <c r="F133" s="189"/>
      <c r="G133" s="63" t="s">
        <v>225</v>
      </c>
      <c r="H133" s="62"/>
      <c r="I133" s="63" t="s">
        <v>153</v>
      </c>
      <c r="J133" s="63" t="s">
        <v>110</v>
      </c>
      <c r="K133" s="72"/>
    </row>
    <row r="134" spans="1:11" s="36" customFormat="1" x14ac:dyDescent="0.25">
      <c r="A134" s="62" t="s">
        <v>142</v>
      </c>
      <c r="B134" s="62" t="s">
        <v>49</v>
      </c>
      <c r="C134" s="62" t="s">
        <v>226</v>
      </c>
      <c r="D134" s="187" t="s">
        <v>227</v>
      </c>
      <c r="E134" s="188"/>
      <c r="F134" s="189"/>
      <c r="G134" s="66">
        <v>150</v>
      </c>
      <c r="H134" s="62" t="s">
        <v>49</v>
      </c>
      <c r="I134" s="66">
        <v>150</v>
      </c>
      <c r="J134" s="63" t="s">
        <v>110</v>
      </c>
      <c r="K134" s="72"/>
    </row>
    <row r="135" spans="1:11" s="36" customFormat="1" x14ac:dyDescent="0.25">
      <c r="A135" s="62" t="s">
        <v>142</v>
      </c>
      <c r="B135" s="62" t="s">
        <v>49</v>
      </c>
      <c r="C135" s="62" t="s">
        <v>228</v>
      </c>
      <c r="D135" s="187" t="s">
        <v>229</v>
      </c>
      <c r="E135" s="188"/>
      <c r="F135" s="189"/>
      <c r="G135" s="66">
        <v>25</v>
      </c>
      <c r="H135" s="62" t="s">
        <v>230</v>
      </c>
      <c r="I135" s="66">
        <v>25</v>
      </c>
      <c r="J135" s="63" t="s">
        <v>110</v>
      </c>
      <c r="K135" s="72"/>
    </row>
    <row r="136" spans="1:11" s="36" customFormat="1" x14ac:dyDescent="0.25">
      <c r="A136" s="62" t="s">
        <v>142</v>
      </c>
      <c r="B136" s="62" t="s">
        <v>146</v>
      </c>
      <c r="C136" s="62" t="s">
        <v>198</v>
      </c>
      <c r="D136" s="187" t="s">
        <v>231</v>
      </c>
      <c r="E136" s="188"/>
      <c r="F136" s="189"/>
      <c r="G136" s="66" t="s">
        <v>232</v>
      </c>
      <c r="H136" s="62" t="s">
        <v>149</v>
      </c>
      <c r="I136" s="66" t="s">
        <v>153</v>
      </c>
      <c r="J136" s="63" t="s">
        <v>110</v>
      </c>
      <c r="K136" s="72"/>
    </row>
    <row r="137" spans="1:11" s="36" customFormat="1" x14ac:dyDescent="0.25">
      <c r="A137" s="62" t="s">
        <v>173</v>
      </c>
      <c r="B137" s="62" t="s">
        <v>146</v>
      </c>
      <c r="C137" s="62" t="s">
        <v>233</v>
      </c>
      <c r="D137" s="187" t="s">
        <v>234</v>
      </c>
      <c r="E137" s="188"/>
      <c r="F137" s="189"/>
      <c r="G137" s="66">
        <v>0.5</v>
      </c>
      <c r="H137" s="62" t="s">
        <v>235</v>
      </c>
      <c r="I137" s="66">
        <v>50</v>
      </c>
      <c r="J137" s="63" t="s">
        <v>110</v>
      </c>
      <c r="K137" s="72"/>
    </row>
    <row r="138" spans="1:11" s="36" customFormat="1" x14ac:dyDescent="0.25">
      <c r="A138" s="62" t="s">
        <v>173</v>
      </c>
      <c r="B138" s="62" t="s">
        <v>146</v>
      </c>
      <c r="C138" s="62" t="s">
        <v>201</v>
      </c>
      <c r="D138" s="187" t="s">
        <v>237</v>
      </c>
      <c r="E138" s="188"/>
      <c r="F138" s="189"/>
      <c r="G138" s="66" t="s">
        <v>238</v>
      </c>
      <c r="H138" s="62" t="s">
        <v>235</v>
      </c>
      <c r="I138" s="66">
        <v>50</v>
      </c>
      <c r="J138" s="63" t="s">
        <v>110</v>
      </c>
      <c r="K138" s="72"/>
    </row>
    <row r="139" spans="1:11" s="36" customFormat="1" x14ac:dyDescent="0.25">
      <c r="A139" s="62" t="s">
        <v>239</v>
      </c>
      <c r="B139" s="62" t="s">
        <v>49</v>
      </c>
      <c r="C139" s="62" t="s">
        <v>143</v>
      </c>
      <c r="D139" s="187" t="s">
        <v>240</v>
      </c>
      <c r="E139" s="188"/>
      <c r="F139" s="189"/>
      <c r="G139" s="69" t="s">
        <v>220</v>
      </c>
      <c r="H139" s="67" t="s">
        <v>49</v>
      </c>
      <c r="I139" s="69" t="s">
        <v>153</v>
      </c>
      <c r="J139" s="63" t="s">
        <v>110</v>
      </c>
      <c r="K139" s="72"/>
    </row>
    <row r="140" spans="1:11" s="36" customFormat="1" x14ac:dyDescent="0.25">
      <c r="A140" s="62" t="s">
        <v>142</v>
      </c>
      <c r="B140" s="62" t="s">
        <v>142</v>
      </c>
      <c r="C140" s="62" t="s">
        <v>147</v>
      </c>
      <c r="D140" s="187" t="s">
        <v>241</v>
      </c>
      <c r="E140" s="188"/>
      <c r="F140" s="189"/>
      <c r="G140" s="66" t="s">
        <v>242</v>
      </c>
      <c r="H140" s="62"/>
      <c r="I140" s="66">
        <v>15</v>
      </c>
      <c r="J140" s="63" t="s">
        <v>110</v>
      </c>
      <c r="K140" s="72"/>
    </row>
    <row r="141" spans="1:11" s="36" customFormat="1" x14ac:dyDescent="0.25">
      <c r="A141" s="62" t="s">
        <v>243</v>
      </c>
      <c r="B141" s="62" t="s">
        <v>49</v>
      </c>
      <c r="C141" s="62" t="s">
        <v>143</v>
      </c>
      <c r="D141" s="187" t="s">
        <v>244</v>
      </c>
      <c r="E141" s="188"/>
      <c r="F141" s="189"/>
      <c r="G141" s="66">
        <v>200</v>
      </c>
      <c r="H141" s="62" t="s">
        <v>49</v>
      </c>
      <c r="I141" s="63">
        <v>200</v>
      </c>
      <c r="J141" s="63" t="s">
        <v>110</v>
      </c>
      <c r="K141" s="72"/>
    </row>
    <row r="142" spans="1:11" s="36" customFormat="1" x14ac:dyDescent="0.25">
      <c r="A142" s="62" t="s">
        <v>245</v>
      </c>
      <c r="B142" s="62" t="s">
        <v>49</v>
      </c>
      <c r="C142" s="62" t="s">
        <v>143</v>
      </c>
      <c r="D142" s="187" t="s">
        <v>246</v>
      </c>
      <c r="E142" s="188"/>
      <c r="F142" s="189"/>
      <c r="G142" s="66">
        <v>250</v>
      </c>
      <c r="H142" s="62" t="s">
        <v>49</v>
      </c>
      <c r="I142" s="63">
        <v>100</v>
      </c>
      <c r="J142" s="63" t="s">
        <v>110</v>
      </c>
      <c r="K142" s="72"/>
    </row>
    <row r="143" spans="1:11" s="36" customFormat="1" x14ac:dyDescent="0.25">
      <c r="A143" s="62" t="s">
        <v>247</v>
      </c>
      <c r="B143" s="62" t="s">
        <v>49</v>
      </c>
      <c r="C143" s="62" t="s">
        <v>143</v>
      </c>
      <c r="D143" s="187" t="s">
        <v>248</v>
      </c>
      <c r="E143" s="188"/>
      <c r="F143" s="189"/>
      <c r="G143" s="63">
        <v>250</v>
      </c>
      <c r="H143" s="62" t="s">
        <v>49</v>
      </c>
      <c r="I143" s="63">
        <v>200</v>
      </c>
      <c r="J143" s="63" t="s">
        <v>110</v>
      </c>
      <c r="K143" s="72"/>
    </row>
    <row r="144" spans="1:11" s="36" customFormat="1" x14ac:dyDescent="0.25">
      <c r="A144" s="62" t="s">
        <v>142</v>
      </c>
      <c r="B144" s="62" t="s">
        <v>49</v>
      </c>
      <c r="C144" s="62" t="s">
        <v>143</v>
      </c>
      <c r="D144" s="187" t="s">
        <v>249</v>
      </c>
      <c r="E144" s="188"/>
      <c r="F144" s="189"/>
      <c r="G144" s="63"/>
      <c r="H144" s="62" t="s">
        <v>49</v>
      </c>
      <c r="I144" s="63" t="s">
        <v>153</v>
      </c>
      <c r="J144" s="63" t="s">
        <v>110</v>
      </c>
      <c r="K144" s="72"/>
    </row>
    <row r="145" spans="1:11" s="36" customFormat="1" x14ac:dyDescent="0.25">
      <c r="A145" s="62" t="s">
        <v>250</v>
      </c>
      <c r="B145" s="62" t="s">
        <v>49</v>
      </c>
      <c r="C145" s="62" t="s">
        <v>143</v>
      </c>
      <c r="D145" s="187" t="s">
        <v>251</v>
      </c>
      <c r="E145" s="188"/>
      <c r="F145" s="189"/>
      <c r="G145" s="66">
        <v>350</v>
      </c>
      <c r="H145" s="62" t="s">
        <v>49</v>
      </c>
      <c r="I145" s="63">
        <v>350</v>
      </c>
      <c r="J145" s="63" t="s">
        <v>110</v>
      </c>
      <c r="K145" s="72"/>
    </row>
    <row r="146" spans="1:11" s="36" customFormat="1" x14ac:dyDescent="0.25">
      <c r="A146" s="118"/>
      <c r="B146" s="118"/>
      <c r="C146" s="118"/>
      <c r="D146" s="119"/>
      <c r="E146" s="119"/>
      <c r="F146" s="119"/>
      <c r="G146" s="120"/>
      <c r="H146" s="118"/>
      <c r="I146" s="121"/>
      <c r="J146" s="121"/>
      <c r="K146" s="72"/>
    </row>
    <row r="147" spans="1:11" s="36" customFormat="1" x14ac:dyDescent="0.25">
      <c r="A147" s="180" t="s">
        <v>72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72"/>
    </row>
    <row r="148" spans="1:11" s="36" customFormat="1" x14ac:dyDescent="0.25">
      <c r="A148" s="186" t="s">
        <v>67</v>
      </c>
      <c r="B148" s="186"/>
      <c r="C148" s="186"/>
      <c r="D148" s="186"/>
      <c r="E148" s="186" t="s">
        <v>68</v>
      </c>
      <c r="F148" s="186"/>
      <c r="G148" s="186"/>
      <c r="H148" s="186"/>
      <c r="I148" s="186"/>
      <c r="J148" s="186"/>
      <c r="K148" s="72"/>
    </row>
    <row r="149" spans="1:11" s="36" customFormat="1" x14ac:dyDescent="0.25">
      <c r="A149" s="185" t="s">
        <v>73</v>
      </c>
      <c r="B149" s="185"/>
      <c r="C149" s="185"/>
      <c r="D149" s="185"/>
      <c r="E149" s="185" t="s">
        <v>254</v>
      </c>
      <c r="F149" s="185"/>
      <c r="G149" s="185"/>
      <c r="H149" s="185"/>
      <c r="I149" s="185"/>
      <c r="J149" s="185"/>
      <c r="K149" s="72"/>
    </row>
    <row r="150" spans="1:11" s="36" customFormat="1" ht="15" customHeight="1" x14ac:dyDescent="0.25">
      <c r="A150" s="185" t="s">
        <v>252</v>
      </c>
      <c r="B150" s="185"/>
      <c r="C150" s="185"/>
      <c r="D150" s="185"/>
      <c r="E150" s="185" t="s">
        <v>253</v>
      </c>
      <c r="F150" s="185"/>
      <c r="G150" s="185"/>
      <c r="H150" s="185"/>
      <c r="I150" s="185"/>
      <c r="J150" s="185"/>
      <c r="K150" s="72"/>
    </row>
    <row r="151" spans="1:11" s="36" customFormat="1" ht="15" customHeight="1" x14ac:dyDescent="0.25">
      <c r="A151" s="185" t="s">
        <v>74</v>
      </c>
      <c r="B151" s="185"/>
      <c r="C151" s="185"/>
      <c r="D151" s="185"/>
      <c r="E151" s="185" t="s">
        <v>75</v>
      </c>
      <c r="F151" s="185"/>
      <c r="G151" s="185"/>
      <c r="H151" s="185"/>
      <c r="I151" s="185"/>
      <c r="J151" s="185"/>
      <c r="K151" s="72"/>
    </row>
    <row r="152" spans="1:11" s="36" customFormat="1" x14ac:dyDescent="0.25">
      <c r="A152" s="185" t="s">
        <v>76</v>
      </c>
      <c r="B152" s="185"/>
      <c r="C152" s="185"/>
      <c r="D152" s="185"/>
      <c r="E152" s="185" t="s">
        <v>77</v>
      </c>
      <c r="F152" s="185"/>
      <c r="G152" s="185"/>
      <c r="H152" s="185"/>
      <c r="I152" s="185"/>
      <c r="J152" s="185"/>
      <c r="K152" s="72"/>
    </row>
    <row r="153" spans="1:11" s="36" customFormat="1" ht="15" customHeight="1" x14ac:dyDescent="0.25">
      <c r="A153" s="185" t="s">
        <v>78</v>
      </c>
      <c r="B153" s="185"/>
      <c r="C153" s="185"/>
      <c r="D153" s="185"/>
      <c r="E153" s="185" t="s">
        <v>79</v>
      </c>
      <c r="F153" s="185"/>
      <c r="G153" s="185"/>
      <c r="H153" s="185"/>
      <c r="I153" s="185"/>
      <c r="J153" s="185"/>
      <c r="K153" s="72"/>
    </row>
    <row r="154" spans="1:11" s="36" customFormat="1" ht="15" customHeight="1" x14ac:dyDescent="0.25">
      <c r="A154" s="180" t="s">
        <v>89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72"/>
    </row>
    <row r="155" spans="1:11" s="36" customFormat="1" x14ac:dyDescent="0.25">
      <c r="A155" s="181" t="s">
        <v>80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72"/>
    </row>
    <row r="156" spans="1:11" s="36" customFormat="1" ht="15" customHeight="1" x14ac:dyDescent="0.2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72"/>
    </row>
    <row r="157" spans="1:11" s="36" customFormat="1" x14ac:dyDescent="0.25">
      <c r="A157" s="182" t="s">
        <v>90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72"/>
    </row>
    <row r="158" spans="1:11" s="36" customFormat="1" ht="15" customHeight="1" x14ac:dyDescent="0.25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72"/>
    </row>
    <row r="159" spans="1:11" s="42" customFormat="1" ht="13.9" customHeight="1" x14ac:dyDescent="0.25">
      <c r="A159" s="183" t="s">
        <v>353</v>
      </c>
      <c r="B159" s="183"/>
      <c r="C159" s="183"/>
      <c r="D159" s="183"/>
      <c r="E159" s="183"/>
      <c r="F159" s="183"/>
      <c r="G159" s="183"/>
      <c r="H159" s="183"/>
      <c r="I159" s="183"/>
      <c r="J159" s="48"/>
    </row>
    <row r="160" spans="1:11" s="49" customFormat="1" ht="13.9" customHeight="1" x14ac:dyDescent="0.25">
      <c r="A160" s="184" t="s">
        <v>354</v>
      </c>
      <c r="B160" s="184"/>
      <c r="C160" s="184"/>
      <c r="D160" s="184"/>
      <c r="E160" s="184"/>
      <c r="F160" s="184"/>
      <c r="G160" s="184"/>
      <c r="H160" s="184"/>
      <c r="I160" s="184"/>
      <c r="J160" s="48"/>
    </row>
    <row r="161" spans="10:10" x14ac:dyDescent="0.25">
      <c r="J161" s="48"/>
    </row>
    <row r="162" spans="10:10" x14ac:dyDescent="0.25">
      <c r="J162" s="48"/>
    </row>
    <row r="163" spans="10:10" x14ac:dyDescent="0.25">
      <c r="J163" s="48"/>
    </row>
  </sheetData>
  <protectedRanges>
    <protectedRange algorithmName="SHA-512" hashValue="VF6HSW3Iy4xJ9rvYE/9xGHEoimGCygSu8D4FeqmdsD954MzAHwkkxLcwSP9Q5ui8KTGpWBzFAFpp2yGVfuii3Q==" saltValue="Ht0jMOW+8eakbuvlYpVr7Q==" spinCount="100000" sqref="G13:J28 G30:J32 G34:J36 G38:J43 G55:J61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4:J44 G46:J49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1:J53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81:WWE81" xr:uid="{FA694B6A-433F-4FA4-84BF-050781CB5F76}">
    <filterColumn colId="3" showButton="0"/>
    <filterColumn colId="4" showButton="0"/>
  </autoFilter>
  <mergeCells count="150"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  <mergeCell ref="E12:F12"/>
    <mergeCell ref="E29:F29"/>
    <mergeCell ref="E33:F33"/>
    <mergeCell ref="E37:F37"/>
    <mergeCell ref="B6:C6"/>
    <mergeCell ref="G6:I6"/>
    <mergeCell ref="E8:I8"/>
    <mergeCell ref="A10:J10"/>
    <mergeCell ref="N10:R10"/>
    <mergeCell ref="A65:D65"/>
    <mergeCell ref="E65:J65"/>
    <mergeCell ref="L65:Q65"/>
    <mergeCell ref="A66:D66"/>
    <mergeCell ref="F66:J66"/>
    <mergeCell ref="L66:Q66"/>
    <mergeCell ref="E45:F45"/>
    <mergeCell ref="E50:F50"/>
    <mergeCell ref="E54:F54"/>
    <mergeCell ref="A61:J61"/>
    <mergeCell ref="A63:J63"/>
    <mergeCell ref="A64:J64"/>
    <mergeCell ref="A70:D70"/>
    <mergeCell ref="F70:J70"/>
    <mergeCell ref="A71:D71"/>
    <mergeCell ref="F71:J71"/>
    <mergeCell ref="A72:D72"/>
    <mergeCell ref="F72:J72"/>
    <mergeCell ref="A67:D67"/>
    <mergeCell ref="F67:J67"/>
    <mergeCell ref="L67:Q67"/>
    <mergeCell ref="A68:D68"/>
    <mergeCell ref="F68:J68"/>
    <mergeCell ref="A69:D69"/>
    <mergeCell ref="F69:J69"/>
    <mergeCell ref="A75:D75"/>
    <mergeCell ref="F75:J75"/>
    <mergeCell ref="L75:Q75"/>
    <mergeCell ref="A76:D76"/>
    <mergeCell ref="G76:J76"/>
    <mergeCell ref="L76:Q76"/>
    <mergeCell ref="L72:Q72"/>
    <mergeCell ref="A73:D73"/>
    <mergeCell ref="F73:J73"/>
    <mergeCell ref="L73:Q73"/>
    <mergeCell ref="A74:D74"/>
    <mergeCell ref="F74:J74"/>
    <mergeCell ref="L74:Q74"/>
    <mergeCell ref="A79:D79"/>
    <mergeCell ref="E79:J79"/>
    <mergeCell ref="L79:Q79"/>
    <mergeCell ref="A80:J80"/>
    <mergeCell ref="D81:F81"/>
    <mergeCell ref="D82:F82"/>
    <mergeCell ref="A77:D77"/>
    <mergeCell ref="G77:J77"/>
    <mergeCell ref="L77:Q77"/>
    <mergeCell ref="A78:D78"/>
    <mergeCell ref="G78:J78"/>
    <mergeCell ref="L78:Q78"/>
    <mergeCell ref="D89:F89"/>
    <mergeCell ref="D90:F90"/>
    <mergeCell ref="D91:F91"/>
    <mergeCell ref="D92:F92"/>
    <mergeCell ref="D93:F93"/>
    <mergeCell ref="D94:F94"/>
    <mergeCell ref="D83:F83"/>
    <mergeCell ref="D84:F84"/>
    <mergeCell ref="D85:F85"/>
    <mergeCell ref="D86:F86"/>
    <mergeCell ref="D87:F87"/>
    <mergeCell ref="D88:F88"/>
    <mergeCell ref="D101:F101"/>
    <mergeCell ref="D102:F102"/>
    <mergeCell ref="D103:F103"/>
    <mergeCell ref="D104:F104"/>
    <mergeCell ref="D105:F105"/>
    <mergeCell ref="D106:F106"/>
    <mergeCell ref="D95:F95"/>
    <mergeCell ref="D96:F96"/>
    <mergeCell ref="D97:F97"/>
    <mergeCell ref="D98:F98"/>
    <mergeCell ref="D99:F99"/>
    <mergeCell ref="D100:F100"/>
    <mergeCell ref="D113:F113"/>
    <mergeCell ref="D114:F114"/>
    <mergeCell ref="D115:F115"/>
    <mergeCell ref="D116:F116"/>
    <mergeCell ref="D117:F117"/>
    <mergeCell ref="D118:F118"/>
    <mergeCell ref="D107:F107"/>
    <mergeCell ref="D108:F108"/>
    <mergeCell ref="D109:F109"/>
    <mergeCell ref="D110:F110"/>
    <mergeCell ref="D111:F111"/>
    <mergeCell ref="D112:F112"/>
    <mergeCell ref="D125:F125"/>
    <mergeCell ref="D126:F126"/>
    <mergeCell ref="D127:F127"/>
    <mergeCell ref="D128:F128"/>
    <mergeCell ref="D129:F129"/>
    <mergeCell ref="D130:F130"/>
    <mergeCell ref="D119:F119"/>
    <mergeCell ref="D120:F120"/>
    <mergeCell ref="D121:F121"/>
    <mergeCell ref="D122:F122"/>
    <mergeCell ref="D123:F123"/>
    <mergeCell ref="D124:F124"/>
    <mergeCell ref="D137:F137"/>
    <mergeCell ref="D138:F138"/>
    <mergeCell ref="D139:F139"/>
    <mergeCell ref="D140:F140"/>
    <mergeCell ref="D141:F141"/>
    <mergeCell ref="D142:F142"/>
    <mergeCell ref="D131:F131"/>
    <mergeCell ref="D132:F132"/>
    <mergeCell ref="D133:F133"/>
    <mergeCell ref="D134:F134"/>
    <mergeCell ref="D135:F135"/>
    <mergeCell ref="D136:F136"/>
    <mergeCell ref="A149:D149"/>
    <mergeCell ref="E149:J149"/>
    <mergeCell ref="A150:D150"/>
    <mergeCell ref="E150:J150"/>
    <mergeCell ref="A151:D151"/>
    <mergeCell ref="E151:J151"/>
    <mergeCell ref="D143:F143"/>
    <mergeCell ref="D144:F144"/>
    <mergeCell ref="D145:F145"/>
    <mergeCell ref="A147:J147"/>
    <mergeCell ref="A148:D148"/>
    <mergeCell ref="E148:J148"/>
    <mergeCell ref="A157:J158"/>
    <mergeCell ref="A159:I159"/>
    <mergeCell ref="A160:I160"/>
    <mergeCell ref="A152:D152"/>
    <mergeCell ref="E152:J152"/>
    <mergeCell ref="A153:D153"/>
    <mergeCell ref="E153:J153"/>
    <mergeCell ref="A154:J154"/>
    <mergeCell ref="A155:J156"/>
  </mergeCells>
  <hyperlinks>
    <hyperlink ref="G6" r:id="rId1" xr:uid="{2F00A054-8D15-47EC-8FD2-3FB6E7FC0FE8}"/>
    <hyperlink ref="G4" r:id="rId2" display="jchang.lax@oecgroup.com" xr:uid="{C3F6FD30-E636-494F-94CC-20363B2460C3}"/>
  </hyperlinks>
  <pageMargins left="0.35" right="0.35" top="0.35" bottom="0.35" header="0.3" footer="0.3"/>
  <pageSetup scale="48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2A858BB-5FA6-42A3-9B36-ABD71DF11BE1}">
          <x14:formula1>
            <xm:f>'C:\Users\twang\AppData\Local\Microsoft\Windows\Temporary Internet Files\Content.Outlook\U7WJNCNV\[QUOTE TEMPLATE 05-01-21.xltx]Sheet1'!#REF!</xm:f>
          </x14:formula1>
          <xm:sqref>C13:C28 Q13:Q14 C34:C36 C30:C32 C46:C49 C38:C44 C55:C60</xm:sqref>
        </x14:dataValidation>
        <x14:dataValidation type="list" allowBlank="1" showInputMessage="1" showErrorMessage="1" xr:uid="{9C7652FC-19B6-4597-AA10-BA97E0ACF9C6}">
          <x14:formula1>
            <xm:f>'C:\Users\twang\AppData\Local\Microsoft\Windows\Temporary Internet Files\Content.Outlook\U7WJNCNV\[QUOTE TEMPLATE 05-01-21.xltx]Sheet1'!#REF!</xm:f>
          </x14:formula1>
          <xm:sqref>E72:E73 E66:E69 E13:E28 E34:E36 E30:E32 E75:E78 E46:E49 E38:E44 E55:E60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F4F5-940B-47A0-86DE-296AAC8B36F3}">
  <sheetPr>
    <pageSetUpPr fitToPage="1"/>
  </sheetPr>
  <dimension ref="A1:AC168"/>
  <sheetViews>
    <sheetView topLeftCell="A58" zoomScale="90" zoomScaleNormal="90" zoomScaleSheetLayoutView="82" workbookViewId="0">
      <pane xSplit="4" topLeftCell="E1" activePane="topRight" state="frozen"/>
      <selection activeCell="A19" sqref="A19"/>
      <selection pane="topRight" activeCell="A75" sqref="A75:D75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44696</v>
      </c>
      <c r="C8" s="45" t="s">
        <v>91</v>
      </c>
      <c r="D8" s="44">
        <v>44712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308</v>
      </c>
      <c r="E13" s="96" t="s">
        <v>114</v>
      </c>
      <c r="F13" s="97" t="s">
        <v>270</v>
      </c>
      <c r="G13" s="98">
        <f>CEILING(S13+W13+X13+O13+N13+Y13,10)</f>
        <v>8960</v>
      </c>
      <c r="H13" s="99">
        <f>CEILING(T13+W13+X13+O13+N13+Z13,10)</f>
        <v>9810</v>
      </c>
      <c r="I13" s="99">
        <f>CEILING(U13+W13+X13+O13+N13+AA13,10)</f>
        <v>9810</v>
      </c>
      <c r="J13" s="99">
        <f>CEILING(V13+W13+X13+O13+N13+AB13,10)</f>
        <v>12080</v>
      </c>
      <c r="K13" s="57"/>
      <c r="L13" s="156" t="s">
        <v>378</v>
      </c>
      <c r="M13" s="52" t="s">
        <v>292</v>
      </c>
      <c r="N13" s="40">
        <v>0</v>
      </c>
      <c r="O13" s="53">
        <f>VLOOKUP(B13,DRAYAGE!$A$1:$C$107,3,FALSE)</f>
        <v>1310</v>
      </c>
      <c r="P13" s="40" t="s">
        <v>347</v>
      </c>
      <c r="S13" s="101">
        <f t="shared" ref="S13:S27" si="0">0.9*T13</f>
        <v>7650</v>
      </c>
      <c r="T13" s="54">
        <v>8500</v>
      </c>
      <c r="U13" s="103">
        <f>T13</f>
        <v>8500</v>
      </c>
      <c r="V13" s="104">
        <f>U13*1.266</f>
        <v>10761</v>
      </c>
      <c r="X13" s="40">
        <v>0</v>
      </c>
    </row>
    <row r="14" spans="1:29" s="40" customFormat="1" ht="14.45" customHeight="1" x14ac:dyDescent="0.25">
      <c r="A14" s="133" t="s">
        <v>55</v>
      </c>
      <c r="B14" s="51" t="s">
        <v>338</v>
      </c>
      <c r="C14" s="94" t="s">
        <v>54</v>
      </c>
      <c r="D14" s="95" t="s">
        <v>308</v>
      </c>
      <c r="E14" s="96" t="s">
        <v>114</v>
      </c>
      <c r="F14" s="97" t="s">
        <v>270</v>
      </c>
      <c r="G14" s="98">
        <f t="shared" ref="G14:G19" si="1">CEILING(S14+W14+X14+O14+N14+Y14,10)</f>
        <v>8960</v>
      </c>
      <c r="H14" s="99">
        <f t="shared" ref="H14:H19" si="2">CEILING(T14+W14+X14+O14+N14+Z14,10)</f>
        <v>9810</v>
      </c>
      <c r="I14" s="99">
        <f t="shared" ref="I14:I19" si="3">CEILING(U14+W14+X14+O14+N14+AA14,10)</f>
        <v>9810</v>
      </c>
      <c r="J14" s="99">
        <f t="shared" ref="J14:J19" si="4">CEILING(V14+W14+X14+O14+N14+AB14,10)</f>
        <v>12080</v>
      </c>
      <c r="K14" s="57"/>
      <c r="L14" s="156" t="s">
        <v>378</v>
      </c>
      <c r="M14" s="52" t="s">
        <v>292</v>
      </c>
      <c r="N14" s="40">
        <v>0</v>
      </c>
      <c r="O14" s="53">
        <f>VLOOKUP(B14,DRAYAGE!$A$1:$C$107,3,FALSE)</f>
        <v>1310</v>
      </c>
      <c r="P14" s="40" t="s">
        <v>347</v>
      </c>
      <c r="S14" s="101">
        <f t="shared" si="0"/>
        <v>7650</v>
      </c>
      <c r="T14" s="54">
        <v>8500</v>
      </c>
      <c r="U14" s="103">
        <f t="shared" ref="U14:U65" si="5">T14</f>
        <v>8500</v>
      </c>
      <c r="V14" s="104">
        <f t="shared" ref="V14:V19" si="6">U14*1.266</f>
        <v>10761</v>
      </c>
      <c r="X14" s="40">
        <v>0</v>
      </c>
    </row>
    <row r="15" spans="1:29" s="40" customFormat="1" ht="14.45" customHeight="1" x14ac:dyDescent="0.25">
      <c r="A15" s="133" t="s">
        <v>56</v>
      </c>
      <c r="B15" s="51" t="s">
        <v>338</v>
      </c>
      <c r="C15" s="94" t="s">
        <v>54</v>
      </c>
      <c r="D15" s="95" t="s">
        <v>308</v>
      </c>
      <c r="E15" s="96" t="s">
        <v>114</v>
      </c>
      <c r="F15" s="97" t="s">
        <v>270</v>
      </c>
      <c r="G15" s="98">
        <f t="shared" si="1"/>
        <v>9860</v>
      </c>
      <c r="H15" s="99">
        <f t="shared" si="2"/>
        <v>10810</v>
      </c>
      <c r="I15" s="99">
        <f t="shared" si="3"/>
        <v>10810</v>
      </c>
      <c r="J15" s="99">
        <f t="shared" si="4"/>
        <v>13340</v>
      </c>
      <c r="K15" s="57"/>
      <c r="L15" s="156" t="s">
        <v>378</v>
      </c>
      <c r="M15" s="52" t="s">
        <v>292</v>
      </c>
      <c r="N15" s="40">
        <v>0</v>
      </c>
      <c r="O15" s="53">
        <f>VLOOKUP(B15,DRAYAGE!$A$1:$C$107,3,FALSE)</f>
        <v>1310</v>
      </c>
      <c r="P15" s="40" t="s">
        <v>347</v>
      </c>
      <c r="S15" s="101">
        <f t="shared" si="0"/>
        <v>8550</v>
      </c>
      <c r="T15" s="54">
        <v>9500</v>
      </c>
      <c r="U15" s="103">
        <f t="shared" si="5"/>
        <v>9500</v>
      </c>
      <c r="V15" s="104">
        <f t="shared" si="6"/>
        <v>12027</v>
      </c>
      <c r="X15" s="40">
        <v>0</v>
      </c>
    </row>
    <row r="16" spans="1:29" s="40" customFormat="1" ht="14.45" customHeight="1" x14ac:dyDescent="0.25">
      <c r="A16" s="133" t="s">
        <v>57</v>
      </c>
      <c r="B16" s="51" t="s">
        <v>338</v>
      </c>
      <c r="C16" s="94" t="s">
        <v>54</v>
      </c>
      <c r="D16" s="95" t="s">
        <v>308</v>
      </c>
      <c r="E16" s="96" t="s">
        <v>114</v>
      </c>
      <c r="F16" s="97" t="s">
        <v>270</v>
      </c>
      <c r="G16" s="98">
        <f t="shared" si="1"/>
        <v>11660</v>
      </c>
      <c r="H16" s="99">
        <f t="shared" si="2"/>
        <v>12810</v>
      </c>
      <c r="I16" s="99">
        <f t="shared" si="3"/>
        <v>12810</v>
      </c>
      <c r="J16" s="99">
        <f t="shared" si="4"/>
        <v>15870</v>
      </c>
      <c r="K16" s="57"/>
      <c r="L16" s="156" t="s">
        <v>378</v>
      </c>
      <c r="M16" s="52" t="s">
        <v>292</v>
      </c>
      <c r="N16" s="40">
        <v>0</v>
      </c>
      <c r="O16" s="53">
        <f>VLOOKUP(B16,DRAYAGE!$A$1:$C$107,3,FALSE)</f>
        <v>1310</v>
      </c>
      <c r="P16" s="40" t="s">
        <v>347</v>
      </c>
      <c r="S16" s="101">
        <f t="shared" si="0"/>
        <v>10350</v>
      </c>
      <c r="T16" s="54">
        <v>11500</v>
      </c>
      <c r="U16" s="103">
        <f t="shared" si="5"/>
        <v>11500</v>
      </c>
      <c r="V16" s="104">
        <f t="shared" si="6"/>
        <v>14559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308</v>
      </c>
      <c r="E17" s="96" t="s">
        <v>114</v>
      </c>
      <c r="F17" s="97" t="s">
        <v>270</v>
      </c>
      <c r="G17" s="98">
        <f>CEILING(S17+W17+X17+O17+N17+Y17,10)</f>
        <v>11660</v>
      </c>
      <c r="H17" s="99">
        <f>CEILING(T17+W17+X17+O17+N17+Z17,10)</f>
        <v>12810</v>
      </c>
      <c r="I17" s="99">
        <f>CEILING(U17+W17+X17+O17+N17+AA17,10)</f>
        <v>12810</v>
      </c>
      <c r="J17" s="99">
        <f>CEILING(V17+W17+X17+O17+N17+AB17,10)</f>
        <v>15870</v>
      </c>
      <c r="K17" s="57"/>
      <c r="L17" s="156" t="s">
        <v>378</v>
      </c>
      <c r="M17" s="52" t="s">
        <v>292</v>
      </c>
      <c r="N17" s="40">
        <v>0</v>
      </c>
      <c r="O17" s="53">
        <f>VLOOKUP(B17,DRAYAGE!$A$1:$C$107,3,FALSE)</f>
        <v>1310</v>
      </c>
      <c r="P17" s="40" t="s">
        <v>347</v>
      </c>
      <c r="S17" s="101">
        <f>0.9*T17</f>
        <v>10350</v>
      </c>
      <c r="T17" s="54">
        <f>T16</f>
        <v>11500</v>
      </c>
      <c r="U17" s="103">
        <f>T17</f>
        <v>11500</v>
      </c>
      <c r="V17" s="104">
        <f>U17*1.266</f>
        <v>14559</v>
      </c>
      <c r="X17" s="40">
        <v>0</v>
      </c>
    </row>
    <row r="18" spans="1:29" s="40" customFormat="1" ht="18.75" x14ac:dyDescent="0.25">
      <c r="A18" s="133" t="s">
        <v>366</v>
      </c>
      <c r="B18" s="51" t="s">
        <v>338</v>
      </c>
      <c r="C18" s="94" t="s">
        <v>54</v>
      </c>
      <c r="D18" s="95" t="s">
        <v>308</v>
      </c>
      <c r="E18" s="96" t="s">
        <v>114</v>
      </c>
      <c r="F18" s="97" t="s">
        <v>270</v>
      </c>
      <c r="G18" s="98">
        <f>CEILING(S18+W18+X18+O18+N18+Y18,10)</f>
        <v>12560</v>
      </c>
      <c r="H18" s="99">
        <f>CEILING(T18+W18+X18+O18+N18+Z18,10)</f>
        <v>13810</v>
      </c>
      <c r="I18" s="99">
        <f>CEILING(U18+W18+X18+O18+N18+AA18,10)</f>
        <v>13810</v>
      </c>
      <c r="J18" s="99">
        <f>CEILING(V18+W18+X18+O18+N18+AB18,10)</f>
        <v>17140</v>
      </c>
      <c r="K18" s="57"/>
      <c r="L18" s="156" t="s">
        <v>378</v>
      </c>
      <c r="M18" s="52" t="s">
        <v>292</v>
      </c>
      <c r="N18" s="40">
        <v>0</v>
      </c>
      <c r="O18" s="53">
        <f>VLOOKUP(B18,DRAYAGE!$A$1:$C$107,3,FALSE)</f>
        <v>1310</v>
      </c>
      <c r="P18" s="40" t="s">
        <v>347</v>
      </c>
      <c r="S18" s="101">
        <f>0.9*T18</f>
        <v>11250</v>
      </c>
      <c r="T18" s="54">
        <f>T16+1000</f>
        <v>12500</v>
      </c>
      <c r="U18" s="103">
        <f>T18</f>
        <v>12500</v>
      </c>
      <c r="V18" s="104">
        <f>U18*1.266</f>
        <v>15825</v>
      </c>
      <c r="X18" s="40">
        <v>0</v>
      </c>
    </row>
    <row r="19" spans="1:29" s="40" customFormat="1" ht="14.45" customHeight="1" x14ac:dyDescent="0.25">
      <c r="A19" s="133" t="s">
        <v>59</v>
      </c>
      <c r="B19" s="51" t="s">
        <v>338</v>
      </c>
      <c r="C19" s="94" t="s">
        <v>54</v>
      </c>
      <c r="D19" s="95" t="s">
        <v>308</v>
      </c>
      <c r="E19" s="96" t="s">
        <v>114</v>
      </c>
      <c r="F19" s="97" t="s">
        <v>270</v>
      </c>
      <c r="G19" s="98">
        <f t="shared" si="1"/>
        <v>9140</v>
      </c>
      <c r="H19" s="99">
        <f t="shared" si="2"/>
        <v>10010</v>
      </c>
      <c r="I19" s="99">
        <f t="shared" si="3"/>
        <v>10010</v>
      </c>
      <c r="J19" s="99">
        <f t="shared" si="4"/>
        <v>12330</v>
      </c>
      <c r="K19" s="57"/>
      <c r="L19" s="156" t="s">
        <v>378</v>
      </c>
      <c r="M19" s="52" t="s">
        <v>292</v>
      </c>
      <c r="N19" s="40">
        <v>0</v>
      </c>
      <c r="O19" s="53">
        <f>VLOOKUP(B19,DRAYAGE!$A$1:$C$107,3,FALSE)</f>
        <v>1310</v>
      </c>
      <c r="P19" s="40" t="s">
        <v>347</v>
      </c>
      <c r="S19" s="101">
        <f t="shared" si="0"/>
        <v>7830</v>
      </c>
      <c r="T19" s="54">
        <v>8700</v>
      </c>
      <c r="U19" s="103">
        <f t="shared" si="5"/>
        <v>8700</v>
      </c>
      <c r="V19" s="104">
        <f t="shared" si="6"/>
        <v>11014.2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308</v>
      </c>
      <c r="E20" s="96" t="s">
        <v>114</v>
      </c>
      <c r="F20" s="97" t="s">
        <v>270</v>
      </c>
      <c r="G20" s="98">
        <f>CEILING(S20+W20+X20+O20+N20+Y20,10)</f>
        <v>8960</v>
      </c>
      <c r="H20" s="99">
        <f>CEILING(T20+W20+X20+O20+N20+Z20,10)</f>
        <v>9810</v>
      </c>
      <c r="I20" s="99">
        <f>CEILING(U20+W20+X20+O20+N20+AA20,10)</f>
        <v>9810</v>
      </c>
      <c r="J20" s="99">
        <f>CEILING(V20+W20+X20+O20+N20+AB20,10)</f>
        <v>12080</v>
      </c>
      <c r="K20" s="57"/>
      <c r="L20" s="156" t="s">
        <v>378</v>
      </c>
      <c r="M20" s="52" t="s">
        <v>292</v>
      </c>
      <c r="N20" s="40">
        <v>0</v>
      </c>
      <c r="O20" s="53">
        <f>VLOOKUP(B20,DRAYAGE!$A$1:$C$107,3,FALSE)</f>
        <v>1310</v>
      </c>
      <c r="P20" s="40" t="s">
        <v>347</v>
      </c>
      <c r="S20" s="101">
        <f t="shared" si="0"/>
        <v>7650</v>
      </c>
      <c r="T20" s="54">
        <v>8500</v>
      </c>
      <c r="U20" s="103">
        <f t="shared" si="5"/>
        <v>8500</v>
      </c>
      <c r="V20" s="104">
        <f>U20*1.266</f>
        <v>10761</v>
      </c>
      <c r="X20" s="40">
        <v>0</v>
      </c>
    </row>
    <row r="21" spans="1:29" s="40" customFormat="1" ht="14.45" customHeight="1" x14ac:dyDescent="0.25">
      <c r="A21" s="133" t="s">
        <v>376</v>
      </c>
      <c r="B21" s="51" t="s">
        <v>338</v>
      </c>
      <c r="C21" s="94" t="s">
        <v>54</v>
      </c>
      <c r="D21" s="95" t="s">
        <v>308</v>
      </c>
      <c r="E21" s="96" t="s">
        <v>114</v>
      </c>
      <c r="F21" s="97" t="s">
        <v>270</v>
      </c>
      <c r="G21" s="98">
        <f t="shared" ref="G21:G27" si="7">CEILING(S21+W21+X21+O21+N21+Y21,10)</f>
        <v>8960</v>
      </c>
      <c r="H21" s="99">
        <f t="shared" ref="H21:H27" si="8">CEILING(T21+W21+X21+O21+N21+Z21,10)</f>
        <v>9810</v>
      </c>
      <c r="I21" s="99">
        <f t="shared" ref="I21:I27" si="9">CEILING(U21+W21+X21+O21+N21+AA21,10)</f>
        <v>9810</v>
      </c>
      <c r="J21" s="99">
        <f t="shared" ref="J21:J27" si="10">CEILING(V21+W21+X21+O21+N21+AB21,10)</f>
        <v>12080</v>
      </c>
      <c r="K21" s="57"/>
      <c r="L21" s="156" t="s">
        <v>378</v>
      </c>
      <c r="M21" s="52" t="s">
        <v>292</v>
      </c>
      <c r="N21" s="40">
        <v>0</v>
      </c>
      <c r="O21" s="53">
        <f>VLOOKUP(B21,DRAYAGE!$A$1:$C$107,3,FALSE)</f>
        <v>1310</v>
      </c>
      <c r="P21" s="40" t="s">
        <v>347</v>
      </c>
      <c r="S21" s="101">
        <f t="shared" si="0"/>
        <v>7650</v>
      </c>
      <c r="T21" s="54">
        <v>8500</v>
      </c>
      <c r="U21" s="103">
        <f t="shared" si="5"/>
        <v>8500</v>
      </c>
      <c r="V21" s="104">
        <f t="shared" ref="V21:V27" si="11">U21*1.266</f>
        <v>10761</v>
      </c>
      <c r="X21" s="40">
        <v>0</v>
      </c>
    </row>
    <row r="22" spans="1:29" s="40" customFormat="1" ht="14.45" customHeight="1" x14ac:dyDescent="0.25">
      <c r="A22" s="133" t="s">
        <v>108</v>
      </c>
      <c r="B22" s="51" t="s">
        <v>338</v>
      </c>
      <c r="C22" s="94" t="s">
        <v>54</v>
      </c>
      <c r="D22" s="95" t="s">
        <v>308</v>
      </c>
      <c r="E22" s="96" t="s">
        <v>114</v>
      </c>
      <c r="F22" s="97" t="s">
        <v>270</v>
      </c>
      <c r="G22" s="98">
        <f t="shared" si="7"/>
        <v>9140</v>
      </c>
      <c r="H22" s="99">
        <f t="shared" si="8"/>
        <v>10010</v>
      </c>
      <c r="I22" s="99">
        <f t="shared" si="9"/>
        <v>10010</v>
      </c>
      <c r="J22" s="99">
        <f t="shared" si="10"/>
        <v>12330</v>
      </c>
      <c r="K22" s="57"/>
      <c r="L22" s="156" t="s">
        <v>378</v>
      </c>
      <c r="M22" s="52" t="s">
        <v>292</v>
      </c>
      <c r="N22" s="40">
        <v>0</v>
      </c>
      <c r="O22" s="53">
        <f>VLOOKUP(B22,DRAYAGE!$A$1:$C$107,3,FALSE)</f>
        <v>1310</v>
      </c>
      <c r="P22" s="40" t="s">
        <v>347</v>
      </c>
      <c r="S22" s="101">
        <f t="shared" si="0"/>
        <v>7830</v>
      </c>
      <c r="T22" s="54">
        <v>8700</v>
      </c>
      <c r="U22" s="103">
        <f t="shared" si="5"/>
        <v>8700</v>
      </c>
      <c r="V22" s="104">
        <f t="shared" si="11"/>
        <v>11014.2</v>
      </c>
      <c r="X22" s="40">
        <v>0</v>
      </c>
    </row>
    <row r="23" spans="1:29" s="40" customFormat="1" ht="14.45" customHeight="1" x14ac:dyDescent="0.25">
      <c r="A23" s="133" t="s">
        <v>62</v>
      </c>
      <c r="B23" s="51" t="s">
        <v>338</v>
      </c>
      <c r="C23" s="94" t="s">
        <v>54</v>
      </c>
      <c r="D23" s="95" t="s">
        <v>308</v>
      </c>
      <c r="E23" s="96" t="s">
        <v>114</v>
      </c>
      <c r="F23" s="97" t="s">
        <v>270</v>
      </c>
      <c r="G23" s="98">
        <f t="shared" si="7"/>
        <v>10760</v>
      </c>
      <c r="H23" s="99">
        <f t="shared" si="8"/>
        <v>11810</v>
      </c>
      <c r="I23" s="99">
        <f t="shared" si="9"/>
        <v>11810</v>
      </c>
      <c r="J23" s="99">
        <f t="shared" si="10"/>
        <v>14610</v>
      </c>
      <c r="K23" s="57"/>
      <c r="L23" s="156" t="s">
        <v>378</v>
      </c>
      <c r="M23" s="52" t="s">
        <v>292</v>
      </c>
      <c r="N23" s="40">
        <v>0</v>
      </c>
      <c r="O23" s="53">
        <f>VLOOKUP(B23,DRAYAGE!$A$1:$C$107,3,FALSE)</f>
        <v>1310</v>
      </c>
      <c r="P23" s="40" t="s">
        <v>347</v>
      </c>
      <c r="S23" s="101">
        <f t="shared" si="0"/>
        <v>9450</v>
      </c>
      <c r="T23" s="54">
        <f>T14+2000</f>
        <v>10500</v>
      </c>
      <c r="U23" s="103">
        <f t="shared" si="5"/>
        <v>10500</v>
      </c>
      <c r="V23" s="104">
        <f t="shared" si="11"/>
        <v>13293</v>
      </c>
      <c r="X23" s="40">
        <v>0</v>
      </c>
      <c r="Y23" s="40">
        <f>0.9*Z23</f>
        <v>0</v>
      </c>
      <c r="AA23" s="40">
        <f>Z23</f>
        <v>0</v>
      </c>
      <c r="AB23" s="40">
        <f>Z23*1.266</f>
        <v>0</v>
      </c>
    </row>
    <row r="24" spans="1:29" s="40" customFormat="1" ht="14.45" customHeight="1" x14ac:dyDescent="0.25">
      <c r="A24" s="133" t="s">
        <v>66</v>
      </c>
      <c r="B24" s="51" t="s">
        <v>338</v>
      </c>
      <c r="C24" s="94" t="s">
        <v>54</v>
      </c>
      <c r="D24" s="95" t="s">
        <v>308</v>
      </c>
      <c r="E24" s="96" t="s">
        <v>114</v>
      </c>
      <c r="F24" s="97" t="s">
        <v>270</v>
      </c>
      <c r="G24" s="98">
        <f t="shared" si="7"/>
        <v>10760</v>
      </c>
      <c r="H24" s="99">
        <f t="shared" si="8"/>
        <v>11810</v>
      </c>
      <c r="I24" s="99">
        <f t="shared" si="9"/>
        <v>11810</v>
      </c>
      <c r="J24" s="99">
        <f t="shared" si="10"/>
        <v>14610</v>
      </c>
      <c r="K24" s="57"/>
      <c r="L24" s="156" t="s">
        <v>378</v>
      </c>
      <c r="M24" s="52" t="s">
        <v>292</v>
      </c>
      <c r="N24" s="40">
        <v>0</v>
      </c>
      <c r="O24" s="53">
        <f>VLOOKUP(B24,DRAYAGE!$A$1:$C$107,3,FALSE)</f>
        <v>1310</v>
      </c>
      <c r="P24" s="40" t="s">
        <v>347</v>
      </c>
      <c r="S24" s="101">
        <f t="shared" si="0"/>
        <v>9450</v>
      </c>
      <c r="T24" s="54">
        <f>T14+2000</f>
        <v>10500</v>
      </c>
      <c r="U24" s="103">
        <f t="shared" si="5"/>
        <v>10500</v>
      </c>
      <c r="V24" s="104">
        <f t="shared" si="11"/>
        <v>13293</v>
      </c>
      <c r="X24" s="40">
        <v>0</v>
      </c>
    </row>
    <row r="25" spans="1:29" s="40" customFormat="1" ht="14.45" customHeight="1" x14ac:dyDescent="0.25">
      <c r="A25" s="133" t="s">
        <v>65</v>
      </c>
      <c r="B25" s="51" t="s">
        <v>338</v>
      </c>
      <c r="C25" s="94" t="s">
        <v>54</v>
      </c>
      <c r="D25" s="95" t="s">
        <v>308</v>
      </c>
      <c r="E25" s="96" t="s">
        <v>114</v>
      </c>
      <c r="F25" s="97" t="s">
        <v>270</v>
      </c>
      <c r="G25" s="98">
        <f t="shared" si="7"/>
        <v>10760</v>
      </c>
      <c r="H25" s="99">
        <f t="shared" si="8"/>
        <v>11810</v>
      </c>
      <c r="I25" s="99">
        <f t="shared" si="9"/>
        <v>11810</v>
      </c>
      <c r="J25" s="99">
        <f t="shared" si="10"/>
        <v>14610</v>
      </c>
      <c r="K25" s="57"/>
      <c r="L25" s="156" t="s">
        <v>378</v>
      </c>
      <c r="M25" s="52" t="s">
        <v>292</v>
      </c>
      <c r="N25" s="40">
        <v>0</v>
      </c>
      <c r="O25" s="53">
        <f>VLOOKUP(B25,DRAYAGE!$A$1:$C$107,3,FALSE)</f>
        <v>1310</v>
      </c>
      <c r="P25" s="40" t="s">
        <v>347</v>
      </c>
      <c r="S25" s="101">
        <f t="shared" si="0"/>
        <v>9450</v>
      </c>
      <c r="T25" s="54">
        <f>T14+2000</f>
        <v>10500</v>
      </c>
      <c r="U25" s="103">
        <f t="shared" si="5"/>
        <v>10500</v>
      </c>
      <c r="V25" s="104">
        <f t="shared" si="11"/>
        <v>13293</v>
      </c>
      <c r="X25" s="40">
        <v>0</v>
      </c>
      <c r="Y25" s="40">
        <f>0.9*Z25</f>
        <v>0</v>
      </c>
      <c r="AA25" s="40">
        <f>Z25</f>
        <v>0</v>
      </c>
      <c r="AB25" s="40">
        <f>Z25*1.266</f>
        <v>0</v>
      </c>
    </row>
    <row r="26" spans="1:29" s="40" customFormat="1" ht="14.45" customHeight="1" x14ac:dyDescent="0.25">
      <c r="A26" s="133" t="s">
        <v>63</v>
      </c>
      <c r="B26" s="51" t="s">
        <v>338</v>
      </c>
      <c r="C26" s="94" t="s">
        <v>54</v>
      </c>
      <c r="D26" s="95" t="s">
        <v>308</v>
      </c>
      <c r="E26" s="96" t="s">
        <v>114</v>
      </c>
      <c r="F26" s="97" t="s">
        <v>270</v>
      </c>
      <c r="G26" s="98">
        <f t="shared" si="7"/>
        <v>10760</v>
      </c>
      <c r="H26" s="99">
        <f t="shared" si="8"/>
        <v>11810</v>
      </c>
      <c r="I26" s="99">
        <f t="shared" si="9"/>
        <v>11810</v>
      </c>
      <c r="J26" s="99">
        <f t="shared" si="10"/>
        <v>14610</v>
      </c>
      <c r="K26" s="57"/>
      <c r="L26" s="156" t="s">
        <v>378</v>
      </c>
      <c r="M26" s="52" t="s">
        <v>292</v>
      </c>
      <c r="N26" s="40">
        <v>0</v>
      </c>
      <c r="O26" s="53">
        <f>VLOOKUP(B26,DRAYAGE!$A$1:$C$107,3,FALSE)</f>
        <v>1310</v>
      </c>
      <c r="P26" s="40" t="s">
        <v>347</v>
      </c>
      <c r="S26" s="101">
        <f t="shared" si="0"/>
        <v>9450</v>
      </c>
      <c r="T26" s="54">
        <f>T14+2000</f>
        <v>10500</v>
      </c>
      <c r="U26" s="103">
        <f t="shared" si="5"/>
        <v>10500</v>
      </c>
      <c r="V26" s="104">
        <f t="shared" si="11"/>
        <v>13293</v>
      </c>
      <c r="X26" s="40">
        <v>0</v>
      </c>
      <c r="Y26" s="40">
        <f>0.9*Z26</f>
        <v>0</v>
      </c>
      <c r="AA26" s="40">
        <f>Z26</f>
        <v>0</v>
      </c>
      <c r="AB26" s="40">
        <f>Z26*1.266</f>
        <v>0</v>
      </c>
    </row>
    <row r="27" spans="1:29" s="45" customFormat="1" ht="14.45" customHeight="1" x14ac:dyDescent="0.25">
      <c r="A27" s="133" t="s">
        <v>275</v>
      </c>
      <c r="B27" s="51" t="s">
        <v>338</v>
      </c>
      <c r="C27" s="106" t="s">
        <v>54</v>
      </c>
      <c r="D27" s="95" t="s">
        <v>308</v>
      </c>
      <c r="E27" s="107" t="s">
        <v>114</v>
      </c>
      <c r="F27" s="108" t="s">
        <v>270</v>
      </c>
      <c r="G27" s="98">
        <f t="shared" si="7"/>
        <v>10760</v>
      </c>
      <c r="H27" s="99">
        <f t="shared" si="8"/>
        <v>11810</v>
      </c>
      <c r="I27" s="99">
        <f t="shared" si="9"/>
        <v>11810</v>
      </c>
      <c r="J27" s="99">
        <f t="shared" si="10"/>
        <v>14610</v>
      </c>
      <c r="K27" s="111"/>
      <c r="L27" s="156" t="s">
        <v>378</v>
      </c>
      <c r="M27" s="52" t="s">
        <v>292</v>
      </c>
      <c r="N27" s="45">
        <v>0</v>
      </c>
      <c r="O27" s="53">
        <f>VLOOKUP(B27,DRAYAGE!$A$1:$C$107,3,FALSE)</f>
        <v>1310</v>
      </c>
      <c r="P27" s="40" t="s">
        <v>347</v>
      </c>
      <c r="R27" s="105"/>
      <c r="S27" s="113">
        <f t="shared" si="0"/>
        <v>9450</v>
      </c>
      <c r="T27" s="54">
        <f>T14+2000</f>
        <v>10500</v>
      </c>
      <c r="U27" s="103">
        <f t="shared" si="5"/>
        <v>10500</v>
      </c>
      <c r="V27" s="114">
        <f t="shared" si="11"/>
        <v>13293</v>
      </c>
      <c r="X27" s="45">
        <v>0</v>
      </c>
      <c r="Y27" s="40">
        <f>0.9*Z27</f>
        <v>0</v>
      </c>
      <c r="AA27" s="40">
        <f>Z27</f>
        <v>0</v>
      </c>
      <c r="AB27" s="40">
        <f>Z27*1.266</f>
        <v>0</v>
      </c>
    </row>
    <row r="28" spans="1:29" s="40" customFormat="1" ht="14.45" customHeight="1" x14ac:dyDescent="0.25">
      <c r="A28" s="144" t="s">
        <v>376</v>
      </c>
      <c r="B28" s="51" t="s">
        <v>338</v>
      </c>
      <c r="C28" s="94" t="s">
        <v>54</v>
      </c>
      <c r="D28" s="153" t="s">
        <v>377</v>
      </c>
      <c r="E28" s="96" t="s">
        <v>114</v>
      </c>
      <c r="F28" s="97" t="s">
        <v>270</v>
      </c>
      <c r="G28" s="98">
        <f>CEILING(S28+W28+X28+O28+N28+Y28,10)</f>
        <v>9210</v>
      </c>
      <c r="H28" s="154">
        <f>CEILING(T28+W28+X28+O28+N28+Z28,10)</f>
        <v>9410</v>
      </c>
      <c r="I28" s="154">
        <f>CEILING(U28+W28+X28+O28+N28+AA28,10)</f>
        <v>9410</v>
      </c>
      <c r="J28" s="99">
        <f>CEILING(V28+W28+X28+O28+N28+AB28,10)</f>
        <v>11570</v>
      </c>
      <c r="K28" s="57"/>
      <c r="L28" s="155" t="s">
        <v>377</v>
      </c>
      <c r="M28" s="52" t="s">
        <v>292</v>
      </c>
      <c r="N28" s="40">
        <v>0</v>
      </c>
      <c r="O28" s="53">
        <f>VLOOKUP(B28,DRAYAGE!$A$1:$C$107,3,FALSE)</f>
        <v>1310</v>
      </c>
      <c r="P28" s="40" t="s">
        <v>347</v>
      </c>
      <c r="S28" s="157">
        <v>7900</v>
      </c>
      <c r="T28" s="54">
        <v>8100</v>
      </c>
      <c r="U28" s="103">
        <f>T28</f>
        <v>8100</v>
      </c>
      <c r="V28" s="104">
        <f>U28*1.266</f>
        <v>10254.6</v>
      </c>
      <c r="X28" s="40">
        <v>0</v>
      </c>
    </row>
    <row r="29" spans="1:29" s="40" customFormat="1" ht="14.45" customHeight="1" x14ac:dyDescent="0.25">
      <c r="A29" s="134" t="s">
        <v>333</v>
      </c>
      <c r="B29" s="88"/>
      <c r="C29" s="88"/>
      <c r="D29" s="88"/>
      <c r="E29" s="210"/>
      <c r="F29" s="211"/>
      <c r="G29" s="88"/>
      <c r="H29" s="88"/>
      <c r="I29" s="88"/>
      <c r="J29" s="88"/>
      <c r="K29" s="57"/>
      <c r="L29" s="89" t="s">
        <v>48</v>
      </c>
      <c r="M29" s="89" t="s">
        <v>261</v>
      </c>
      <c r="N29" s="90" t="s">
        <v>51</v>
      </c>
      <c r="O29" s="91" t="s">
        <v>50</v>
      </c>
      <c r="P29" s="91" t="s">
        <v>262</v>
      </c>
      <c r="Q29" s="91" t="s">
        <v>263</v>
      </c>
      <c r="R29" s="91" t="s">
        <v>264</v>
      </c>
      <c r="S29" s="92" t="s">
        <v>52</v>
      </c>
      <c r="T29" s="92" t="s">
        <v>53</v>
      </c>
      <c r="U29" s="92" t="s">
        <v>265</v>
      </c>
      <c r="V29" s="92" t="s">
        <v>266</v>
      </c>
      <c r="W29" s="92" t="s">
        <v>267</v>
      </c>
      <c r="X29" s="92" t="s">
        <v>268</v>
      </c>
      <c r="Y29" s="92" t="s">
        <v>52</v>
      </c>
      <c r="Z29" s="92" t="s">
        <v>53</v>
      </c>
      <c r="AA29" s="92" t="s">
        <v>265</v>
      </c>
      <c r="AB29" s="92" t="s">
        <v>266</v>
      </c>
      <c r="AC29" s="93" t="s">
        <v>269</v>
      </c>
    </row>
    <row r="30" spans="1:29" s="40" customFormat="1" ht="14.45" customHeight="1" x14ac:dyDescent="0.25">
      <c r="A30" s="133" t="s">
        <v>58</v>
      </c>
      <c r="B30" s="51" t="s">
        <v>339</v>
      </c>
      <c r="C30" s="94" t="s">
        <v>54</v>
      </c>
      <c r="D30" s="95" t="s">
        <v>308</v>
      </c>
      <c r="E30" s="96" t="s">
        <v>114</v>
      </c>
      <c r="F30" s="97" t="s">
        <v>270</v>
      </c>
      <c r="G30" s="98">
        <f>CEILING(S30+W30+X30+O30+N30+Y30,10)</f>
        <v>16170</v>
      </c>
      <c r="H30" s="99">
        <f>CEILING(T30+W30+X30+O30+N30+Z30,10)</f>
        <v>17670</v>
      </c>
      <c r="I30" s="99">
        <f>CEILING(U30+W30+X30+O30+N30+AA30,10)</f>
        <v>17670</v>
      </c>
      <c r="J30" s="99">
        <f>CEILING(V30+W30+X30+O30+N30+AB30,10)</f>
        <v>21660</v>
      </c>
      <c r="K30" s="57"/>
      <c r="L30" s="156" t="s">
        <v>378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S30" s="101">
        <f>0.9*T30</f>
        <v>13500</v>
      </c>
      <c r="T30" s="54">
        <f>14000+1000</f>
        <v>15000</v>
      </c>
      <c r="U30" s="103">
        <f t="shared" si="5"/>
        <v>15000</v>
      </c>
      <c r="V30" s="104">
        <f>U30*1.266</f>
        <v>18990</v>
      </c>
    </row>
    <row r="31" spans="1:29" s="40" customFormat="1" ht="14.45" customHeight="1" x14ac:dyDescent="0.25">
      <c r="A31" s="133" t="s">
        <v>55</v>
      </c>
      <c r="B31" s="51" t="s">
        <v>339</v>
      </c>
      <c r="C31" s="94" t="s">
        <v>54</v>
      </c>
      <c r="D31" s="95" t="s">
        <v>308</v>
      </c>
      <c r="E31" s="96" t="s">
        <v>114</v>
      </c>
      <c r="F31" s="97" t="s">
        <v>270</v>
      </c>
      <c r="G31" s="98">
        <f>CEILING(S31+W31+X31+O31+N31+Y31,10)</f>
        <v>13470</v>
      </c>
      <c r="H31" s="99">
        <f>CEILING(T31+W31+X31+O31+N31+Z31,10)</f>
        <v>14670</v>
      </c>
      <c r="I31" s="99">
        <f>CEILING(U31+W31+X31+O31+N31+AA31,10)</f>
        <v>14670</v>
      </c>
      <c r="J31" s="99">
        <f>CEILING(V31+W31+X31+O31+N31+AB31,10)</f>
        <v>17860</v>
      </c>
      <c r="K31" s="57"/>
      <c r="L31" s="156" t="s">
        <v>378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S31" s="101">
        <f>0.9*T31</f>
        <v>10800</v>
      </c>
      <c r="T31" s="54">
        <v>12000</v>
      </c>
      <c r="U31" s="103">
        <f t="shared" si="5"/>
        <v>12000</v>
      </c>
      <c r="V31" s="104">
        <f>U31*1.266</f>
        <v>15192</v>
      </c>
    </row>
    <row r="32" spans="1:29" s="40" customFormat="1" ht="14.45" customHeight="1" x14ac:dyDescent="0.25">
      <c r="A32" s="133" t="s">
        <v>61</v>
      </c>
      <c r="B32" s="51" t="s">
        <v>339</v>
      </c>
      <c r="C32" s="94" t="s">
        <v>54</v>
      </c>
      <c r="D32" s="95" t="s">
        <v>308</v>
      </c>
      <c r="E32" s="96" t="s">
        <v>114</v>
      </c>
      <c r="F32" s="97" t="s">
        <v>270</v>
      </c>
      <c r="G32" s="98">
        <f>CEILING(S32+W32+X32+O32+N32+Y32,10)</f>
        <v>13470</v>
      </c>
      <c r="H32" s="99">
        <f>CEILING(T32+W32+X32+O32+N32+Z32,10)</f>
        <v>14670</v>
      </c>
      <c r="I32" s="99">
        <f>CEILING(U32+W32+X32+O32+N32+AA32,10)</f>
        <v>14670</v>
      </c>
      <c r="J32" s="99">
        <f>CEILING(V32+W32+X32+O32+N32+AB32,10)</f>
        <v>17860</v>
      </c>
      <c r="K32" s="57"/>
      <c r="L32" s="156" t="s">
        <v>378</v>
      </c>
      <c r="M32" s="52" t="s">
        <v>293</v>
      </c>
      <c r="N32" s="40">
        <v>0</v>
      </c>
      <c r="O32" s="53">
        <f>VLOOKUP(B32,DRAYAGE!$A$1:$C$107,3,FALSE)</f>
        <v>2665</v>
      </c>
      <c r="P32" s="40" t="s">
        <v>299</v>
      </c>
      <c r="S32" s="101">
        <f>0.9*T32</f>
        <v>10800</v>
      </c>
      <c r="T32" s="54">
        <v>12000</v>
      </c>
      <c r="U32" s="103">
        <f t="shared" si="5"/>
        <v>12000</v>
      </c>
      <c r="V32" s="104">
        <f>U32*1.266</f>
        <v>15192</v>
      </c>
    </row>
    <row r="33" spans="1:29" s="40" customFormat="1" ht="14.45" customHeight="1" x14ac:dyDescent="0.25">
      <c r="A33" s="144" t="s">
        <v>61</v>
      </c>
      <c r="B33" s="51" t="s">
        <v>339</v>
      </c>
      <c r="C33" s="94" t="s">
        <v>54</v>
      </c>
      <c r="D33" s="153" t="s">
        <v>377</v>
      </c>
      <c r="E33" s="96" t="s">
        <v>114</v>
      </c>
      <c r="F33" s="97" t="s">
        <v>270</v>
      </c>
      <c r="G33" s="98">
        <f>CEILING(S33+W33+X33+O33+N33+Y33,10)</f>
        <v>13020</v>
      </c>
      <c r="H33" s="154">
        <f>CEILING(T33+W33+X33+O33+N33+Z33,10)</f>
        <v>14170</v>
      </c>
      <c r="I33" s="154">
        <f>CEILING(U33+W33+X33+O33+N33+AA33,10)</f>
        <v>14170</v>
      </c>
      <c r="J33" s="99">
        <f>CEILING(V33+W33+X33+O33+N33+AB33,10)</f>
        <v>17230</v>
      </c>
      <c r="K33" s="57"/>
      <c r="L33" s="155" t="s">
        <v>377</v>
      </c>
      <c r="M33" s="52" t="s">
        <v>293</v>
      </c>
      <c r="N33" s="40">
        <v>0</v>
      </c>
      <c r="O33" s="53">
        <f>VLOOKUP(B33,DRAYAGE!$A$1:$C$107,3,FALSE)</f>
        <v>2665</v>
      </c>
      <c r="P33" s="40" t="s">
        <v>299</v>
      </c>
      <c r="S33" s="101">
        <f>0.9*T33</f>
        <v>10350</v>
      </c>
      <c r="T33" s="54">
        <v>11500</v>
      </c>
      <c r="U33" s="103">
        <f>T33</f>
        <v>11500</v>
      </c>
      <c r="V33" s="104">
        <f>U33*1.266</f>
        <v>14559</v>
      </c>
    </row>
    <row r="34" spans="1:29" s="40" customFormat="1" ht="14.45" customHeight="1" x14ac:dyDescent="0.25">
      <c r="A34" s="134" t="s">
        <v>334</v>
      </c>
      <c r="B34" s="88"/>
      <c r="C34" s="88"/>
      <c r="D34" s="88"/>
      <c r="E34" s="210"/>
      <c r="F34" s="211"/>
      <c r="G34" s="88"/>
      <c r="H34" s="88"/>
      <c r="I34" s="88"/>
      <c r="J34" s="88"/>
      <c r="K34" s="57"/>
      <c r="L34" s="89" t="s">
        <v>48</v>
      </c>
      <c r="M34" s="89" t="s">
        <v>261</v>
      </c>
      <c r="N34" s="90" t="s">
        <v>51</v>
      </c>
      <c r="O34" s="91" t="s">
        <v>50</v>
      </c>
      <c r="P34" s="91" t="s">
        <v>262</v>
      </c>
      <c r="Q34" s="91" t="s">
        <v>263</v>
      </c>
      <c r="R34" s="91" t="s">
        <v>264</v>
      </c>
      <c r="S34" s="92" t="s">
        <v>52</v>
      </c>
      <c r="T34" s="92" t="s">
        <v>53</v>
      </c>
      <c r="U34" s="92" t="s">
        <v>265</v>
      </c>
      <c r="V34" s="92" t="s">
        <v>266</v>
      </c>
      <c r="W34" s="92" t="s">
        <v>267</v>
      </c>
      <c r="X34" s="92" t="s">
        <v>268</v>
      </c>
      <c r="Y34" s="92" t="s">
        <v>52</v>
      </c>
      <c r="Z34" s="92" t="s">
        <v>53</v>
      </c>
      <c r="AA34" s="92" t="s">
        <v>265</v>
      </c>
      <c r="AB34" s="92" t="s">
        <v>266</v>
      </c>
      <c r="AC34" s="93" t="s">
        <v>269</v>
      </c>
    </row>
    <row r="35" spans="1:29" s="40" customFormat="1" ht="14.45" customHeight="1" x14ac:dyDescent="0.25">
      <c r="A35" s="133" t="s">
        <v>58</v>
      </c>
      <c r="B35" s="51" t="s">
        <v>341</v>
      </c>
      <c r="C35" s="94" t="s">
        <v>54</v>
      </c>
      <c r="D35" s="95" t="s">
        <v>308</v>
      </c>
      <c r="E35" s="96" t="s">
        <v>114</v>
      </c>
      <c r="F35" s="97" t="s">
        <v>270</v>
      </c>
      <c r="G35" s="98">
        <f>CEILING(S35+W35+X35+O35+N35+Y35,10)</f>
        <v>15190</v>
      </c>
      <c r="H35" s="99">
        <f>CEILING(T35+W35+X35+O35+N35+Z35,10)</f>
        <v>16690</v>
      </c>
      <c r="I35" s="99">
        <f>CEILING(U35+W35+X35+O35+N35+AA35,10)</f>
        <v>16690</v>
      </c>
      <c r="J35" s="99">
        <f>CEILING(V35+W35+X35+O35+N35+AB35,10)</f>
        <v>20680</v>
      </c>
      <c r="K35" s="57"/>
      <c r="L35" s="156" t="s">
        <v>378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S35" s="101">
        <f>0.9*T35</f>
        <v>13500</v>
      </c>
      <c r="T35" s="54">
        <f>T30</f>
        <v>15000</v>
      </c>
      <c r="U35" s="103">
        <f t="shared" si="5"/>
        <v>15000</v>
      </c>
      <c r="V35" s="104">
        <f>U35*1.266</f>
        <v>18990</v>
      </c>
      <c r="X35" s="40">
        <v>0</v>
      </c>
    </row>
    <row r="36" spans="1:29" s="40" customFormat="1" ht="14.45" customHeight="1" x14ac:dyDescent="0.25">
      <c r="A36" s="133" t="s">
        <v>55</v>
      </c>
      <c r="B36" s="51" t="s">
        <v>341</v>
      </c>
      <c r="C36" s="94" t="s">
        <v>54</v>
      </c>
      <c r="D36" s="95" t="s">
        <v>308</v>
      </c>
      <c r="E36" s="96" t="s">
        <v>114</v>
      </c>
      <c r="F36" s="97" t="s">
        <v>270</v>
      </c>
      <c r="G36" s="98">
        <f>CEILING(S36+W36+X36+O36+N36+Y36,10)</f>
        <v>12490</v>
      </c>
      <c r="H36" s="99">
        <f>CEILING(T36+W36+X36+O36+N36+Z36,10)</f>
        <v>13690</v>
      </c>
      <c r="I36" s="99">
        <f>CEILING(U36+W36+X36+O36+N36+AA36,10)</f>
        <v>13690</v>
      </c>
      <c r="J36" s="99">
        <f>CEILING(V36+W36+X36+O36+N36+AB36,10)</f>
        <v>16890</v>
      </c>
      <c r="K36" s="57"/>
      <c r="L36" s="156" t="s">
        <v>378</v>
      </c>
      <c r="M36" s="52" t="s">
        <v>293</v>
      </c>
      <c r="N36" s="40">
        <v>0</v>
      </c>
      <c r="O36" s="53">
        <f>VLOOKUP(B36,DRAYAGE!$A$1:$C$107,3,FALSE)</f>
        <v>1690</v>
      </c>
      <c r="P36" s="40" t="s">
        <v>299</v>
      </c>
      <c r="S36" s="101">
        <f>0.9*T36</f>
        <v>10800</v>
      </c>
      <c r="T36" s="54">
        <f>T31</f>
        <v>12000</v>
      </c>
      <c r="U36" s="103">
        <f t="shared" si="5"/>
        <v>12000</v>
      </c>
      <c r="V36" s="104">
        <f>U36*1.266</f>
        <v>15192</v>
      </c>
      <c r="X36" s="40">
        <v>0</v>
      </c>
    </row>
    <row r="37" spans="1:29" s="40" customFormat="1" ht="14.45" customHeight="1" x14ac:dyDescent="0.25">
      <c r="A37" s="133" t="s">
        <v>61</v>
      </c>
      <c r="B37" s="51" t="s">
        <v>341</v>
      </c>
      <c r="C37" s="94" t="s">
        <v>54</v>
      </c>
      <c r="D37" s="95" t="s">
        <v>308</v>
      </c>
      <c r="E37" s="96" t="s">
        <v>114</v>
      </c>
      <c r="F37" s="97" t="s">
        <v>270</v>
      </c>
      <c r="G37" s="98">
        <f>CEILING(S37+W37+X37+O37+N37+Y37,10)</f>
        <v>12490</v>
      </c>
      <c r="H37" s="99">
        <f>CEILING(T37+W37+X37+O37+N37+Z37,10)</f>
        <v>13690</v>
      </c>
      <c r="I37" s="99">
        <f>CEILING(U37+W37+X37+O37+N37+AA37,10)</f>
        <v>13690</v>
      </c>
      <c r="J37" s="99">
        <f>CEILING(V37+W37+X37+O37+N37+AB37,10)</f>
        <v>16890</v>
      </c>
      <c r="K37" s="57"/>
      <c r="L37" s="156" t="s">
        <v>378</v>
      </c>
      <c r="M37" s="52" t="s">
        <v>293</v>
      </c>
      <c r="N37" s="40">
        <v>0</v>
      </c>
      <c r="O37" s="53">
        <f>VLOOKUP(B37,DRAYAGE!$A$1:$C$107,3,FALSE)</f>
        <v>1690</v>
      </c>
      <c r="P37" s="40" t="s">
        <v>299</v>
      </c>
      <c r="S37" s="101">
        <f>0.9*T37</f>
        <v>10800</v>
      </c>
      <c r="T37" s="54">
        <f>T32</f>
        <v>12000</v>
      </c>
      <c r="U37" s="103">
        <f t="shared" si="5"/>
        <v>12000</v>
      </c>
      <c r="V37" s="104">
        <f>U37*1.266</f>
        <v>15192</v>
      </c>
      <c r="X37" s="40">
        <v>0</v>
      </c>
    </row>
    <row r="38" spans="1:29" s="40" customFormat="1" ht="14.45" customHeight="1" x14ac:dyDescent="0.25">
      <c r="A38" s="144" t="s">
        <v>61</v>
      </c>
      <c r="B38" s="51" t="s">
        <v>341</v>
      </c>
      <c r="C38" s="94" t="s">
        <v>54</v>
      </c>
      <c r="D38" s="153" t="s">
        <v>377</v>
      </c>
      <c r="E38" s="96" t="s">
        <v>114</v>
      </c>
      <c r="F38" s="97" t="s">
        <v>270</v>
      </c>
      <c r="G38" s="98">
        <f>CEILING(S38+W38+X38+O38+N38+Y38,10)</f>
        <v>12040</v>
      </c>
      <c r="H38" s="99">
        <f>CEILING(T38+W38+X38+O38+N38+Z38,10)</f>
        <v>13190</v>
      </c>
      <c r="I38" s="99">
        <f>CEILING(U38+W38+X38+O38+N38+AA38,10)</f>
        <v>13190</v>
      </c>
      <c r="J38" s="99">
        <f>CEILING(V38+W38+X38+O38+N38+AB38,10)</f>
        <v>16250</v>
      </c>
      <c r="K38" s="57"/>
      <c r="L38" s="155" t="s">
        <v>377</v>
      </c>
      <c r="M38" s="52" t="s">
        <v>293</v>
      </c>
      <c r="N38" s="40">
        <v>0</v>
      </c>
      <c r="O38" s="53">
        <f>VLOOKUP(B38,DRAYAGE!$A$1:$C$107,3,FALSE)</f>
        <v>1690</v>
      </c>
      <c r="P38" s="40" t="s">
        <v>299</v>
      </c>
      <c r="S38" s="101">
        <f>0.9*T38</f>
        <v>10350</v>
      </c>
      <c r="T38" s="54">
        <f>T33</f>
        <v>11500</v>
      </c>
      <c r="U38" s="103">
        <f>T38</f>
        <v>11500</v>
      </c>
      <c r="V38" s="104">
        <f>U38*1.266</f>
        <v>14559</v>
      </c>
      <c r="X38" s="40">
        <v>0</v>
      </c>
    </row>
    <row r="39" spans="1:29" s="40" customFormat="1" ht="14.45" customHeight="1" x14ac:dyDescent="0.25">
      <c r="A39" s="134" t="s">
        <v>335</v>
      </c>
      <c r="B39" s="88"/>
      <c r="C39" s="88"/>
      <c r="D39" s="88"/>
      <c r="E39" s="210"/>
      <c r="F39" s="211"/>
      <c r="G39" s="88"/>
      <c r="H39" s="88"/>
      <c r="I39" s="88"/>
      <c r="J39" s="88"/>
      <c r="K39" s="57"/>
      <c r="L39" s="89" t="s">
        <v>48</v>
      </c>
      <c r="M39" s="89" t="s">
        <v>261</v>
      </c>
      <c r="N39" s="90" t="s">
        <v>51</v>
      </c>
      <c r="O39" s="91" t="s">
        <v>50</v>
      </c>
      <c r="P39" s="91" t="s">
        <v>262</v>
      </c>
      <c r="Q39" s="91" t="s">
        <v>263</v>
      </c>
      <c r="R39" s="91" t="s">
        <v>264</v>
      </c>
      <c r="S39" s="92" t="s">
        <v>52</v>
      </c>
      <c r="T39" s="92" t="s">
        <v>53</v>
      </c>
      <c r="U39" s="92" t="s">
        <v>265</v>
      </c>
      <c r="V39" s="92" t="s">
        <v>266</v>
      </c>
      <c r="W39" s="92" t="s">
        <v>267</v>
      </c>
      <c r="X39" s="92" t="s">
        <v>268</v>
      </c>
      <c r="Y39" s="92" t="s">
        <v>52</v>
      </c>
      <c r="Z39" s="92" t="s">
        <v>53</v>
      </c>
      <c r="AA39" s="92" t="s">
        <v>265</v>
      </c>
      <c r="AB39" s="92" t="s">
        <v>266</v>
      </c>
      <c r="AC39" s="93" t="s">
        <v>269</v>
      </c>
    </row>
    <row r="40" spans="1:29" s="40" customFormat="1" ht="18.75" x14ac:dyDescent="0.25">
      <c r="A40" s="133" t="s">
        <v>81</v>
      </c>
      <c r="B40" s="51" t="s">
        <v>340</v>
      </c>
      <c r="C40" s="94" t="s">
        <v>54</v>
      </c>
      <c r="D40" s="95" t="s">
        <v>308</v>
      </c>
      <c r="E40" s="96" t="s">
        <v>114</v>
      </c>
      <c r="F40" s="97" t="s">
        <v>270</v>
      </c>
      <c r="G40" s="98">
        <f t="shared" ref="G40:G47" si="12">CEILING(S40+W40+X40+O40+N40+Y40,10)</f>
        <v>12610</v>
      </c>
      <c r="H40" s="99">
        <f t="shared" ref="H40:H47" si="13">CEILING(T40+W40+X40+O40+N40+Z40,10)</f>
        <v>13810</v>
      </c>
      <c r="I40" s="99">
        <f t="shared" ref="I40:I47" si="14">CEILING(U40+W40+X40+O40+N40+AA40,10)</f>
        <v>13810</v>
      </c>
      <c r="J40" s="99">
        <f t="shared" ref="J40:J47" si="15">CEILING(V40+W40+X40+O40+N40+AB40,10)</f>
        <v>17000</v>
      </c>
      <c r="K40" s="57"/>
      <c r="L40" s="156" t="s">
        <v>378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S40" s="101">
        <f t="shared" ref="S40:S47" si="16">0.9*T40</f>
        <v>10800</v>
      </c>
      <c r="T40" s="54">
        <v>12000</v>
      </c>
      <c r="U40" s="103">
        <f t="shared" si="5"/>
        <v>12000</v>
      </c>
      <c r="V40" s="104">
        <f t="shared" ref="V40:V47" si="17">U40*1.266</f>
        <v>15192</v>
      </c>
      <c r="X40" s="40">
        <v>0</v>
      </c>
    </row>
    <row r="41" spans="1:29" s="40" customFormat="1" ht="27" customHeight="1" x14ac:dyDescent="0.25">
      <c r="A41" s="133" t="s">
        <v>55</v>
      </c>
      <c r="B41" s="51" t="s">
        <v>340</v>
      </c>
      <c r="C41" s="94" t="s">
        <v>54</v>
      </c>
      <c r="D41" s="95" t="s">
        <v>308</v>
      </c>
      <c r="E41" s="96" t="s">
        <v>114</v>
      </c>
      <c r="F41" s="97" t="s">
        <v>270</v>
      </c>
      <c r="G41" s="98">
        <f t="shared" si="12"/>
        <v>12610</v>
      </c>
      <c r="H41" s="99">
        <f t="shared" si="13"/>
        <v>13810</v>
      </c>
      <c r="I41" s="99">
        <f t="shared" si="14"/>
        <v>13810</v>
      </c>
      <c r="J41" s="99">
        <f t="shared" si="15"/>
        <v>17000</v>
      </c>
      <c r="K41" s="57"/>
      <c r="L41" s="156" t="s">
        <v>378</v>
      </c>
      <c r="M41" s="52" t="s">
        <v>294</v>
      </c>
      <c r="N41" s="40">
        <v>0</v>
      </c>
      <c r="O41" s="53">
        <f>VLOOKUP(B41,DRAYAGE!$A$1:$C$107,3,FALSE)</f>
        <v>1805</v>
      </c>
      <c r="P41" s="40" t="s">
        <v>300</v>
      </c>
      <c r="S41" s="101">
        <f t="shared" si="16"/>
        <v>10800</v>
      </c>
      <c r="T41" s="54">
        <v>12000</v>
      </c>
      <c r="U41" s="103">
        <f t="shared" si="5"/>
        <v>12000</v>
      </c>
      <c r="V41" s="104">
        <f t="shared" si="17"/>
        <v>15192</v>
      </c>
      <c r="X41" s="40">
        <v>0</v>
      </c>
    </row>
    <row r="42" spans="1:29" s="40" customFormat="1" ht="14.45" customHeight="1" x14ac:dyDescent="0.25">
      <c r="A42" s="133" t="s">
        <v>59</v>
      </c>
      <c r="B42" s="51" t="s">
        <v>340</v>
      </c>
      <c r="C42" s="94" t="s">
        <v>54</v>
      </c>
      <c r="D42" s="95" t="s">
        <v>308</v>
      </c>
      <c r="E42" s="96" t="s">
        <v>114</v>
      </c>
      <c r="F42" s="97" t="s">
        <v>270</v>
      </c>
      <c r="G42" s="98">
        <f t="shared" si="12"/>
        <v>14410</v>
      </c>
      <c r="H42" s="99">
        <f t="shared" si="13"/>
        <v>15810</v>
      </c>
      <c r="I42" s="99">
        <f t="shared" si="14"/>
        <v>15810</v>
      </c>
      <c r="J42" s="99">
        <f t="shared" si="15"/>
        <v>19530</v>
      </c>
      <c r="K42" s="57"/>
      <c r="L42" s="156" t="s">
        <v>378</v>
      </c>
      <c r="M42" s="52" t="s">
        <v>294</v>
      </c>
      <c r="N42" s="40">
        <v>0</v>
      </c>
      <c r="O42" s="53">
        <f>VLOOKUP(B42,DRAYAGE!$A$1:$C$107,3,FALSE)</f>
        <v>1805</v>
      </c>
      <c r="P42" s="40" t="s">
        <v>300</v>
      </c>
      <c r="S42" s="101">
        <f t="shared" si="16"/>
        <v>12600</v>
      </c>
      <c r="T42" s="54">
        <v>14000</v>
      </c>
      <c r="U42" s="103">
        <f t="shared" si="5"/>
        <v>14000</v>
      </c>
      <c r="V42" s="104">
        <f t="shared" si="17"/>
        <v>17724</v>
      </c>
      <c r="X42" s="40">
        <v>0</v>
      </c>
    </row>
    <row r="43" spans="1:29" s="40" customFormat="1" ht="18.75" x14ac:dyDescent="0.25">
      <c r="A43" s="133" t="s">
        <v>60</v>
      </c>
      <c r="B43" s="51" t="s">
        <v>340</v>
      </c>
      <c r="C43" s="94" t="s">
        <v>54</v>
      </c>
      <c r="D43" s="95" t="s">
        <v>308</v>
      </c>
      <c r="E43" s="96" t="s">
        <v>114</v>
      </c>
      <c r="F43" s="97" t="s">
        <v>270</v>
      </c>
      <c r="G43" s="98">
        <f t="shared" si="12"/>
        <v>14860</v>
      </c>
      <c r="H43" s="99">
        <f t="shared" si="13"/>
        <v>16310</v>
      </c>
      <c r="I43" s="99">
        <f t="shared" si="14"/>
        <v>16310</v>
      </c>
      <c r="J43" s="99">
        <f t="shared" si="15"/>
        <v>20170</v>
      </c>
      <c r="K43" s="57"/>
      <c r="L43" s="156" t="s">
        <v>378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S43" s="101">
        <f t="shared" si="16"/>
        <v>13050</v>
      </c>
      <c r="T43" s="54">
        <v>14500</v>
      </c>
      <c r="U43" s="103">
        <f t="shared" si="5"/>
        <v>14500</v>
      </c>
      <c r="V43" s="104">
        <f t="shared" si="17"/>
        <v>18357</v>
      </c>
      <c r="X43" s="40">
        <v>0</v>
      </c>
    </row>
    <row r="44" spans="1:29" s="45" customFormat="1" ht="14.45" customHeight="1" x14ac:dyDescent="0.25">
      <c r="A44" s="133" t="s">
        <v>61</v>
      </c>
      <c r="B44" s="51" t="s">
        <v>340</v>
      </c>
      <c r="C44" s="106" t="s">
        <v>54</v>
      </c>
      <c r="D44" s="95" t="s">
        <v>308</v>
      </c>
      <c r="E44" s="107" t="s">
        <v>114</v>
      </c>
      <c r="F44" s="108" t="s">
        <v>270</v>
      </c>
      <c r="G44" s="109">
        <f t="shared" si="12"/>
        <v>12610</v>
      </c>
      <c r="H44" s="110">
        <f t="shared" si="13"/>
        <v>13810</v>
      </c>
      <c r="I44" s="110">
        <f t="shared" si="14"/>
        <v>13810</v>
      </c>
      <c r="J44" s="110">
        <f t="shared" si="15"/>
        <v>17000</v>
      </c>
      <c r="K44" s="111"/>
      <c r="L44" s="156" t="s">
        <v>378</v>
      </c>
      <c r="M44" s="52" t="s">
        <v>294</v>
      </c>
      <c r="N44" s="45">
        <v>0</v>
      </c>
      <c r="O44" s="53">
        <f>VLOOKUP(B44,DRAYAGE!$A$1:$C$107,3,FALSE)</f>
        <v>1805</v>
      </c>
      <c r="P44" s="40" t="s">
        <v>300</v>
      </c>
      <c r="R44" s="40"/>
      <c r="S44" s="113">
        <f t="shared" si="16"/>
        <v>10800</v>
      </c>
      <c r="T44" s="54">
        <v>12000</v>
      </c>
      <c r="U44" s="103">
        <f t="shared" si="5"/>
        <v>12000</v>
      </c>
      <c r="V44" s="114">
        <f t="shared" si="17"/>
        <v>15192</v>
      </c>
      <c r="X44" s="45">
        <v>0</v>
      </c>
      <c r="Y44" s="40"/>
      <c r="Z44" s="40"/>
      <c r="AA44" s="40"/>
      <c r="AB44" s="40"/>
    </row>
    <row r="45" spans="1:29" s="45" customFormat="1" ht="14.45" customHeight="1" x14ac:dyDescent="0.25">
      <c r="A45" s="144" t="s">
        <v>61</v>
      </c>
      <c r="B45" s="51" t="s">
        <v>340</v>
      </c>
      <c r="C45" s="106" t="s">
        <v>54</v>
      </c>
      <c r="D45" s="153" t="s">
        <v>377</v>
      </c>
      <c r="E45" s="107" t="s">
        <v>114</v>
      </c>
      <c r="F45" s="108" t="s">
        <v>270</v>
      </c>
      <c r="G45" s="109">
        <f t="shared" si="12"/>
        <v>11710</v>
      </c>
      <c r="H45" s="154">
        <f t="shared" si="13"/>
        <v>12810</v>
      </c>
      <c r="I45" s="154">
        <f t="shared" si="14"/>
        <v>12810</v>
      </c>
      <c r="J45" s="110">
        <f t="shared" si="15"/>
        <v>15740</v>
      </c>
      <c r="K45" s="111"/>
      <c r="L45" s="155" t="s">
        <v>377</v>
      </c>
      <c r="M45" s="52" t="s">
        <v>294</v>
      </c>
      <c r="N45" s="45">
        <v>0</v>
      </c>
      <c r="O45" s="53">
        <f>VLOOKUP(B45,DRAYAGE!$A$1:$C$107,3,FALSE)</f>
        <v>1805</v>
      </c>
      <c r="P45" s="40" t="s">
        <v>300</v>
      </c>
      <c r="R45" s="40"/>
      <c r="S45" s="113">
        <f>0.9*T45</f>
        <v>9900</v>
      </c>
      <c r="T45" s="54">
        <v>11000</v>
      </c>
      <c r="U45" s="103">
        <f>T45</f>
        <v>11000</v>
      </c>
      <c r="V45" s="114">
        <f t="shared" si="17"/>
        <v>13926</v>
      </c>
      <c r="X45" s="45">
        <v>0</v>
      </c>
      <c r="Y45" s="40"/>
      <c r="Z45" s="40"/>
      <c r="AA45" s="40"/>
      <c r="AB45" s="40"/>
    </row>
    <row r="46" spans="1:29" s="40" customFormat="1" ht="18.75" x14ac:dyDescent="0.25">
      <c r="A46" s="133" t="s">
        <v>273</v>
      </c>
      <c r="B46" s="51" t="s">
        <v>340</v>
      </c>
      <c r="C46" s="94" t="s">
        <v>54</v>
      </c>
      <c r="D46" s="95" t="s">
        <v>308</v>
      </c>
      <c r="E46" s="96" t="s">
        <v>114</v>
      </c>
      <c r="F46" s="97" t="s">
        <v>270</v>
      </c>
      <c r="G46" s="98">
        <f t="shared" si="12"/>
        <v>16660</v>
      </c>
      <c r="H46" s="99">
        <f t="shared" si="13"/>
        <v>18310</v>
      </c>
      <c r="I46" s="99">
        <f t="shared" si="14"/>
        <v>18310</v>
      </c>
      <c r="J46" s="99">
        <f t="shared" si="15"/>
        <v>22700</v>
      </c>
      <c r="K46" s="57"/>
      <c r="L46" s="156" t="s">
        <v>378</v>
      </c>
      <c r="M46" s="52" t="s">
        <v>294</v>
      </c>
      <c r="N46" s="40">
        <v>0</v>
      </c>
      <c r="O46" s="53">
        <f>VLOOKUP(B46,DRAYAGE!$A$1:$C$107,3,FALSE)</f>
        <v>1805</v>
      </c>
      <c r="P46" s="40" t="s">
        <v>300</v>
      </c>
      <c r="S46" s="101">
        <f t="shared" si="16"/>
        <v>14850</v>
      </c>
      <c r="T46" s="54">
        <f>16000+500</f>
        <v>16500</v>
      </c>
      <c r="U46" s="103">
        <f t="shared" si="5"/>
        <v>16500</v>
      </c>
      <c r="V46" s="104">
        <f t="shared" si="17"/>
        <v>20889</v>
      </c>
      <c r="X46" s="40">
        <v>0</v>
      </c>
    </row>
    <row r="47" spans="1:29" s="40" customFormat="1" ht="14.45" customHeight="1" x14ac:dyDescent="0.25">
      <c r="A47" s="133" t="s">
        <v>58</v>
      </c>
      <c r="B47" s="51" t="s">
        <v>340</v>
      </c>
      <c r="C47" s="94" t="s">
        <v>54</v>
      </c>
      <c r="D47" s="126" t="s">
        <v>290</v>
      </c>
      <c r="E47" s="96" t="s">
        <v>114</v>
      </c>
      <c r="F47" s="97" t="s">
        <v>270</v>
      </c>
      <c r="G47" s="98">
        <f t="shared" si="12"/>
        <v>16660</v>
      </c>
      <c r="H47" s="99">
        <f t="shared" si="13"/>
        <v>18310</v>
      </c>
      <c r="I47" s="99">
        <f t="shared" si="14"/>
        <v>18310</v>
      </c>
      <c r="J47" s="99">
        <f t="shared" si="15"/>
        <v>22700</v>
      </c>
      <c r="K47" s="57"/>
      <c r="L47" s="155" t="s">
        <v>290</v>
      </c>
      <c r="M47" s="52" t="s">
        <v>294</v>
      </c>
      <c r="N47" s="40">
        <v>0</v>
      </c>
      <c r="O47" s="53">
        <f>VLOOKUP(B47,DRAYAGE!$A$1:$C$107,3,FALSE)</f>
        <v>1805</v>
      </c>
      <c r="P47" s="40" t="s">
        <v>298</v>
      </c>
      <c r="S47" s="101">
        <f t="shared" si="16"/>
        <v>14850</v>
      </c>
      <c r="T47" s="54">
        <f>15500+1000</f>
        <v>16500</v>
      </c>
      <c r="U47" s="103">
        <f t="shared" si="5"/>
        <v>16500</v>
      </c>
      <c r="V47" s="104">
        <f t="shared" si="17"/>
        <v>20889</v>
      </c>
      <c r="X47" s="40">
        <v>0</v>
      </c>
    </row>
    <row r="48" spans="1:29" s="40" customFormat="1" ht="14.45" customHeight="1" x14ac:dyDescent="0.25">
      <c r="A48" s="134" t="s">
        <v>98</v>
      </c>
      <c r="B48" s="88"/>
      <c r="C48" s="88"/>
      <c r="D48" s="88"/>
      <c r="E48" s="210"/>
      <c r="F48" s="211"/>
      <c r="G48" s="88"/>
      <c r="H48" s="88"/>
      <c r="I48" s="88"/>
      <c r="J48" s="88"/>
      <c r="K48" s="57"/>
      <c r="L48" s="89" t="s">
        <v>48</v>
      </c>
      <c r="M48" s="89" t="s">
        <v>261</v>
      </c>
      <c r="N48" s="90" t="s">
        <v>51</v>
      </c>
      <c r="O48" s="91" t="s">
        <v>50</v>
      </c>
      <c r="P48" s="91" t="s">
        <v>262</v>
      </c>
      <c r="Q48" s="91" t="s">
        <v>263</v>
      </c>
      <c r="R48" s="92" t="s">
        <v>52</v>
      </c>
      <c r="S48" s="92" t="s">
        <v>52</v>
      </c>
      <c r="T48" s="92" t="s">
        <v>53</v>
      </c>
      <c r="U48" s="92" t="s">
        <v>265</v>
      </c>
      <c r="V48" s="92" t="s">
        <v>266</v>
      </c>
      <c r="W48" s="92" t="s">
        <v>267</v>
      </c>
      <c r="X48" s="92" t="s">
        <v>268</v>
      </c>
      <c r="Y48" s="92" t="s">
        <v>52</v>
      </c>
      <c r="Z48" s="92" t="s">
        <v>53</v>
      </c>
      <c r="AA48" s="92" t="s">
        <v>265</v>
      </c>
      <c r="AB48" s="92" t="s">
        <v>266</v>
      </c>
      <c r="AC48" s="93" t="s">
        <v>269</v>
      </c>
    </row>
    <row r="49" spans="1:29" s="40" customFormat="1" ht="14.45" customHeight="1" x14ac:dyDescent="0.25">
      <c r="A49" s="133" t="s">
        <v>331</v>
      </c>
      <c r="B49" s="51" t="s">
        <v>342</v>
      </c>
      <c r="C49" s="94" t="s">
        <v>54</v>
      </c>
      <c r="D49" s="95" t="s">
        <v>308</v>
      </c>
      <c r="E49" s="96" t="s">
        <v>114</v>
      </c>
      <c r="F49" s="97" t="s">
        <v>270</v>
      </c>
      <c r="G49" s="98">
        <f>CEILING(S49+W49+X49+O49+N49+Y49,10)</f>
        <v>13800</v>
      </c>
      <c r="H49" s="99">
        <f>CEILING(T49+W49+X49+O49+N49+Z49,10)</f>
        <v>15000</v>
      </c>
      <c r="I49" s="99">
        <f>CEILING(U49+W49+X49+O49+N49+AA49,10)</f>
        <v>15000</v>
      </c>
      <c r="J49" s="99">
        <f>CEILING(V49+W49+X49+O49+N49+AB49,10)</f>
        <v>18190</v>
      </c>
      <c r="K49" s="57"/>
      <c r="L49" s="156" t="s">
        <v>378</v>
      </c>
      <c r="M49" s="52" t="s">
        <v>293</v>
      </c>
      <c r="N49" s="40">
        <v>0</v>
      </c>
      <c r="O49" s="53">
        <f>VLOOKUP(B49,DRAYAGE!$A$1:$C$107,3,FALSE)</f>
        <v>2995</v>
      </c>
      <c r="P49" s="40" t="s">
        <v>302</v>
      </c>
      <c r="R49" s="101">
        <v>19800</v>
      </c>
      <c r="S49" s="101">
        <f>0.9*T49</f>
        <v>10800</v>
      </c>
      <c r="T49" s="54">
        <v>12000</v>
      </c>
      <c r="U49" s="103">
        <f>T49</f>
        <v>12000</v>
      </c>
      <c r="V49" s="104">
        <f>U49*1.266</f>
        <v>15192</v>
      </c>
      <c r="W49" s="40">
        <v>0</v>
      </c>
    </row>
    <row r="50" spans="1:29" s="40" customFormat="1" ht="14.45" customHeight="1" x14ac:dyDescent="0.25">
      <c r="A50" s="133" t="s">
        <v>328</v>
      </c>
      <c r="B50" s="51" t="s">
        <v>342</v>
      </c>
      <c r="C50" s="94" t="s">
        <v>54</v>
      </c>
      <c r="D50" s="95" t="s">
        <v>308</v>
      </c>
      <c r="E50" s="96" t="s">
        <v>114</v>
      </c>
      <c r="F50" s="97" t="s">
        <v>270</v>
      </c>
      <c r="G50" s="98">
        <f>CEILING(S50+W50+X50+O50+N50+Y50,10)</f>
        <v>15150</v>
      </c>
      <c r="H50" s="99">
        <f>CEILING(T50+W50+X50+O50+N50+Z50,10)</f>
        <v>16500</v>
      </c>
      <c r="I50" s="99">
        <f>CEILING(U50+W50+X50+O50+N50+AA50,10)</f>
        <v>16500</v>
      </c>
      <c r="J50" s="99">
        <f>CEILING(V50+W50+X50+O50+N50+AB50,10)</f>
        <v>20090</v>
      </c>
      <c r="K50" s="57"/>
      <c r="L50" s="156" t="s">
        <v>378</v>
      </c>
      <c r="M50" s="52" t="s">
        <v>293</v>
      </c>
      <c r="N50" s="40">
        <v>0</v>
      </c>
      <c r="O50" s="53">
        <f>VLOOKUP(B50,DRAYAGE!$A$1:$C$107,3,FALSE)</f>
        <v>2995</v>
      </c>
      <c r="P50" s="40" t="s">
        <v>302</v>
      </c>
      <c r="R50" s="101">
        <v>19800</v>
      </c>
      <c r="S50" s="101">
        <f>0.9*T50</f>
        <v>12150</v>
      </c>
      <c r="T50" s="54">
        <v>13500</v>
      </c>
      <c r="U50" s="103">
        <f>T50</f>
        <v>13500</v>
      </c>
      <c r="V50" s="104">
        <f>U50*1.266</f>
        <v>17091</v>
      </c>
      <c r="W50" s="40">
        <v>0</v>
      </c>
    </row>
    <row r="51" spans="1:29" s="40" customFormat="1" ht="14.45" customHeight="1" x14ac:dyDescent="0.25">
      <c r="A51" s="133" t="s">
        <v>58</v>
      </c>
      <c r="B51" s="51" t="s">
        <v>342</v>
      </c>
      <c r="C51" s="94" t="s">
        <v>54</v>
      </c>
      <c r="D51" s="95" t="s">
        <v>308</v>
      </c>
      <c r="E51" s="96" t="s">
        <v>114</v>
      </c>
      <c r="F51" s="97" t="s">
        <v>270</v>
      </c>
      <c r="G51" s="98">
        <f>CEILING(S51+W51+X51+O51+N51+Y51,10)</f>
        <v>16500</v>
      </c>
      <c r="H51" s="99">
        <f>CEILING(T51+W51+X51+O51+N51+Z51,10)</f>
        <v>18000</v>
      </c>
      <c r="I51" s="99">
        <f>CEILING(U51+W51+X51+O51+N51+AA51,10)</f>
        <v>18000</v>
      </c>
      <c r="J51" s="99">
        <f>CEILING(V51+W51+X51+O51+N51+AB51,10)</f>
        <v>21990</v>
      </c>
      <c r="K51" s="57"/>
      <c r="L51" s="156" t="s">
        <v>378</v>
      </c>
      <c r="M51" s="52" t="s">
        <v>293</v>
      </c>
      <c r="N51" s="40">
        <v>0</v>
      </c>
      <c r="O51" s="53">
        <f>VLOOKUP(B51,DRAYAGE!$A$1:$C$107,3,FALSE)</f>
        <v>2995</v>
      </c>
      <c r="P51" s="40" t="s">
        <v>302</v>
      </c>
      <c r="R51" s="101">
        <v>19800</v>
      </c>
      <c r="S51" s="101">
        <f>0.9*T51</f>
        <v>13500</v>
      </c>
      <c r="T51" s="54">
        <f>14000+1000</f>
        <v>15000</v>
      </c>
      <c r="U51" s="103">
        <f>T51</f>
        <v>15000</v>
      </c>
      <c r="V51" s="104">
        <f>U51*1.266</f>
        <v>18990</v>
      </c>
      <c r="W51" s="40">
        <v>0</v>
      </c>
    </row>
    <row r="52" spans="1:29" s="40" customFormat="1" ht="14.45" customHeight="1" x14ac:dyDescent="0.25">
      <c r="A52" s="133" t="s">
        <v>330</v>
      </c>
      <c r="B52" s="51" t="s">
        <v>342</v>
      </c>
      <c r="C52" s="94" t="s">
        <v>54</v>
      </c>
      <c r="D52" s="95" t="s">
        <v>308</v>
      </c>
      <c r="E52" s="96" t="s">
        <v>114</v>
      </c>
      <c r="F52" s="97" t="s">
        <v>270</v>
      </c>
      <c r="G52" s="98">
        <f>CEILING(S52+W52+X52+O52+N52+Y52,10)</f>
        <v>13800</v>
      </c>
      <c r="H52" s="99">
        <f>CEILING(T52+W52+X52+O52+N52+Z52,10)</f>
        <v>15000</v>
      </c>
      <c r="I52" s="99">
        <f>CEILING(U52+W52+X52+O52+N52+AA52,10)</f>
        <v>15000</v>
      </c>
      <c r="J52" s="99">
        <f>CEILING(V52+W52+X52+O52+N52+AB52,10)</f>
        <v>18190</v>
      </c>
      <c r="K52" s="57"/>
      <c r="L52" s="156" t="s">
        <v>378</v>
      </c>
      <c r="M52" s="52" t="s">
        <v>293</v>
      </c>
      <c r="N52" s="40">
        <v>0</v>
      </c>
      <c r="O52" s="53">
        <f>VLOOKUP(B52,DRAYAGE!$A$1:$C$107,3,FALSE)</f>
        <v>2995</v>
      </c>
      <c r="P52" s="40" t="s">
        <v>302</v>
      </c>
      <c r="R52" s="101">
        <v>19800</v>
      </c>
      <c r="S52" s="101">
        <f>0.9*T52</f>
        <v>10800</v>
      </c>
      <c r="T52" s="54">
        <v>12000</v>
      </c>
      <c r="U52" s="103">
        <f>T52</f>
        <v>12000</v>
      </c>
      <c r="V52" s="104">
        <f>U52*1.266</f>
        <v>15192</v>
      </c>
      <c r="W52" s="40">
        <v>0</v>
      </c>
    </row>
    <row r="53" spans="1:29" s="40" customFormat="1" ht="14.45" customHeight="1" x14ac:dyDescent="0.25">
      <c r="A53" s="144" t="s">
        <v>61</v>
      </c>
      <c r="B53" s="51" t="s">
        <v>342</v>
      </c>
      <c r="C53" s="94" t="s">
        <v>54</v>
      </c>
      <c r="D53" s="153" t="s">
        <v>377</v>
      </c>
      <c r="E53" s="96" t="s">
        <v>114</v>
      </c>
      <c r="F53" s="97" t="s">
        <v>270</v>
      </c>
      <c r="G53" s="98">
        <f>CEILING(S53+W53+X53+O53+N53+Y53,10)</f>
        <v>13350</v>
      </c>
      <c r="H53" s="99">
        <f>CEILING(T53+W53+X53+O53+N53+Z53,10)</f>
        <v>14500</v>
      </c>
      <c r="I53" s="99">
        <f>CEILING(U53+W53+X53+O53+N53+AA53,10)</f>
        <v>14500</v>
      </c>
      <c r="J53" s="99">
        <f>CEILING(V53+W53+X53+O53+N53+AB53,10)</f>
        <v>17560</v>
      </c>
      <c r="K53" s="57"/>
      <c r="L53" s="155" t="s">
        <v>377</v>
      </c>
      <c r="M53" s="52" t="s">
        <v>293</v>
      </c>
      <c r="N53" s="40">
        <v>0</v>
      </c>
      <c r="O53" s="53">
        <f>VLOOKUP(B53,DRAYAGE!$A$1:$C$107,3,FALSE)</f>
        <v>2995</v>
      </c>
      <c r="P53" s="40" t="s">
        <v>302</v>
      </c>
      <c r="R53" s="101">
        <v>19800</v>
      </c>
      <c r="S53" s="101">
        <f>0.9*T53</f>
        <v>10350</v>
      </c>
      <c r="T53" s="54">
        <v>11500</v>
      </c>
      <c r="U53" s="103">
        <f>T53</f>
        <v>11500</v>
      </c>
      <c r="V53" s="104">
        <f>U53*1.266</f>
        <v>14559</v>
      </c>
      <c r="W53" s="40">
        <v>0</v>
      </c>
    </row>
    <row r="54" spans="1:29" s="40" customFormat="1" ht="14.45" customHeight="1" x14ac:dyDescent="0.25">
      <c r="A54" s="134" t="s">
        <v>336</v>
      </c>
      <c r="B54" s="88"/>
      <c r="C54" s="88"/>
      <c r="D54" s="88"/>
      <c r="E54" s="210"/>
      <c r="F54" s="211"/>
      <c r="G54" s="88"/>
      <c r="H54" s="88"/>
      <c r="I54" s="88"/>
      <c r="J54" s="88"/>
      <c r="K54" s="57"/>
      <c r="L54" s="89" t="s">
        <v>48</v>
      </c>
      <c r="M54" s="89" t="s">
        <v>261</v>
      </c>
      <c r="N54" s="90" t="s">
        <v>51</v>
      </c>
      <c r="O54" s="91" t="s">
        <v>50</v>
      </c>
      <c r="P54" s="91" t="s">
        <v>262</v>
      </c>
      <c r="Q54" s="91" t="s">
        <v>263</v>
      </c>
      <c r="R54" s="92" t="s">
        <v>52</v>
      </c>
      <c r="S54" s="92" t="s">
        <v>52</v>
      </c>
      <c r="T54" s="92" t="s">
        <v>53</v>
      </c>
      <c r="U54" s="92" t="s">
        <v>265</v>
      </c>
      <c r="V54" s="92" t="s">
        <v>266</v>
      </c>
      <c r="W54" s="92" t="s">
        <v>267</v>
      </c>
      <c r="X54" s="92" t="s">
        <v>268</v>
      </c>
      <c r="Y54" s="92" t="s">
        <v>52</v>
      </c>
      <c r="Z54" s="92" t="s">
        <v>53</v>
      </c>
      <c r="AA54" s="92" t="s">
        <v>265</v>
      </c>
      <c r="AB54" s="92" t="s">
        <v>266</v>
      </c>
      <c r="AC54" s="93" t="s">
        <v>269</v>
      </c>
    </row>
    <row r="55" spans="1:29" s="40" customFormat="1" ht="14.45" customHeight="1" x14ac:dyDescent="0.25">
      <c r="A55" s="133" t="s">
        <v>326</v>
      </c>
      <c r="B55" s="51" t="s">
        <v>343</v>
      </c>
      <c r="C55" s="94" t="s">
        <v>54</v>
      </c>
      <c r="D55" s="95" t="s">
        <v>308</v>
      </c>
      <c r="E55" s="96" t="s">
        <v>114</v>
      </c>
      <c r="F55" s="97" t="s">
        <v>270</v>
      </c>
      <c r="G55" s="98">
        <v>18510</v>
      </c>
      <c r="H55" s="99">
        <v>20510</v>
      </c>
      <c r="I55" s="99">
        <v>20510</v>
      </c>
      <c r="J55" s="99">
        <v>25830</v>
      </c>
      <c r="K55" s="57"/>
      <c r="L55" s="156" t="s">
        <v>378</v>
      </c>
      <c r="M55" s="52" t="s">
        <v>295</v>
      </c>
      <c r="N55" s="40">
        <v>0</v>
      </c>
      <c r="O55" s="53">
        <f>VLOOKUP(B55,DRAYAGE!$A$1:$C$107,3,FALSE)</f>
        <v>1185</v>
      </c>
      <c r="P55" s="40" t="s">
        <v>361</v>
      </c>
      <c r="R55" s="101">
        <v>18000</v>
      </c>
      <c r="S55" s="101">
        <f>0.9*T55</f>
        <v>14400</v>
      </c>
      <c r="T55" s="54">
        <v>16000</v>
      </c>
      <c r="U55" s="103">
        <f>T55</f>
        <v>16000</v>
      </c>
      <c r="V55" s="104">
        <f>U55*1.266</f>
        <v>20256</v>
      </c>
      <c r="W55" s="40">
        <v>0</v>
      </c>
    </row>
    <row r="56" spans="1:29" s="40" customFormat="1" ht="14.45" customHeight="1" x14ac:dyDescent="0.25">
      <c r="A56" s="133" t="s">
        <v>327</v>
      </c>
      <c r="B56" s="51" t="s">
        <v>343</v>
      </c>
      <c r="C56" s="94" t="s">
        <v>54</v>
      </c>
      <c r="D56" s="95" t="s">
        <v>308</v>
      </c>
      <c r="E56" s="96" t="s">
        <v>114</v>
      </c>
      <c r="F56" s="97" t="s">
        <v>270</v>
      </c>
      <c r="G56" s="98">
        <v>18510</v>
      </c>
      <c r="H56" s="99">
        <v>20510</v>
      </c>
      <c r="I56" s="99">
        <v>20510</v>
      </c>
      <c r="J56" s="99">
        <v>25830</v>
      </c>
      <c r="K56" s="57"/>
      <c r="L56" s="156" t="s">
        <v>378</v>
      </c>
      <c r="M56" s="52" t="s">
        <v>295</v>
      </c>
      <c r="N56" s="40">
        <v>0</v>
      </c>
      <c r="O56" s="53">
        <f>VLOOKUP(B56,DRAYAGE!$A$1:$C$107,3,FALSE)</f>
        <v>1185</v>
      </c>
      <c r="P56" s="40" t="s">
        <v>361</v>
      </c>
      <c r="R56" s="101">
        <v>18000</v>
      </c>
      <c r="S56" s="101">
        <f>0.9*T56</f>
        <v>13950</v>
      </c>
      <c r="T56" s="54">
        <v>15500</v>
      </c>
      <c r="U56" s="103">
        <f>T56</f>
        <v>15500</v>
      </c>
      <c r="V56" s="104">
        <f>U56*1.266</f>
        <v>19623</v>
      </c>
      <c r="W56" s="40">
        <v>0</v>
      </c>
    </row>
    <row r="57" spans="1:29" s="40" customFormat="1" ht="14.45" customHeight="1" x14ac:dyDescent="0.25">
      <c r="A57" s="133" t="s">
        <v>328</v>
      </c>
      <c r="B57" s="51" t="s">
        <v>343</v>
      </c>
      <c r="C57" s="94" t="s">
        <v>54</v>
      </c>
      <c r="D57" s="95" t="s">
        <v>308</v>
      </c>
      <c r="E57" s="96" t="s">
        <v>114</v>
      </c>
      <c r="F57" s="97" t="s">
        <v>270</v>
      </c>
      <c r="G57" s="98">
        <v>18510</v>
      </c>
      <c r="H57" s="99">
        <v>20510</v>
      </c>
      <c r="I57" s="99">
        <v>20510</v>
      </c>
      <c r="J57" s="99">
        <v>25830</v>
      </c>
      <c r="K57" s="57"/>
      <c r="L57" s="156" t="s">
        <v>378</v>
      </c>
      <c r="M57" s="52" t="s">
        <v>295</v>
      </c>
      <c r="N57" s="40">
        <v>0</v>
      </c>
      <c r="O57" s="53">
        <f>VLOOKUP(B57,DRAYAGE!$A$1:$C$107,3,FALSE)</f>
        <v>1185</v>
      </c>
      <c r="P57" s="40" t="s">
        <v>361</v>
      </c>
      <c r="R57" s="101">
        <v>18000</v>
      </c>
      <c r="S57" s="101">
        <f>0.9*T57</f>
        <v>14400</v>
      </c>
      <c r="T57" s="54">
        <v>16000</v>
      </c>
      <c r="U57" s="103">
        <f>T57</f>
        <v>16000</v>
      </c>
      <c r="V57" s="104">
        <f>U57*1.266</f>
        <v>20256</v>
      </c>
      <c r="W57" s="40">
        <v>0</v>
      </c>
    </row>
    <row r="58" spans="1:29" s="40" customFormat="1" ht="14.45" customHeight="1" x14ac:dyDescent="0.25">
      <c r="A58" s="134" t="s">
        <v>337</v>
      </c>
      <c r="B58" s="88"/>
      <c r="C58" s="88"/>
      <c r="D58" s="88"/>
      <c r="E58" s="210"/>
      <c r="F58" s="211"/>
      <c r="G58" s="88"/>
      <c r="H58" s="88"/>
      <c r="I58" s="88"/>
      <c r="J58" s="88"/>
      <c r="K58" s="57"/>
      <c r="L58" s="89" t="s">
        <v>48</v>
      </c>
      <c r="M58" s="89" t="s">
        <v>261</v>
      </c>
      <c r="N58" s="90" t="s">
        <v>51</v>
      </c>
      <c r="O58" s="91" t="s">
        <v>50</v>
      </c>
      <c r="P58" s="91" t="s">
        <v>262</v>
      </c>
      <c r="Q58" s="91" t="s">
        <v>263</v>
      </c>
      <c r="R58" s="91" t="s">
        <v>264</v>
      </c>
      <c r="S58" s="92" t="s">
        <v>52</v>
      </c>
      <c r="T58" s="92" t="s">
        <v>53</v>
      </c>
      <c r="U58" s="92" t="s">
        <v>265</v>
      </c>
      <c r="V58" s="92" t="s">
        <v>266</v>
      </c>
      <c r="W58" s="92" t="s">
        <v>267</v>
      </c>
      <c r="X58" s="92" t="s">
        <v>268</v>
      </c>
      <c r="Y58" s="92" t="s">
        <v>52</v>
      </c>
      <c r="Z58" s="92" t="s">
        <v>53</v>
      </c>
      <c r="AA58" s="92" t="s">
        <v>265</v>
      </c>
      <c r="AB58" s="92" t="s">
        <v>266</v>
      </c>
      <c r="AC58" s="93" t="s">
        <v>269</v>
      </c>
    </row>
    <row r="59" spans="1:29" s="40" customFormat="1" ht="18.75" x14ac:dyDescent="0.25">
      <c r="A59" s="133" t="s">
        <v>81</v>
      </c>
      <c r="B59" s="51" t="s">
        <v>344</v>
      </c>
      <c r="C59" s="94" t="s">
        <v>54</v>
      </c>
      <c r="D59" s="95" t="s">
        <v>308</v>
      </c>
      <c r="E59" s="96" t="s">
        <v>114</v>
      </c>
      <c r="F59" s="97" t="s">
        <v>270</v>
      </c>
      <c r="G59" s="98">
        <f t="shared" ref="G59:G65" si="18">CEILING(S59+W59+X59+O59+N59+Y59,10)</f>
        <v>12150</v>
      </c>
      <c r="H59" s="99">
        <f t="shared" ref="H59:H65" si="19">CEILING(T59+W59+X59+O59+N59+Z59,10)</f>
        <v>13350</v>
      </c>
      <c r="I59" s="99">
        <f t="shared" ref="I59:I65" si="20">CEILING(U59+W59+X59+O59+N59+AA59,10)</f>
        <v>13350</v>
      </c>
      <c r="J59" s="99">
        <f t="shared" ref="J59:J65" si="21">CEILING(V59+W59+X59+O59+N59+AB59,10)</f>
        <v>16540</v>
      </c>
      <c r="K59" s="57"/>
      <c r="L59" s="156" t="s">
        <v>378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S59" s="101">
        <f t="shared" ref="S59:S65" si="22">0.9*T59</f>
        <v>10800</v>
      </c>
      <c r="T59" s="54">
        <f t="shared" ref="T59:T64" si="23">T40</f>
        <v>12000</v>
      </c>
      <c r="U59" s="103">
        <f t="shared" si="5"/>
        <v>12000</v>
      </c>
      <c r="V59" s="104">
        <f t="shared" ref="V59:V65" si="24">U59*1.266</f>
        <v>15192</v>
      </c>
      <c r="X59" s="40">
        <v>0</v>
      </c>
    </row>
    <row r="60" spans="1:29" s="40" customFormat="1" ht="14.45" customHeight="1" x14ac:dyDescent="0.25">
      <c r="A60" s="133" t="s">
        <v>55</v>
      </c>
      <c r="B60" s="51" t="s">
        <v>344</v>
      </c>
      <c r="C60" s="94" t="s">
        <v>54</v>
      </c>
      <c r="D60" s="95" t="s">
        <v>308</v>
      </c>
      <c r="E60" s="96" t="s">
        <v>114</v>
      </c>
      <c r="F60" s="97" t="s">
        <v>270</v>
      </c>
      <c r="G60" s="98">
        <f t="shared" si="18"/>
        <v>12150</v>
      </c>
      <c r="H60" s="99">
        <f t="shared" si="19"/>
        <v>13350</v>
      </c>
      <c r="I60" s="99">
        <f t="shared" si="20"/>
        <v>13350</v>
      </c>
      <c r="J60" s="99">
        <f t="shared" si="21"/>
        <v>16540</v>
      </c>
      <c r="K60" s="57"/>
      <c r="L60" s="156" t="s">
        <v>378</v>
      </c>
      <c r="M60" s="52" t="s">
        <v>294</v>
      </c>
      <c r="N60" s="40">
        <v>0</v>
      </c>
      <c r="O60" s="53">
        <f>VLOOKUP(B60,DRAYAGE!$A$1:$C$107,3,FALSE)</f>
        <v>1345</v>
      </c>
      <c r="P60" s="40" t="s">
        <v>301</v>
      </c>
      <c r="S60" s="101">
        <f t="shared" si="22"/>
        <v>10800</v>
      </c>
      <c r="T60" s="54">
        <f t="shared" si="23"/>
        <v>12000</v>
      </c>
      <c r="U60" s="103">
        <f t="shared" si="5"/>
        <v>12000</v>
      </c>
      <c r="V60" s="104">
        <f t="shared" si="24"/>
        <v>15192</v>
      </c>
      <c r="X60" s="40">
        <v>0</v>
      </c>
    </row>
    <row r="61" spans="1:29" s="40" customFormat="1" ht="14.45" customHeight="1" x14ac:dyDescent="0.25">
      <c r="A61" s="133" t="s">
        <v>59</v>
      </c>
      <c r="B61" s="51" t="s">
        <v>344</v>
      </c>
      <c r="C61" s="94" t="s">
        <v>54</v>
      </c>
      <c r="D61" s="95" t="s">
        <v>308</v>
      </c>
      <c r="E61" s="96" t="s">
        <v>114</v>
      </c>
      <c r="F61" s="97" t="s">
        <v>270</v>
      </c>
      <c r="G61" s="98">
        <f t="shared" si="18"/>
        <v>13950</v>
      </c>
      <c r="H61" s="99">
        <f t="shared" si="19"/>
        <v>15350</v>
      </c>
      <c r="I61" s="99">
        <f t="shared" si="20"/>
        <v>15350</v>
      </c>
      <c r="J61" s="99">
        <f t="shared" si="21"/>
        <v>19070</v>
      </c>
      <c r="K61" s="57"/>
      <c r="L61" s="156" t="s">
        <v>378</v>
      </c>
      <c r="M61" s="52" t="s">
        <v>294</v>
      </c>
      <c r="N61" s="40">
        <v>0</v>
      </c>
      <c r="O61" s="53">
        <f>VLOOKUP(B61,DRAYAGE!$A$1:$C$107,3,FALSE)</f>
        <v>1345</v>
      </c>
      <c r="P61" s="40" t="s">
        <v>301</v>
      </c>
      <c r="S61" s="101">
        <f t="shared" si="22"/>
        <v>12600</v>
      </c>
      <c r="T61" s="54">
        <f t="shared" si="23"/>
        <v>14000</v>
      </c>
      <c r="U61" s="103">
        <f t="shared" si="5"/>
        <v>14000</v>
      </c>
      <c r="V61" s="104">
        <f t="shared" si="24"/>
        <v>17724</v>
      </c>
      <c r="X61" s="40">
        <v>0</v>
      </c>
    </row>
    <row r="62" spans="1:29" s="40" customFormat="1" ht="18.75" x14ac:dyDescent="0.25">
      <c r="A62" s="133" t="s">
        <v>60</v>
      </c>
      <c r="B62" s="51" t="s">
        <v>344</v>
      </c>
      <c r="C62" s="94" t="s">
        <v>54</v>
      </c>
      <c r="D62" s="95" t="s">
        <v>308</v>
      </c>
      <c r="E62" s="96" t="s">
        <v>114</v>
      </c>
      <c r="F62" s="97" t="s">
        <v>270</v>
      </c>
      <c r="G62" s="98">
        <f t="shared" si="18"/>
        <v>14400</v>
      </c>
      <c r="H62" s="99">
        <f t="shared" si="19"/>
        <v>15850</v>
      </c>
      <c r="I62" s="99">
        <f t="shared" si="20"/>
        <v>15850</v>
      </c>
      <c r="J62" s="99">
        <f t="shared" si="21"/>
        <v>19710</v>
      </c>
      <c r="K62" s="57"/>
      <c r="L62" s="156" t="s">
        <v>378</v>
      </c>
      <c r="M62" s="52" t="s">
        <v>294</v>
      </c>
      <c r="N62" s="40">
        <v>0</v>
      </c>
      <c r="O62" s="53">
        <f>VLOOKUP(B62,DRAYAGE!$A$1:$C$107,3,FALSE)</f>
        <v>1345</v>
      </c>
      <c r="P62" s="40" t="s">
        <v>301</v>
      </c>
      <c r="S62" s="101">
        <f t="shared" si="22"/>
        <v>13050</v>
      </c>
      <c r="T62" s="54">
        <f t="shared" si="23"/>
        <v>14500</v>
      </c>
      <c r="U62" s="103">
        <f t="shared" si="5"/>
        <v>14500</v>
      </c>
      <c r="V62" s="104">
        <f t="shared" si="24"/>
        <v>18357</v>
      </c>
      <c r="X62" s="40">
        <v>0</v>
      </c>
    </row>
    <row r="63" spans="1:29" s="40" customFormat="1" ht="14.45" customHeight="1" x14ac:dyDescent="0.25">
      <c r="A63" s="133" t="s">
        <v>61</v>
      </c>
      <c r="B63" s="51" t="s">
        <v>344</v>
      </c>
      <c r="C63" s="94" t="s">
        <v>54</v>
      </c>
      <c r="D63" s="95" t="s">
        <v>308</v>
      </c>
      <c r="E63" s="96" t="s">
        <v>114</v>
      </c>
      <c r="F63" s="97" t="s">
        <v>270</v>
      </c>
      <c r="G63" s="98">
        <f t="shared" si="18"/>
        <v>12150</v>
      </c>
      <c r="H63" s="99">
        <f t="shared" si="19"/>
        <v>13350</v>
      </c>
      <c r="I63" s="99">
        <f t="shared" si="20"/>
        <v>13350</v>
      </c>
      <c r="J63" s="99">
        <f t="shared" si="21"/>
        <v>16540</v>
      </c>
      <c r="K63" s="57"/>
      <c r="L63" s="156" t="s">
        <v>378</v>
      </c>
      <c r="M63" s="52" t="s">
        <v>294</v>
      </c>
      <c r="N63" s="40">
        <v>0</v>
      </c>
      <c r="O63" s="53">
        <f>VLOOKUP(B63,DRAYAGE!$A$1:$C$107,3,FALSE)</f>
        <v>1345</v>
      </c>
      <c r="P63" s="40" t="s">
        <v>301</v>
      </c>
      <c r="S63" s="101">
        <f t="shared" si="22"/>
        <v>10800</v>
      </c>
      <c r="T63" s="54">
        <f t="shared" si="23"/>
        <v>12000</v>
      </c>
      <c r="U63" s="103">
        <f t="shared" si="5"/>
        <v>12000</v>
      </c>
      <c r="V63" s="104">
        <f t="shared" si="24"/>
        <v>15192</v>
      </c>
      <c r="X63" s="40">
        <v>0</v>
      </c>
    </row>
    <row r="64" spans="1:29" s="40" customFormat="1" ht="14.45" customHeight="1" x14ac:dyDescent="0.25">
      <c r="A64" s="144" t="s">
        <v>61</v>
      </c>
      <c r="B64" s="51" t="s">
        <v>344</v>
      </c>
      <c r="C64" s="94" t="s">
        <v>54</v>
      </c>
      <c r="D64" s="153" t="s">
        <v>377</v>
      </c>
      <c r="E64" s="96" t="s">
        <v>114</v>
      </c>
      <c r="F64" s="97" t="s">
        <v>270</v>
      </c>
      <c r="G64" s="98">
        <f t="shared" si="18"/>
        <v>11250</v>
      </c>
      <c r="H64" s="99">
        <f t="shared" si="19"/>
        <v>12350</v>
      </c>
      <c r="I64" s="99">
        <f t="shared" si="20"/>
        <v>12350</v>
      </c>
      <c r="J64" s="99">
        <f t="shared" si="21"/>
        <v>15280</v>
      </c>
      <c r="K64" s="57"/>
      <c r="L64" s="155" t="s">
        <v>377</v>
      </c>
      <c r="M64" s="52" t="s">
        <v>294</v>
      </c>
      <c r="N64" s="40">
        <v>0</v>
      </c>
      <c r="O64" s="53">
        <f>VLOOKUP(B64,DRAYAGE!$A$1:$C$107,3,FALSE)</f>
        <v>1345</v>
      </c>
      <c r="P64" s="40" t="s">
        <v>301</v>
      </c>
      <c r="S64" s="101">
        <f>0.9*T64</f>
        <v>9900</v>
      </c>
      <c r="T64" s="54">
        <f t="shared" si="23"/>
        <v>11000</v>
      </c>
      <c r="U64" s="103">
        <f>T64</f>
        <v>11000</v>
      </c>
      <c r="V64" s="104">
        <f t="shared" si="24"/>
        <v>13926</v>
      </c>
      <c r="X64" s="40">
        <v>0</v>
      </c>
    </row>
    <row r="65" spans="1:24" s="40" customFormat="1" ht="18.75" x14ac:dyDescent="0.25">
      <c r="A65" s="133" t="s">
        <v>273</v>
      </c>
      <c r="B65" s="51" t="s">
        <v>344</v>
      </c>
      <c r="C65" s="94" t="s">
        <v>54</v>
      </c>
      <c r="D65" s="95" t="s">
        <v>308</v>
      </c>
      <c r="E65" s="96" t="s">
        <v>114</v>
      </c>
      <c r="F65" s="97" t="s">
        <v>270</v>
      </c>
      <c r="G65" s="98">
        <f t="shared" si="18"/>
        <v>16200</v>
      </c>
      <c r="H65" s="99">
        <f t="shared" si="19"/>
        <v>17850</v>
      </c>
      <c r="I65" s="99">
        <f t="shared" si="20"/>
        <v>17850</v>
      </c>
      <c r="J65" s="99">
        <f t="shared" si="21"/>
        <v>22240</v>
      </c>
      <c r="K65" s="57"/>
      <c r="L65" s="156" t="s">
        <v>378</v>
      </c>
      <c r="M65" s="52" t="s">
        <v>294</v>
      </c>
      <c r="N65" s="40">
        <v>0</v>
      </c>
      <c r="O65" s="53">
        <f>VLOOKUP(B65,DRAYAGE!$A$1:$C$107,3,FALSE)</f>
        <v>1345</v>
      </c>
      <c r="P65" s="40" t="s">
        <v>301</v>
      </c>
      <c r="S65" s="101">
        <f t="shared" si="22"/>
        <v>14850</v>
      </c>
      <c r="T65" s="54">
        <f>T46</f>
        <v>16500</v>
      </c>
      <c r="U65" s="103">
        <f t="shared" si="5"/>
        <v>16500</v>
      </c>
      <c r="V65" s="104">
        <f t="shared" si="24"/>
        <v>20889</v>
      </c>
      <c r="X65" s="40">
        <v>0</v>
      </c>
    </row>
    <row r="66" spans="1:24" s="40" customFormat="1" ht="14.45" customHeight="1" x14ac:dyDescent="0.25">
      <c r="A66" s="212" t="s">
        <v>271</v>
      </c>
      <c r="B66" s="212"/>
      <c r="C66" s="212"/>
      <c r="D66" s="212"/>
      <c r="E66" s="212"/>
      <c r="F66" s="212"/>
      <c r="G66" s="212"/>
      <c r="H66" s="212"/>
      <c r="I66" s="212"/>
      <c r="J66" s="212"/>
      <c r="K66" s="57"/>
      <c r="L66" s="100"/>
      <c r="M66" s="100"/>
      <c r="S66" s="101"/>
      <c r="T66" s="102"/>
      <c r="U66" s="103"/>
      <c r="V66" s="104"/>
    </row>
    <row r="67" spans="1:24" s="32" customFormat="1" ht="12.75" x14ac:dyDescent="0.2">
      <c r="A67" s="31"/>
      <c r="B67" s="33"/>
      <c r="C67" s="33"/>
      <c r="D67" s="33"/>
      <c r="E67" s="33"/>
      <c r="F67" s="34"/>
      <c r="G67" s="34"/>
      <c r="H67" s="34"/>
      <c r="I67" s="35"/>
      <c r="J67" s="29"/>
      <c r="K67" s="57"/>
      <c r="L67" s="27"/>
      <c r="M67" s="27"/>
      <c r="N67" s="30"/>
      <c r="O67" s="30"/>
      <c r="P67" s="30"/>
      <c r="Q67" s="30"/>
      <c r="R67" s="30"/>
      <c r="S67" s="28"/>
      <c r="T67" s="28"/>
      <c r="U67" s="28"/>
      <c r="V67" s="28"/>
      <c r="W67" s="28"/>
    </row>
    <row r="68" spans="1:24" s="37" customFormat="1" ht="14.45" customHeight="1" x14ac:dyDescent="0.25">
      <c r="A68" s="180" t="s">
        <v>111</v>
      </c>
      <c r="B68" s="180"/>
      <c r="C68" s="180"/>
      <c r="D68" s="180"/>
      <c r="E68" s="180"/>
      <c r="F68" s="180"/>
      <c r="G68" s="180"/>
      <c r="H68" s="180"/>
      <c r="I68" s="180"/>
      <c r="J68" s="180"/>
      <c r="K68" s="57"/>
    </row>
    <row r="69" spans="1:24" s="37" customFormat="1" ht="14.45" customHeight="1" x14ac:dyDescent="0.25">
      <c r="A69" s="208" t="s">
        <v>112</v>
      </c>
      <c r="B69" s="208"/>
      <c r="C69" s="208"/>
      <c r="D69" s="208"/>
      <c r="E69" s="208"/>
      <c r="F69" s="208"/>
      <c r="G69" s="208"/>
      <c r="H69" s="208"/>
      <c r="I69" s="208"/>
      <c r="J69" s="208"/>
      <c r="K69" s="57"/>
    </row>
    <row r="70" spans="1:24" s="37" customFormat="1" ht="14.45" customHeight="1" x14ac:dyDescent="0.25">
      <c r="A70" s="186" t="s">
        <v>67</v>
      </c>
      <c r="B70" s="186"/>
      <c r="C70" s="186"/>
      <c r="D70" s="186"/>
      <c r="E70" s="186" t="s">
        <v>68</v>
      </c>
      <c r="F70" s="186"/>
      <c r="G70" s="186"/>
      <c r="H70" s="186"/>
      <c r="I70" s="186"/>
      <c r="J70" s="186"/>
      <c r="K70" s="57"/>
      <c r="L70" s="209" t="s">
        <v>113</v>
      </c>
      <c r="M70" s="209"/>
      <c r="N70" s="209"/>
      <c r="O70" s="209"/>
      <c r="P70" s="209"/>
      <c r="Q70" s="209"/>
    </row>
    <row r="71" spans="1:24" s="37" customFormat="1" ht="14.45" customHeight="1" x14ac:dyDescent="0.25">
      <c r="A71" s="196" t="s">
        <v>69</v>
      </c>
      <c r="B71" s="196"/>
      <c r="C71" s="196"/>
      <c r="D71" s="196"/>
      <c r="E71" s="58" t="s">
        <v>114</v>
      </c>
      <c r="F71" s="196" t="s">
        <v>70</v>
      </c>
      <c r="G71" s="196"/>
      <c r="H71" s="196"/>
      <c r="I71" s="196"/>
      <c r="J71" s="196"/>
      <c r="K71" s="57"/>
      <c r="L71" s="197" t="s">
        <v>115</v>
      </c>
      <c r="M71" s="197"/>
      <c r="N71" s="197"/>
      <c r="O71" s="197"/>
      <c r="P71" s="197"/>
      <c r="Q71" s="197"/>
    </row>
    <row r="72" spans="1:24" s="37" customFormat="1" ht="14.45" customHeight="1" x14ac:dyDescent="0.25">
      <c r="A72" s="196" t="s">
        <v>71</v>
      </c>
      <c r="B72" s="196"/>
      <c r="C72" s="196"/>
      <c r="D72" s="201"/>
      <c r="E72" s="58" t="s">
        <v>114</v>
      </c>
      <c r="F72" s="196" t="s">
        <v>116</v>
      </c>
      <c r="G72" s="196"/>
      <c r="H72" s="196"/>
      <c r="I72" s="196"/>
      <c r="J72" s="196"/>
      <c r="K72" s="57"/>
      <c r="L72" s="197"/>
      <c r="M72" s="197"/>
      <c r="N72" s="197"/>
      <c r="O72" s="197"/>
      <c r="P72" s="197"/>
      <c r="Q72" s="197"/>
    </row>
    <row r="73" spans="1:24" s="37" customFormat="1" ht="18" customHeight="1" x14ac:dyDescent="0.25">
      <c r="A73" s="196" t="s">
        <v>117</v>
      </c>
      <c r="B73" s="196"/>
      <c r="C73" s="196"/>
      <c r="D73" s="201"/>
      <c r="E73" s="58" t="s">
        <v>114</v>
      </c>
      <c r="F73" s="196" t="s">
        <v>306</v>
      </c>
      <c r="G73" s="196"/>
      <c r="H73" s="196"/>
      <c r="I73" s="196"/>
      <c r="J73" s="196"/>
      <c r="K73" s="57"/>
      <c r="L73" s="59" t="s">
        <v>118</v>
      </c>
      <c r="M73" s="129"/>
      <c r="N73" s="129"/>
      <c r="O73" s="129"/>
      <c r="P73" s="129"/>
      <c r="Q73" s="129"/>
    </row>
    <row r="74" spans="1:24" s="37" customFormat="1" ht="32.65" customHeight="1" x14ac:dyDescent="0.25">
      <c r="A74" s="234" t="s">
        <v>380</v>
      </c>
      <c r="B74" s="234"/>
      <c r="C74" s="234"/>
      <c r="D74" s="235"/>
      <c r="E74" s="131" t="s">
        <v>114</v>
      </c>
      <c r="F74" s="185" t="s">
        <v>369</v>
      </c>
      <c r="G74" s="185"/>
      <c r="H74" s="185"/>
      <c r="I74" s="185"/>
      <c r="J74" s="185"/>
      <c r="K74" s="57"/>
      <c r="L74" s="59" t="s">
        <v>118</v>
      </c>
      <c r="M74" s="129"/>
      <c r="N74" s="129"/>
      <c r="O74" s="129"/>
      <c r="P74" s="129"/>
      <c r="Q74" s="129"/>
    </row>
    <row r="75" spans="1:24" s="37" customFormat="1" ht="36.950000000000003" customHeight="1" x14ac:dyDescent="0.25">
      <c r="A75" s="196" t="s">
        <v>367</v>
      </c>
      <c r="B75" s="196"/>
      <c r="C75" s="196"/>
      <c r="D75" s="201"/>
      <c r="E75" s="58" t="s">
        <v>114</v>
      </c>
      <c r="F75" s="185" t="s">
        <v>368</v>
      </c>
      <c r="G75" s="185"/>
      <c r="H75" s="185"/>
      <c r="I75" s="185"/>
      <c r="J75" s="185"/>
      <c r="K75" s="57"/>
      <c r="L75" s="59" t="s">
        <v>118</v>
      </c>
      <c r="M75" s="129"/>
      <c r="N75" s="129"/>
      <c r="O75" s="129"/>
      <c r="P75" s="129"/>
      <c r="Q75" s="129"/>
    </row>
    <row r="76" spans="1:24" s="37" customFormat="1" ht="40.5" customHeight="1" x14ac:dyDescent="0.25">
      <c r="A76" s="229" t="s">
        <v>309</v>
      </c>
      <c r="B76" s="229"/>
      <c r="C76" s="229"/>
      <c r="D76" s="198"/>
      <c r="E76" s="131" t="s">
        <v>114</v>
      </c>
      <c r="F76" s="229" t="s">
        <v>310</v>
      </c>
      <c r="G76" s="229"/>
      <c r="H76" s="229"/>
      <c r="I76" s="229"/>
      <c r="J76" s="229"/>
      <c r="K76" s="132"/>
      <c r="L76" s="59" t="s">
        <v>118</v>
      </c>
      <c r="M76" s="129"/>
      <c r="N76" s="129"/>
      <c r="O76" s="129"/>
      <c r="P76" s="129"/>
      <c r="Q76" s="129"/>
    </row>
    <row r="77" spans="1:24" s="37" customFormat="1" ht="14.45" customHeight="1" x14ac:dyDescent="0.25">
      <c r="A77" s="196" t="s">
        <v>119</v>
      </c>
      <c r="B77" s="196"/>
      <c r="C77" s="196"/>
      <c r="D77" s="196"/>
      <c r="E77" s="58" t="s">
        <v>114</v>
      </c>
      <c r="F77" s="196" t="s">
        <v>120</v>
      </c>
      <c r="G77" s="196"/>
      <c r="H77" s="196"/>
      <c r="I77" s="196"/>
      <c r="J77" s="196"/>
      <c r="K77" s="132"/>
      <c r="L77" s="197" t="s">
        <v>121</v>
      </c>
      <c r="M77" s="197"/>
      <c r="N77" s="197"/>
      <c r="O77" s="197"/>
      <c r="P77" s="197"/>
      <c r="Q77" s="197"/>
    </row>
    <row r="78" spans="1:24" s="37" customFormat="1" ht="14.45" customHeight="1" x14ac:dyDescent="0.25">
      <c r="A78" s="196" t="s">
        <v>122</v>
      </c>
      <c r="B78" s="196"/>
      <c r="C78" s="196"/>
      <c r="D78" s="196"/>
      <c r="E78" s="58" t="s">
        <v>114</v>
      </c>
      <c r="F78" s="196" t="s">
        <v>123</v>
      </c>
      <c r="G78" s="196"/>
      <c r="H78" s="196"/>
      <c r="I78" s="196"/>
      <c r="J78" s="196"/>
      <c r="K78" s="132"/>
      <c r="L78" s="197"/>
      <c r="M78" s="197"/>
      <c r="N78" s="197"/>
      <c r="O78" s="197"/>
      <c r="P78" s="197"/>
      <c r="Q78" s="197"/>
    </row>
    <row r="79" spans="1:24" s="37" customFormat="1" ht="14.45" customHeight="1" x14ac:dyDescent="0.25">
      <c r="A79" s="196" t="s">
        <v>277</v>
      </c>
      <c r="B79" s="196"/>
      <c r="C79" s="196"/>
      <c r="D79" s="196"/>
      <c r="E79" s="58" t="s">
        <v>114</v>
      </c>
      <c r="F79" s="196" t="s">
        <v>278</v>
      </c>
      <c r="G79" s="196"/>
      <c r="H79" s="196"/>
      <c r="I79" s="196"/>
      <c r="J79" s="196"/>
      <c r="K79" s="132"/>
      <c r="L79" s="197"/>
      <c r="M79" s="197"/>
      <c r="N79" s="197"/>
      <c r="O79" s="197"/>
      <c r="P79" s="197"/>
      <c r="Q79" s="197"/>
    </row>
    <row r="80" spans="1:24" s="37" customFormat="1" ht="14.45" customHeight="1" x14ac:dyDescent="0.25">
      <c r="A80" s="196" t="s">
        <v>124</v>
      </c>
      <c r="B80" s="196"/>
      <c r="C80" s="196"/>
      <c r="D80" s="196"/>
      <c r="E80" s="58" t="s">
        <v>114</v>
      </c>
      <c r="F80" s="196" t="s">
        <v>125</v>
      </c>
      <c r="G80" s="196"/>
      <c r="H80" s="196"/>
      <c r="I80" s="196"/>
      <c r="J80" s="196"/>
      <c r="K80" s="132"/>
      <c r="L80" s="197"/>
      <c r="M80" s="197"/>
      <c r="N80" s="197"/>
      <c r="O80" s="197"/>
      <c r="P80" s="197"/>
      <c r="Q80" s="197"/>
    </row>
    <row r="81" spans="1:17" s="37" customFormat="1" ht="18.95" customHeight="1" x14ac:dyDescent="0.25">
      <c r="A81" s="196" t="s">
        <v>126</v>
      </c>
      <c r="B81" s="196"/>
      <c r="C81" s="196"/>
      <c r="D81" s="201"/>
      <c r="E81" s="58" t="s">
        <v>127</v>
      </c>
      <c r="F81" s="128" t="s">
        <v>128</v>
      </c>
      <c r="G81" s="185" t="s">
        <v>375</v>
      </c>
      <c r="H81" s="185"/>
      <c r="I81" s="185"/>
      <c r="J81" s="185"/>
      <c r="K81" s="132"/>
      <c r="L81" s="197" t="s">
        <v>130</v>
      </c>
      <c r="M81" s="197"/>
      <c r="N81" s="197"/>
      <c r="O81" s="197"/>
      <c r="P81" s="197"/>
      <c r="Q81" s="197"/>
    </row>
    <row r="82" spans="1:17" s="37" customFormat="1" ht="24.95" customHeight="1" x14ac:dyDescent="0.25">
      <c r="A82" s="196" t="s">
        <v>126</v>
      </c>
      <c r="B82" s="196"/>
      <c r="C82" s="196"/>
      <c r="D82" s="196"/>
      <c r="E82" s="58" t="s">
        <v>127</v>
      </c>
      <c r="F82" s="128" t="s">
        <v>131</v>
      </c>
      <c r="G82" s="185" t="s">
        <v>374</v>
      </c>
      <c r="H82" s="185"/>
      <c r="I82" s="185"/>
      <c r="J82" s="185"/>
      <c r="K82" s="132"/>
      <c r="L82" s="197" t="s">
        <v>130</v>
      </c>
      <c r="M82" s="197"/>
      <c r="N82" s="197"/>
      <c r="O82" s="197"/>
      <c r="P82" s="197"/>
      <c r="Q82" s="197"/>
    </row>
    <row r="83" spans="1:17" s="37" customFormat="1" ht="24.95" customHeight="1" x14ac:dyDescent="0.25">
      <c r="A83" s="231" t="s">
        <v>372</v>
      </c>
      <c r="B83" s="231"/>
      <c r="C83" s="231"/>
      <c r="D83" s="231"/>
      <c r="E83" s="145" t="s">
        <v>127</v>
      </c>
      <c r="F83" s="150" t="s">
        <v>131</v>
      </c>
      <c r="G83" s="233" t="s">
        <v>373</v>
      </c>
      <c r="H83" s="233"/>
      <c r="I83" s="233"/>
      <c r="J83" s="233"/>
      <c r="K83" s="132"/>
      <c r="L83" s="197" t="s">
        <v>130</v>
      </c>
      <c r="M83" s="197"/>
      <c r="N83" s="197"/>
      <c r="O83" s="197"/>
      <c r="P83" s="197"/>
      <c r="Q83" s="197"/>
    </row>
    <row r="84" spans="1:17" s="37" customFormat="1" ht="37.5" customHeight="1" x14ac:dyDescent="0.25">
      <c r="A84" s="198" t="s">
        <v>311</v>
      </c>
      <c r="B84" s="199"/>
      <c r="C84" s="199"/>
      <c r="D84" s="200"/>
      <c r="E84" s="198" t="s">
        <v>312</v>
      </c>
      <c r="F84" s="199"/>
      <c r="G84" s="199"/>
      <c r="H84" s="199"/>
      <c r="I84" s="199"/>
      <c r="J84" s="200"/>
      <c r="K84" s="132"/>
      <c r="L84" s="197"/>
      <c r="M84" s="197"/>
      <c r="N84" s="197"/>
      <c r="O84" s="197"/>
      <c r="P84" s="197"/>
      <c r="Q84" s="197"/>
    </row>
    <row r="85" spans="1:17" s="37" customFormat="1" ht="14.45" customHeight="1" x14ac:dyDescent="0.25">
      <c r="A85" s="180" t="s">
        <v>133</v>
      </c>
      <c r="B85" s="180"/>
      <c r="C85" s="180"/>
      <c r="D85" s="180"/>
      <c r="E85" s="180"/>
      <c r="F85" s="180"/>
      <c r="G85" s="180"/>
      <c r="H85" s="180"/>
      <c r="I85" s="180"/>
      <c r="J85" s="180"/>
      <c r="K85" s="57"/>
      <c r="L85" s="129"/>
      <c r="M85" s="129"/>
    </row>
    <row r="86" spans="1:17" s="37" customFormat="1" ht="14.45" customHeight="1" x14ac:dyDescent="0.2">
      <c r="A86" s="60" t="s">
        <v>134</v>
      </c>
      <c r="B86" s="60" t="s">
        <v>135</v>
      </c>
      <c r="C86" s="60" t="s">
        <v>136</v>
      </c>
      <c r="D86" s="193" t="s">
        <v>137</v>
      </c>
      <c r="E86" s="194"/>
      <c r="F86" s="195"/>
      <c r="G86" s="61" t="s">
        <v>138</v>
      </c>
      <c r="H86" s="60" t="s">
        <v>139</v>
      </c>
      <c r="I86" s="61" t="s">
        <v>140</v>
      </c>
      <c r="J86" s="61" t="s">
        <v>141</v>
      </c>
      <c r="K86" s="57"/>
      <c r="L86" s="129"/>
      <c r="M86" s="129"/>
    </row>
    <row r="87" spans="1:17" s="37" customFormat="1" ht="14.45" customHeight="1" x14ac:dyDescent="0.2">
      <c r="A87" s="62" t="s">
        <v>142</v>
      </c>
      <c r="B87" s="62" t="s">
        <v>49</v>
      </c>
      <c r="C87" s="62" t="s">
        <v>143</v>
      </c>
      <c r="D87" s="187" t="s">
        <v>144</v>
      </c>
      <c r="E87" s="188"/>
      <c r="F87" s="189"/>
      <c r="G87" s="63">
        <v>50</v>
      </c>
      <c r="H87" s="62" t="s">
        <v>145</v>
      </c>
      <c r="I87" s="63">
        <v>150</v>
      </c>
      <c r="J87" s="63" t="s">
        <v>110</v>
      </c>
      <c r="K87" s="57"/>
      <c r="L87" s="129"/>
      <c r="M87" s="129"/>
    </row>
    <row r="88" spans="1:17" s="37" customFormat="1" ht="14.45" customHeight="1" x14ac:dyDescent="0.2">
      <c r="A88" s="62" t="s">
        <v>142</v>
      </c>
      <c r="B88" s="62" t="s">
        <v>146</v>
      </c>
      <c r="C88" s="62" t="s">
        <v>147</v>
      </c>
      <c r="D88" s="187" t="s">
        <v>148</v>
      </c>
      <c r="E88" s="188"/>
      <c r="F88" s="189"/>
      <c r="G88" s="63">
        <v>3</v>
      </c>
      <c r="H88" s="62" t="s">
        <v>149</v>
      </c>
      <c r="I88" s="63">
        <v>3</v>
      </c>
      <c r="J88" s="63" t="s">
        <v>110</v>
      </c>
      <c r="K88" s="57"/>
      <c r="L88" s="129"/>
      <c r="M88" s="129"/>
    </row>
    <row r="89" spans="1:17" s="37" customFormat="1" ht="14.45" customHeight="1" x14ac:dyDescent="0.2">
      <c r="A89" s="62" t="s">
        <v>150</v>
      </c>
      <c r="B89" s="62" t="s">
        <v>146</v>
      </c>
      <c r="C89" s="62" t="s">
        <v>147</v>
      </c>
      <c r="D89" s="187" t="s">
        <v>151</v>
      </c>
      <c r="E89" s="188"/>
      <c r="F89" s="189"/>
      <c r="G89" s="63">
        <v>3</v>
      </c>
      <c r="H89" s="62" t="s">
        <v>152</v>
      </c>
      <c r="I89" s="63">
        <v>3</v>
      </c>
      <c r="J89" s="63" t="s">
        <v>110</v>
      </c>
      <c r="K89" s="57"/>
      <c r="L89" s="129"/>
      <c r="M89" s="129"/>
    </row>
    <row r="90" spans="1:17" s="37" customFormat="1" ht="14.45" customHeight="1" x14ac:dyDescent="0.2">
      <c r="A90" s="62" t="s">
        <v>173</v>
      </c>
      <c r="B90" s="62" t="s">
        <v>49</v>
      </c>
      <c r="C90" s="62" t="s">
        <v>143</v>
      </c>
      <c r="D90" s="187" t="s">
        <v>313</v>
      </c>
      <c r="E90" s="188"/>
      <c r="F90" s="189"/>
      <c r="G90" s="66">
        <v>75</v>
      </c>
      <c r="H90" s="62" t="s">
        <v>145</v>
      </c>
      <c r="I90" s="66">
        <f>75*3</f>
        <v>225</v>
      </c>
      <c r="J90" s="66" t="s">
        <v>314</v>
      </c>
      <c r="K90" s="132"/>
      <c r="L90" s="129"/>
      <c r="M90" s="129"/>
    </row>
    <row r="91" spans="1:17" s="37" customFormat="1" ht="14.45" customHeight="1" x14ac:dyDescent="0.2">
      <c r="A91" s="62" t="s">
        <v>142</v>
      </c>
      <c r="B91" s="62" t="s">
        <v>49</v>
      </c>
      <c r="C91" s="62" t="s">
        <v>143</v>
      </c>
      <c r="D91" s="187" t="s">
        <v>279</v>
      </c>
      <c r="E91" s="188"/>
      <c r="F91" s="189"/>
      <c r="G91" s="63">
        <v>150</v>
      </c>
      <c r="H91" s="62" t="s">
        <v>280</v>
      </c>
      <c r="I91" s="63" t="s">
        <v>153</v>
      </c>
      <c r="J91" s="63" t="s">
        <v>110</v>
      </c>
      <c r="K91" s="57"/>
      <c r="L91" s="129"/>
      <c r="M91" s="129"/>
    </row>
    <row r="92" spans="1:17" s="37" customFormat="1" ht="14.45" customHeight="1" x14ac:dyDescent="0.2">
      <c r="A92" s="62" t="s">
        <v>154</v>
      </c>
      <c r="B92" s="62" t="s">
        <v>49</v>
      </c>
      <c r="C92" s="62" t="s">
        <v>143</v>
      </c>
      <c r="D92" s="187" t="s">
        <v>155</v>
      </c>
      <c r="E92" s="188"/>
      <c r="F92" s="189"/>
      <c r="G92" s="63">
        <v>250</v>
      </c>
      <c r="H92" s="62" t="s">
        <v>49</v>
      </c>
      <c r="I92" s="63" t="s">
        <v>153</v>
      </c>
      <c r="J92" s="63" t="s">
        <v>110</v>
      </c>
      <c r="K92" s="57"/>
      <c r="L92" s="129"/>
      <c r="M92" s="129"/>
    </row>
    <row r="93" spans="1:17" s="37" customFormat="1" ht="14.45" customHeight="1" x14ac:dyDescent="0.2">
      <c r="A93" s="65" t="s">
        <v>156</v>
      </c>
      <c r="B93" s="65" t="s">
        <v>49</v>
      </c>
      <c r="C93" s="65" t="s">
        <v>143</v>
      </c>
      <c r="D93" s="187" t="s">
        <v>157</v>
      </c>
      <c r="E93" s="188"/>
      <c r="F93" s="189"/>
      <c r="G93" s="63">
        <v>250</v>
      </c>
      <c r="H93" s="62" t="s">
        <v>49</v>
      </c>
      <c r="I93" s="63" t="s">
        <v>153</v>
      </c>
      <c r="J93" s="63" t="s">
        <v>110</v>
      </c>
      <c r="K93" s="57"/>
      <c r="L93" s="129"/>
      <c r="M93" s="129"/>
    </row>
    <row r="94" spans="1:17" s="37" customFormat="1" ht="14.45" customHeight="1" x14ac:dyDescent="0.2">
      <c r="A94" s="62" t="s">
        <v>142</v>
      </c>
      <c r="B94" s="62" t="s">
        <v>49</v>
      </c>
      <c r="C94" s="62" t="s">
        <v>143</v>
      </c>
      <c r="D94" s="187" t="s">
        <v>281</v>
      </c>
      <c r="E94" s="188"/>
      <c r="F94" s="189"/>
      <c r="G94" s="63">
        <v>200</v>
      </c>
      <c r="H94" s="62" t="s">
        <v>280</v>
      </c>
      <c r="I94" s="63" t="s">
        <v>153</v>
      </c>
      <c r="J94" s="63" t="s">
        <v>110</v>
      </c>
      <c r="K94" s="57"/>
      <c r="L94" s="129"/>
      <c r="M94" s="129"/>
    </row>
    <row r="95" spans="1:17" s="37" customFormat="1" ht="14.45" customHeight="1" x14ac:dyDescent="0.2">
      <c r="A95" s="62" t="s">
        <v>142</v>
      </c>
      <c r="B95" s="62" t="s">
        <v>49</v>
      </c>
      <c r="C95" s="62" t="s">
        <v>143</v>
      </c>
      <c r="D95" s="187" t="s">
        <v>158</v>
      </c>
      <c r="E95" s="188"/>
      <c r="F95" s="189"/>
      <c r="G95" s="66">
        <v>150</v>
      </c>
      <c r="H95" s="62" t="s">
        <v>49</v>
      </c>
      <c r="I95" s="66" t="s">
        <v>153</v>
      </c>
      <c r="J95" s="63" t="s">
        <v>110</v>
      </c>
      <c r="K95" s="57"/>
      <c r="L95" s="129"/>
      <c r="M95" s="129"/>
    </row>
    <row r="96" spans="1:17" s="37" customFormat="1" ht="14.45" customHeight="1" x14ac:dyDescent="0.2">
      <c r="A96" s="62" t="s">
        <v>150</v>
      </c>
      <c r="B96" s="67" t="s">
        <v>49</v>
      </c>
      <c r="C96" s="62" t="s">
        <v>143</v>
      </c>
      <c r="D96" s="187" t="s">
        <v>159</v>
      </c>
      <c r="E96" s="188"/>
      <c r="F96" s="189"/>
      <c r="G96" s="68">
        <v>180</v>
      </c>
      <c r="H96" s="67" t="s">
        <v>49</v>
      </c>
      <c r="I96" s="68" t="s">
        <v>153</v>
      </c>
      <c r="J96" s="63" t="s">
        <v>110</v>
      </c>
      <c r="K96" s="57"/>
      <c r="L96" s="129"/>
      <c r="M96" s="129"/>
    </row>
    <row r="97" spans="1:13" s="37" customFormat="1" ht="14.45" customHeight="1" x14ac:dyDescent="0.2">
      <c r="A97" s="62" t="s">
        <v>160</v>
      </c>
      <c r="B97" s="67" t="s">
        <v>49</v>
      </c>
      <c r="C97" s="62" t="s">
        <v>143</v>
      </c>
      <c r="D97" s="187" t="s">
        <v>161</v>
      </c>
      <c r="E97" s="188"/>
      <c r="F97" s="189"/>
      <c r="G97" s="69">
        <v>47.9</v>
      </c>
      <c r="H97" s="67" t="s">
        <v>24</v>
      </c>
      <c r="I97" s="69">
        <v>47.9</v>
      </c>
      <c r="J97" s="63" t="s">
        <v>110</v>
      </c>
      <c r="K97" s="57"/>
      <c r="L97" s="129"/>
      <c r="M97" s="129"/>
    </row>
    <row r="98" spans="1:13" s="37" customFormat="1" ht="14.45" customHeight="1" x14ac:dyDescent="0.2">
      <c r="A98" s="62" t="s">
        <v>160</v>
      </c>
      <c r="B98" s="67" t="s">
        <v>49</v>
      </c>
      <c r="C98" s="62" t="s">
        <v>143</v>
      </c>
      <c r="D98" s="187" t="s">
        <v>161</v>
      </c>
      <c r="E98" s="188"/>
      <c r="F98" s="189"/>
      <c r="G98" s="69">
        <v>65.400000000000006</v>
      </c>
      <c r="H98" s="67" t="s">
        <v>162</v>
      </c>
      <c r="I98" s="69">
        <v>65.400000000000006</v>
      </c>
      <c r="J98" s="63" t="s">
        <v>110</v>
      </c>
      <c r="K98" s="57"/>
      <c r="L98" s="129"/>
      <c r="M98" s="129"/>
    </row>
    <row r="99" spans="1:13" s="37" customFormat="1" ht="14.1" customHeight="1" x14ac:dyDescent="0.2">
      <c r="A99" s="62" t="s">
        <v>163</v>
      </c>
      <c r="B99" s="67" t="s">
        <v>49</v>
      </c>
      <c r="C99" s="62" t="s">
        <v>143</v>
      </c>
      <c r="D99" s="187" t="s">
        <v>164</v>
      </c>
      <c r="E99" s="188"/>
      <c r="F99" s="189"/>
      <c r="G99" s="69">
        <v>48</v>
      </c>
      <c r="H99" s="67" t="s">
        <v>49</v>
      </c>
      <c r="I99" s="69">
        <v>48</v>
      </c>
      <c r="J99" s="63" t="s">
        <v>110</v>
      </c>
      <c r="K99" s="57"/>
      <c r="L99" s="129"/>
      <c r="M99" s="129"/>
    </row>
    <row r="100" spans="1:13" s="37" customFormat="1" ht="14.45" customHeight="1" x14ac:dyDescent="0.2">
      <c r="A100" s="62" t="s">
        <v>163</v>
      </c>
      <c r="B100" s="67" t="s">
        <v>49</v>
      </c>
      <c r="C100" s="62" t="s">
        <v>143</v>
      </c>
      <c r="D100" s="187" t="s">
        <v>165</v>
      </c>
      <c r="E100" s="188"/>
      <c r="F100" s="189"/>
      <c r="G100" s="69">
        <v>18</v>
      </c>
      <c r="H100" s="67" t="s">
        <v>49</v>
      </c>
      <c r="I100" s="69">
        <v>18</v>
      </c>
      <c r="J100" s="63" t="s">
        <v>110</v>
      </c>
      <c r="K100" s="57"/>
      <c r="L100" s="129"/>
      <c r="M100" s="129"/>
    </row>
    <row r="101" spans="1:13" s="37" customFormat="1" ht="14.45" customHeight="1" x14ac:dyDescent="0.2">
      <c r="A101" s="62" t="s">
        <v>163</v>
      </c>
      <c r="B101" s="67" t="s">
        <v>49</v>
      </c>
      <c r="C101" s="62" t="s">
        <v>143</v>
      </c>
      <c r="D101" s="187" t="s">
        <v>166</v>
      </c>
      <c r="E101" s="188"/>
      <c r="F101" s="189"/>
      <c r="G101" s="69">
        <v>42</v>
      </c>
      <c r="H101" s="67" t="s">
        <v>49</v>
      </c>
      <c r="I101" s="69">
        <v>42</v>
      </c>
      <c r="J101" s="63" t="s">
        <v>110</v>
      </c>
      <c r="K101" s="57"/>
      <c r="L101" s="129"/>
      <c r="M101" s="129"/>
    </row>
    <row r="102" spans="1:13" s="37" customFormat="1" ht="14.45" customHeight="1" x14ac:dyDescent="0.2">
      <c r="A102" s="62" t="s">
        <v>167</v>
      </c>
      <c r="B102" s="62" t="s">
        <v>49</v>
      </c>
      <c r="C102" s="62" t="s">
        <v>143</v>
      </c>
      <c r="D102" s="187" t="s">
        <v>168</v>
      </c>
      <c r="E102" s="188"/>
      <c r="F102" s="189"/>
      <c r="G102" s="66">
        <v>54</v>
      </c>
      <c r="H102" s="62" t="s">
        <v>49</v>
      </c>
      <c r="I102" s="66">
        <v>54</v>
      </c>
      <c r="J102" s="63" t="s">
        <v>110</v>
      </c>
      <c r="K102" s="57"/>
      <c r="L102" s="129"/>
      <c r="M102" s="129"/>
    </row>
    <row r="103" spans="1:13" s="37" customFormat="1" ht="14.45" customHeight="1" x14ac:dyDescent="0.2">
      <c r="A103" s="67" t="s">
        <v>169</v>
      </c>
      <c r="B103" s="67" t="s">
        <v>49</v>
      </c>
      <c r="C103" s="67" t="s">
        <v>147</v>
      </c>
      <c r="D103" s="187" t="s">
        <v>170</v>
      </c>
      <c r="E103" s="188"/>
      <c r="F103" s="189"/>
      <c r="G103" s="70">
        <v>35</v>
      </c>
      <c r="H103" s="70" t="s">
        <v>280</v>
      </c>
      <c r="I103" s="70">
        <v>35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2" t="s">
        <v>142</v>
      </c>
      <c r="B104" s="62" t="s">
        <v>49</v>
      </c>
      <c r="C104" s="62" t="s">
        <v>143</v>
      </c>
      <c r="D104" s="187" t="s">
        <v>171</v>
      </c>
      <c r="E104" s="188"/>
      <c r="F104" s="189"/>
      <c r="G104" s="63">
        <v>85</v>
      </c>
      <c r="H104" s="62" t="s">
        <v>172</v>
      </c>
      <c r="I104" s="63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173</v>
      </c>
      <c r="B105" s="62" t="s">
        <v>146</v>
      </c>
      <c r="C105" s="62" t="s">
        <v>147</v>
      </c>
      <c r="D105" s="187" t="s">
        <v>174</v>
      </c>
      <c r="E105" s="188"/>
      <c r="F105" s="189"/>
      <c r="G105" s="63">
        <v>4</v>
      </c>
      <c r="H105" s="62" t="s">
        <v>149</v>
      </c>
      <c r="I105" s="63">
        <v>4</v>
      </c>
      <c r="J105" s="63" t="s">
        <v>110</v>
      </c>
      <c r="K105" s="57"/>
      <c r="L105" s="129"/>
      <c r="M105" s="129"/>
    </row>
    <row r="106" spans="1:13" s="37" customFormat="1" ht="24" customHeight="1" x14ac:dyDescent="0.2">
      <c r="A106" s="62" t="s">
        <v>173</v>
      </c>
      <c r="B106" s="62" t="s">
        <v>49</v>
      </c>
      <c r="C106" s="62" t="s">
        <v>143</v>
      </c>
      <c r="D106" s="187" t="s">
        <v>175</v>
      </c>
      <c r="E106" s="188"/>
      <c r="F106" s="189"/>
      <c r="G106" s="137" t="s">
        <v>348</v>
      </c>
      <c r="H106" s="62" t="s">
        <v>24</v>
      </c>
      <c r="I106" s="66" t="s">
        <v>153</v>
      </c>
      <c r="J106" s="63" t="s">
        <v>282</v>
      </c>
      <c r="K106" s="57"/>
      <c r="L106" s="129"/>
      <c r="M106" s="129"/>
    </row>
    <row r="107" spans="1:13" s="37" customFormat="1" ht="27" customHeight="1" x14ac:dyDescent="0.2">
      <c r="A107" s="62" t="s">
        <v>173</v>
      </c>
      <c r="B107" s="62" t="s">
        <v>49</v>
      </c>
      <c r="C107" s="62" t="s">
        <v>143</v>
      </c>
      <c r="D107" s="187" t="s">
        <v>176</v>
      </c>
      <c r="E107" s="188"/>
      <c r="F107" s="189"/>
      <c r="G107" s="137" t="s">
        <v>348</v>
      </c>
      <c r="H107" s="62" t="s">
        <v>162</v>
      </c>
      <c r="I107" s="66" t="s">
        <v>153</v>
      </c>
      <c r="J107" s="63" t="s">
        <v>282</v>
      </c>
      <c r="K107" s="57"/>
      <c r="L107" s="129"/>
      <c r="M107" s="129"/>
    </row>
    <row r="108" spans="1:13" s="152" customFormat="1" ht="52.35" customHeight="1" x14ac:dyDescent="0.2">
      <c r="A108" s="67" t="s">
        <v>142</v>
      </c>
      <c r="B108" s="67" t="s">
        <v>49</v>
      </c>
      <c r="C108" s="147" t="s">
        <v>362</v>
      </c>
      <c r="D108" s="190" t="s">
        <v>363</v>
      </c>
      <c r="E108" s="191"/>
      <c r="F108" s="192"/>
      <c r="G108" s="146" t="s">
        <v>371</v>
      </c>
      <c r="H108" s="148" t="s">
        <v>280</v>
      </c>
      <c r="I108" s="69" t="s">
        <v>153</v>
      </c>
      <c r="J108" s="149" t="s">
        <v>365</v>
      </c>
      <c r="K108" s="111"/>
      <c r="L108" s="151"/>
      <c r="M108" s="151"/>
    </row>
    <row r="109" spans="1:13" s="37" customFormat="1" ht="14.45" customHeight="1" x14ac:dyDescent="0.2">
      <c r="A109" s="62" t="s">
        <v>173</v>
      </c>
      <c r="B109" s="62" t="s">
        <v>146</v>
      </c>
      <c r="C109" s="62" t="s">
        <v>147</v>
      </c>
      <c r="D109" s="187" t="s">
        <v>177</v>
      </c>
      <c r="E109" s="188"/>
      <c r="F109" s="189"/>
      <c r="G109" s="63">
        <v>2</v>
      </c>
      <c r="H109" s="62" t="s">
        <v>149</v>
      </c>
      <c r="I109" s="63">
        <v>2</v>
      </c>
      <c r="J109" s="63" t="s">
        <v>110</v>
      </c>
      <c r="K109" s="57"/>
      <c r="L109" s="129"/>
      <c r="M109" s="129"/>
    </row>
    <row r="110" spans="1:13" s="37" customFormat="1" ht="14.45" customHeight="1" x14ac:dyDescent="0.2">
      <c r="A110" s="62" t="s">
        <v>173</v>
      </c>
      <c r="B110" s="62" t="s">
        <v>146</v>
      </c>
      <c r="C110" s="62" t="s">
        <v>283</v>
      </c>
      <c r="D110" s="187" t="s">
        <v>284</v>
      </c>
      <c r="E110" s="188"/>
      <c r="F110" s="189"/>
      <c r="G110" s="63">
        <v>10</v>
      </c>
      <c r="H110" s="62" t="s">
        <v>285</v>
      </c>
      <c r="I110" s="63" t="s">
        <v>153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142</v>
      </c>
      <c r="B111" s="62" t="s">
        <v>49</v>
      </c>
      <c r="C111" s="62" t="s">
        <v>143</v>
      </c>
      <c r="D111" s="187" t="s">
        <v>178</v>
      </c>
      <c r="E111" s="188"/>
      <c r="F111" s="189"/>
      <c r="G111" s="63">
        <v>50</v>
      </c>
      <c r="H111" s="62" t="s">
        <v>145</v>
      </c>
      <c r="I111" s="63" t="s">
        <v>153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173</v>
      </c>
      <c r="B112" s="62" t="s">
        <v>49</v>
      </c>
      <c r="C112" s="62" t="s">
        <v>143</v>
      </c>
      <c r="D112" s="187" t="s">
        <v>179</v>
      </c>
      <c r="E112" s="188"/>
      <c r="F112" s="189"/>
      <c r="G112" s="63">
        <v>175</v>
      </c>
      <c r="H112" s="62" t="s">
        <v>49</v>
      </c>
      <c r="I112" s="63" t="s">
        <v>153</v>
      </c>
      <c r="J112" s="63" t="s">
        <v>110</v>
      </c>
      <c r="K112" s="57"/>
      <c r="L112" s="129"/>
      <c r="M112" s="129"/>
    </row>
    <row r="113" spans="1:16" s="37" customFormat="1" ht="14.45" customHeight="1" x14ac:dyDescent="0.2">
      <c r="A113" s="62" t="s">
        <v>142</v>
      </c>
      <c r="B113" s="62" t="s">
        <v>49</v>
      </c>
      <c r="C113" s="62" t="s">
        <v>147</v>
      </c>
      <c r="D113" s="187" t="s">
        <v>180</v>
      </c>
      <c r="E113" s="188"/>
      <c r="F113" s="189"/>
      <c r="G113" s="63">
        <v>40</v>
      </c>
      <c r="H113" s="62" t="s">
        <v>181</v>
      </c>
      <c r="I113" s="63" t="s">
        <v>153</v>
      </c>
      <c r="J113" s="63" t="s">
        <v>110</v>
      </c>
      <c r="K113" s="57"/>
      <c r="L113" s="129"/>
      <c r="M113" s="129"/>
    </row>
    <row r="114" spans="1:16" s="37" customFormat="1" ht="14.45" customHeight="1" x14ac:dyDescent="0.2">
      <c r="A114" s="62" t="s">
        <v>173</v>
      </c>
      <c r="B114" s="62" t="s">
        <v>146</v>
      </c>
      <c r="C114" s="62" t="s">
        <v>147</v>
      </c>
      <c r="D114" s="187" t="s">
        <v>182</v>
      </c>
      <c r="E114" s="188"/>
      <c r="F114" s="189"/>
      <c r="G114" s="63">
        <v>7.5</v>
      </c>
      <c r="H114" s="62" t="s">
        <v>152</v>
      </c>
      <c r="I114" s="63">
        <v>75</v>
      </c>
      <c r="J114" s="63" t="s">
        <v>110</v>
      </c>
      <c r="K114" s="57"/>
      <c r="L114" s="129"/>
      <c r="M114" s="129"/>
    </row>
    <row r="115" spans="1:16" s="37" customFormat="1" ht="14.45" customHeight="1" x14ac:dyDescent="0.2">
      <c r="A115" s="62" t="s">
        <v>142</v>
      </c>
      <c r="B115" s="62" t="s">
        <v>146</v>
      </c>
      <c r="C115" s="62" t="s">
        <v>147</v>
      </c>
      <c r="D115" s="187" t="s">
        <v>183</v>
      </c>
      <c r="E115" s="188"/>
      <c r="F115" s="189"/>
      <c r="G115" s="63">
        <v>20</v>
      </c>
      <c r="H115" s="62" t="s">
        <v>184</v>
      </c>
      <c r="I115" s="63" t="s">
        <v>153</v>
      </c>
      <c r="J115" s="63" t="s">
        <v>110</v>
      </c>
      <c r="K115" s="57"/>
      <c r="L115" s="129"/>
      <c r="M115" s="129"/>
    </row>
    <row r="116" spans="1:16" s="37" customFormat="1" ht="14.45" customHeight="1" x14ac:dyDescent="0.2">
      <c r="A116" s="62" t="s">
        <v>142</v>
      </c>
      <c r="B116" s="62" t="s">
        <v>146</v>
      </c>
      <c r="C116" s="62" t="s">
        <v>147</v>
      </c>
      <c r="D116" s="187" t="s">
        <v>185</v>
      </c>
      <c r="E116" s="188"/>
      <c r="F116" s="189"/>
      <c r="G116" s="63">
        <v>25</v>
      </c>
      <c r="H116" s="62" t="s">
        <v>184</v>
      </c>
      <c r="I116" s="63" t="s">
        <v>153</v>
      </c>
      <c r="J116" s="63" t="s">
        <v>110</v>
      </c>
      <c r="K116" s="57"/>
      <c r="L116" s="129"/>
      <c r="M116" s="129"/>
    </row>
    <row r="117" spans="1:16" s="37" customFormat="1" ht="14.45" customHeight="1" x14ac:dyDescent="0.2">
      <c r="A117" s="62" t="s">
        <v>142</v>
      </c>
      <c r="B117" s="62" t="s">
        <v>142</v>
      </c>
      <c r="C117" s="62" t="s">
        <v>147</v>
      </c>
      <c r="D117" s="187" t="s">
        <v>186</v>
      </c>
      <c r="E117" s="188"/>
      <c r="F117" s="189"/>
      <c r="G117" s="68">
        <v>75</v>
      </c>
      <c r="H117" s="62" t="s">
        <v>181</v>
      </c>
      <c r="I117" s="63" t="s">
        <v>153</v>
      </c>
      <c r="J117" s="63" t="s">
        <v>110</v>
      </c>
      <c r="K117" s="57"/>
      <c r="L117" s="129"/>
      <c r="M117" s="129"/>
    </row>
    <row r="118" spans="1:16" s="37" customFormat="1" ht="14.45" customHeight="1" x14ac:dyDescent="0.2">
      <c r="A118" s="62" t="s">
        <v>142</v>
      </c>
      <c r="B118" s="62" t="s">
        <v>142</v>
      </c>
      <c r="C118" s="62" t="s">
        <v>147</v>
      </c>
      <c r="D118" s="187" t="s">
        <v>187</v>
      </c>
      <c r="E118" s="188"/>
      <c r="F118" s="189"/>
      <c r="G118" s="63">
        <v>35</v>
      </c>
      <c r="H118" s="62" t="s">
        <v>181</v>
      </c>
      <c r="I118" s="63" t="s">
        <v>153</v>
      </c>
      <c r="J118" s="63" t="s">
        <v>110</v>
      </c>
      <c r="K118" s="57"/>
      <c r="L118" s="129"/>
      <c r="M118" s="129"/>
    </row>
    <row r="119" spans="1:16" s="37" customFormat="1" ht="14.45" customHeight="1" x14ac:dyDescent="0.2">
      <c r="A119" s="62" t="s">
        <v>142</v>
      </c>
      <c r="B119" s="62" t="s">
        <v>146</v>
      </c>
      <c r="C119" s="62" t="s">
        <v>143</v>
      </c>
      <c r="D119" s="187" t="s">
        <v>188</v>
      </c>
      <c r="E119" s="188"/>
      <c r="F119" s="189"/>
      <c r="G119" s="63">
        <v>100</v>
      </c>
      <c r="H119" s="62" t="s">
        <v>181</v>
      </c>
      <c r="I119" s="63" t="s">
        <v>153</v>
      </c>
      <c r="J119" s="63" t="s">
        <v>110</v>
      </c>
      <c r="K119" s="57"/>
      <c r="L119" s="129"/>
      <c r="M119" s="129"/>
    </row>
    <row r="120" spans="1:16" s="37" customFormat="1" ht="14.45" customHeight="1" x14ac:dyDescent="0.2">
      <c r="A120" s="62" t="s">
        <v>142</v>
      </c>
      <c r="B120" s="62" t="s">
        <v>146</v>
      </c>
      <c r="C120" s="62" t="s">
        <v>143</v>
      </c>
      <c r="D120" s="187" t="s">
        <v>189</v>
      </c>
      <c r="E120" s="188"/>
      <c r="F120" s="189"/>
      <c r="G120" s="63">
        <v>100</v>
      </c>
      <c r="H120" s="62" t="s">
        <v>190</v>
      </c>
      <c r="I120" s="63" t="s">
        <v>153</v>
      </c>
      <c r="J120" s="63" t="s">
        <v>110</v>
      </c>
      <c r="K120" s="57"/>
      <c r="O120" s="38"/>
      <c r="P120" s="38"/>
    </row>
    <row r="121" spans="1:16" s="37" customFormat="1" ht="14.45" customHeight="1" x14ac:dyDescent="0.2">
      <c r="A121" s="62" t="s">
        <v>142</v>
      </c>
      <c r="B121" s="62" t="s">
        <v>146</v>
      </c>
      <c r="C121" s="62" t="s">
        <v>143</v>
      </c>
      <c r="D121" s="187" t="s">
        <v>191</v>
      </c>
      <c r="E121" s="188"/>
      <c r="F121" s="189"/>
      <c r="G121" s="63">
        <v>100</v>
      </c>
      <c r="H121" s="62" t="s">
        <v>181</v>
      </c>
      <c r="I121" s="63" t="s">
        <v>153</v>
      </c>
      <c r="J121" s="63" t="s">
        <v>110</v>
      </c>
      <c r="K121" s="57"/>
      <c r="O121" s="39"/>
      <c r="P121" s="39"/>
    </row>
    <row r="122" spans="1:16" s="37" customFormat="1" ht="14.45" customHeight="1" x14ac:dyDescent="0.2">
      <c r="A122" s="62" t="s">
        <v>173</v>
      </c>
      <c r="B122" s="62" t="s">
        <v>146</v>
      </c>
      <c r="C122" s="62" t="s">
        <v>143</v>
      </c>
      <c r="D122" s="187" t="s">
        <v>189</v>
      </c>
      <c r="E122" s="188"/>
      <c r="F122" s="189"/>
      <c r="G122" s="63">
        <v>50</v>
      </c>
      <c r="H122" s="62" t="s">
        <v>192</v>
      </c>
      <c r="I122" s="63" t="s">
        <v>153</v>
      </c>
      <c r="J122" s="63" t="s">
        <v>110</v>
      </c>
      <c r="K122" s="57"/>
      <c r="O122" s="39"/>
      <c r="P122" s="39"/>
    </row>
    <row r="123" spans="1:16" s="37" customFormat="1" ht="14.45" customHeight="1" x14ac:dyDescent="0.2">
      <c r="A123" s="62" t="s">
        <v>173</v>
      </c>
      <c r="B123" s="62" t="s">
        <v>146</v>
      </c>
      <c r="C123" s="62" t="s">
        <v>143</v>
      </c>
      <c r="D123" s="187" t="s">
        <v>191</v>
      </c>
      <c r="E123" s="188"/>
      <c r="F123" s="189"/>
      <c r="G123" s="63">
        <v>50</v>
      </c>
      <c r="H123" s="62" t="s">
        <v>181</v>
      </c>
      <c r="I123" s="63" t="s">
        <v>153</v>
      </c>
      <c r="J123" s="63" t="s">
        <v>110</v>
      </c>
      <c r="K123" s="57"/>
      <c r="O123" s="38"/>
      <c r="P123" s="38"/>
    </row>
    <row r="124" spans="1:16" s="37" customFormat="1" ht="14.45" customHeight="1" x14ac:dyDescent="0.25">
      <c r="A124" s="62" t="s">
        <v>142</v>
      </c>
      <c r="B124" s="62" t="s">
        <v>146</v>
      </c>
      <c r="C124" s="62" t="s">
        <v>143</v>
      </c>
      <c r="D124" s="187" t="s">
        <v>193</v>
      </c>
      <c r="E124" s="188"/>
      <c r="F124" s="189"/>
      <c r="G124" s="63">
        <v>85</v>
      </c>
      <c r="H124" s="62" t="s">
        <v>194</v>
      </c>
      <c r="I124" s="63" t="s">
        <v>153</v>
      </c>
      <c r="J124" s="63" t="s">
        <v>110</v>
      </c>
      <c r="K124" s="57"/>
      <c r="O124" s="36"/>
      <c r="P124" s="36"/>
    </row>
    <row r="125" spans="1:16" s="37" customFormat="1" ht="14.45" customHeight="1" x14ac:dyDescent="0.25">
      <c r="A125" s="62" t="s">
        <v>173</v>
      </c>
      <c r="B125" s="62" t="s">
        <v>146</v>
      </c>
      <c r="C125" s="62" t="s">
        <v>195</v>
      </c>
      <c r="D125" s="187" t="s">
        <v>196</v>
      </c>
      <c r="E125" s="188"/>
      <c r="F125" s="189"/>
      <c r="G125" s="63">
        <v>0.1</v>
      </c>
      <c r="H125" s="62" t="s">
        <v>197</v>
      </c>
      <c r="I125" s="63">
        <v>150</v>
      </c>
      <c r="J125" s="63" t="s">
        <v>110</v>
      </c>
      <c r="K125" s="57"/>
      <c r="O125" s="36"/>
      <c r="P125" s="36"/>
    </row>
    <row r="126" spans="1:16" s="37" customFormat="1" ht="14.45" customHeight="1" x14ac:dyDescent="0.25">
      <c r="A126" s="62" t="s">
        <v>142</v>
      </c>
      <c r="B126" s="62" t="s">
        <v>49</v>
      </c>
      <c r="C126" s="62" t="s">
        <v>198</v>
      </c>
      <c r="D126" s="187" t="s">
        <v>199</v>
      </c>
      <c r="E126" s="188"/>
      <c r="F126" s="189"/>
      <c r="G126" s="63">
        <v>35</v>
      </c>
      <c r="H126" s="62" t="s">
        <v>181</v>
      </c>
      <c r="I126" s="63" t="s">
        <v>153</v>
      </c>
      <c r="J126" s="63" t="s">
        <v>110</v>
      </c>
      <c r="K126" s="57"/>
      <c r="O126" s="36"/>
      <c r="P126" s="36"/>
    </row>
    <row r="127" spans="1:16" s="37" customFormat="1" ht="14.45" customHeight="1" x14ac:dyDescent="0.25">
      <c r="A127" s="62" t="s">
        <v>142</v>
      </c>
      <c r="B127" s="62" t="s">
        <v>146</v>
      </c>
      <c r="C127" s="62" t="s">
        <v>198</v>
      </c>
      <c r="D127" s="187" t="s">
        <v>200</v>
      </c>
      <c r="E127" s="188"/>
      <c r="F127" s="189"/>
      <c r="G127" s="63">
        <v>7</v>
      </c>
      <c r="H127" s="62" t="s">
        <v>152</v>
      </c>
      <c r="I127" s="63">
        <v>7</v>
      </c>
      <c r="J127" s="63" t="s">
        <v>110</v>
      </c>
      <c r="K127" s="57"/>
      <c r="O127" s="36"/>
      <c r="P127" s="36"/>
    </row>
    <row r="128" spans="1:16" s="37" customFormat="1" ht="14.1" customHeight="1" x14ac:dyDescent="0.25">
      <c r="A128" s="62" t="s">
        <v>142</v>
      </c>
      <c r="B128" s="62" t="s">
        <v>142</v>
      </c>
      <c r="C128" s="62" t="s">
        <v>201</v>
      </c>
      <c r="D128" s="187" t="s">
        <v>202</v>
      </c>
      <c r="E128" s="188"/>
      <c r="F128" s="189"/>
      <c r="G128" s="63">
        <v>40</v>
      </c>
      <c r="H128" s="62" t="s">
        <v>203</v>
      </c>
      <c r="I128" s="63" t="s">
        <v>153</v>
      </c>
      <c r="J128" s="63" t="s">
        <v>110</v>
      </c>
      <c r="K128" s="57"/>
      <c r="O128" s="36"/>
      <c r="P128" s="36"/>
    </row>
    <row r="129" spans="1:29" s="37" customFormat="1" ht="14.1" customHeight="1" x14ac:dyDescent="0.25">
      <c r="A129" s="62" t="s">
        <v>142</v>
      </c>
      <c r="B129" s="62" t="s">
        <v>49</v>
      </c>
      <c r="C129" s="62" t="s">
        <v>143</v>
      </c>
      <c r="D129" s="187" t="s">
        <v>204</v>
      </c>
      <c r="E129" s="188"/>
      <c r="F129" s="189"/>
      <c r="G129" s="63">
        <v>50</v>
      </c>
      <c r="H129" s="62" t="s">
        <v>49</v>
      </c>
      <c r="I129" s="63" t="s">
        <v>153</v>
      </c>
      <c r="J129" s="63" t="s">
        <v>110</v>
      </c>
      <c r="K129" s="57"/>
      <c r="L129" s="38"/>
      <c r="M129" s="38"/>
      <c r="N129" s="38"/>
      <c r="O129" s="36"/>
      <c r="P129" s="36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 spans="1:29" s="39" customFormat="1" ht="14.1" customHeight="1" x14ac:dyDescent="0.25">
      <c r="A130" s="62" t="s">
        <v>142</v>
      </c>
      <c r="B130" s="62" t="s">
        <v>49</v>
      </c>
      <c r="C130" s="62" t="s">
        <v>143</v>
      </c>
      <c r="D130" s="187" t="s">
        <v>205</v>
      </c>
      <c r="E130" s="188"/>
      <c r="F130" s="189"/>
      <c r="G130" s="63">
        <v>200</v>
      </c>
      <c r="H130" s="62" t="s">
        <v>206</v>
      </c>
      <c r="I130" s="63" t="s">
        <v>153</v>
      </c>
      <c r="J130" s="63" t="s">
        <v>110</v>
      </c>
      <c r="K130" s="57"/>
      <c r="O130" s="36"/>
      <c r="P130" s="36"/>
    </row>
    <row r="131" spans="1:29" s="39" customFormat="1" ht="14.1" customHeight="1" x14ac:dyDescent="0.25">
      <c r="A131" s="62" t="s">
        <v>142</v>
      </c>
      <c r="B131" s="62" t="s">
        <v>49</v>
      </c>
      <c r="C131" s="62" t="s">
        <v>143</v>
      </c>
      <c r="D131" s="187" t="s">
        <v>207</v>
      </c>
      <c r="E131" s="188"/>
      <c r="F131" s="189"/>
      <c r="G131" s="63">
        <v>250</v>
      </c>
      <c r="H131" s="62" t="s">
        <v>208</v>
      </c>
      <c r="I131" s="63">
        <v>100</v>
      </c>
      <c r="J131" s="63" t="s">
        <v>110</v>
      </c>
      <c r="K131" s="57"/>
      <c r="L131" s="38"/>
      <c r="M131" s="38"/>
      <c r="N131" s="38"/>
      <c r="O131" s="36"/>
      <c r="P131" s="36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 spans="1:29" s="38" customFormat="1" ht="14.1" customHeight="1" x14ac:dyDescent="0.25">
      <c r="A132" s="62" t="s">
        <v>142</v>
      </c>
      <c r="B132" s="62" t="s">
        <v>49</v>
      </c>
      <c r="C132" s="62" t="s">
        <v>201</v>
      </c>
      <c r="D132" s="187" t="s">
        <v>209</v>
      </c>
      <c r="E132" s="188"/>
      <c r="F132" s="189"/>
      <c r="G132" s="63" t="s">
        <v>210</v>
      </c>
      <c r="H132" s="62"/>
      <c r="I132" s="63" t="s">
        <v>153</v>
      </c>
      <c r="J132" s="63" t="s">
        <v>110</v>
      </c>
      <c r="K132" s="57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:29" s="36" customFormat="1" x14ac:dyDescent="0.25">
      <c r="A133" s="62" t="s">
        <v>142</v>
      </c>
      <c r="B133" s="62" t="s">
        <v>49</v>
      </c>
      <c r="C133" s="62" t="s">
        <v>201</v>
      </c>
      <c r="D133" s="187" t="s">
        <v>211</v>
      </c>
      <c r="E133" s="188"/>
      <c r="F133" s="189"/>
      <c r="G133" s="63" t="s">
        <v>212</v>
      </c>
      <c r="H133" s="62"/>
      <c r="I133" s="63" t="s">
        <v>153</v>
      </c>
      <c r="J133" s="63" t="s">
        <v>110</v>
      </c>
      <c r="K133" s="72"/>
    </row>
    <row r="134" spans="1:29" s="36" customFormat="1" x14ac:dyDescent="0.25">
      <c r="A134" s="62" t="s">
        <v>213</v>
      </c>
      <c r="B134" s="62" t="s">
        <v>49</v>
      </c>
      <c r="C134" s="62" t="s">
        <v>214</v>
      </c>
      <c r="D134" s="187" t="s">
        <v>215</v>
      </c>
      <c r="E134" s="188"/>
      <c r="F134" s="189"/>
      <c r="G134" s="63">
        <v>100</v>
      </c>
      <c r="H134" s="62" t="s">
        <v>49</v>
      </c>
      <c r="I134" s="63">
        <v>100</v>
      </c>
      <c r="J134" s="63" t="s">
        <v>110</v>
      </c>
      <c r="K134" s="72"/>
    </row>
    <row r="135" spans="1:29" s="36" customFormat="1" x14ac:dyDescent="0.25">
      <c r="A135" s="62" t="s">
        <v>213</v>
      </c>
      <c r="B135" s="62" t="s">
        <v>216</v>
      </c>
      <c r="C135" s="62" t="s">
        <v>147</v>
      </c>
      <c r="D135" s="187" t="s">
        <v>217</v>
      </c>
      <c r="E135" s="188"/>
      <c r="F135" s="189"/>
      <c r="G135" s="63">
        <v>50</v>
      </c>
      <c r="H135" s="62"/>
      <c r="I135" s="63">
        <v>50</v>
      </c>
      <c r="J135" s="63" t="s">
        <v>110</v>
      </c>
      <c r="K135" s="72"/>
    </row>
    <row r="136" spans="1:29" s="36" customFormat="1" x14ac:dyDescent="0.25">
      <c r="A136" s="62" t="s">
        <v>150</v>
      </c>
      <c r="B136" s="62" t="s">
        <v>49</v>
      </c>
      <c r="C136" s="62" t="s">
        <v>218</v>
      </c>
      <c r="D136" s="187" t="s">
        <v>219</v>
      </c>
      <c r="E136" s="188"/>
      <c r="F136" s="189"/>
      <c r="G136" s="69" t="s">
        <v>220</v>
      </c>
      <c r="H136" s="67" t="s">
        <v>49</v>
      </c>
      <c r="I136" s="69" t="s">
        <v>153</v>
      </c>
      <c r="J136" s="63" t="s">
        <v>110</v>
      </c>
      <c r="K136" s="72"/>
    </row>
    <row r="137" spans="1:29" s="36" customFormat="1" x14ac:dyDescent="0.25">
      <c r="A137" s="62" t="s">
        <v>221</v>
      </c>
      <c r="B137" s="62" t="s">
        <v>49</v>
      </c>
      <c r="C137" s="62" t="s">
        <v>201</v>
      </c>
      <c r="D137" s="187" t="s">
        <v>222</v>
      </c>
      <c r="E137" s="188"/>
      <c r="F137" s="189"/>
      <c r="G137" s="69" t="s">
        <v>220</v>
      </c>
      <c r="H137" s="67" t="s">
        <v>49</v>
      </c>
      <c r="I137" s="69" t="s">
        <v>153</v>
      </c>
      <c r="J137" s="63" t="s">
        <v>110</v>
      </c>
      <c r="K137" s="72"/>
    </row>
    <row r="138" spans="1:29" s="36" customFormat="1" x14ac:dyDescent="0.25">
      <c r="A138" s="62" t="s">
        <v>142</v>
      </c>
      <c r="B138" s="62" t="s">
        <v>49</v>
      </c>
      <c r="C138" s="62" t="s">
        <v>223</v>
      </c>
      <c r="D138" s="187" t="s">
        <v>224</v>
      </c>
      <c r="E138" s="188"/>
      <c r="F138" s="189"/>
      <c r="G138" s="63" t="s">
        <v>225</v>
      </c>
      <c r="H138" s="62"/>
      <c r="I138" s="63" t="s">
        <v>153</v>
      </c>
      <c r="J138" s="63" t="s">
        <v>110</v>
      </c>
      <c r="K138" s="72"/>
    </row>
    <row r="139" spans="1:29" s="36" customFormat="1" x14ac:dyDescent="0.25">
      <c r="A139" s="62" t="s">
        <v>142</v>
      </c>
      <c r="B139" s="62" t="s">
        <v>49</v>
      </c>
      <c r="C139" s="62" t="s">
        <v>226</v>
      </c>
      <c r="D139" s="187" t="s">
        <v>227</v>
      </c>
      <c r="E139" s="188"/>
      <c r="F139" s="189"/>
      <c r="G139" s="66">
        <v>150</v>
      </c>
      <c r="H139" s="62" t="s">
        <v>49</v>
      </c>
      <c r="I139" s="66">
        <v>150</v>
      </c>
      <c r="J139" s="63" t="s">
        <v>110</v>
      </c>
      <c r="K139" s="72"/>
    </row>
    <row r="140" spans="1:29" s="36" customFormat="1" x14ac:dyDescent="0.25">
      <c r="A140" s="62" t="s">
        <v>142</v>
      </c>
      <c r="B140" s="62" t="s">
        <v>49</v>
      </c>
      <c r="C140" s="62" t="s">
        <v>228</v>
      </c>
      <c r="D140" s="187" t="s">
        <v>229</v>
      </c>
      <c r="E140" s="188"/>
      <c r="F140" s="189"/>
      <c r="G140" s="66">
        <v>25</v>
      </c>
      <c r="H140" s="62" t="s">
        <v>230</v>
      </c>
      <c r="I140" s="66">
        <v>25</v>
      </c>
      <c r="J140" s="63" t="s">
        <v>110</v>
      </c>
      <c r="K140" s="72"/>
    </row>
    <row r="141" spans="1:29" s="36" customFormat="1" x14ac:dyDescent="0.25">
      <c r="A141" s="62" t="s">
        <v>142</v>
      </c>
      <c r="B141" s="62" t="s">
        <v>146</v>
      </c>
      <c r="C141" s="62" t="s">
        <v>198</v>
      </c>
      <c r="D141" s="187" t="s">
        <v>231</v>
      </c>
      <c r="E141" s="188"/>
      <c r="F141" s="189"/>
      <c r="G141" s="66" t="s">
        <v>232</v>
      </c>
      <c r="H141" s="62" t="s">
        <v>149</v>
      </c>
      <c r="I141" s="66" t="s">
        <v>153</v>
      </c>
      <c r="J141" s="63" t="s">
        <v>110</v>
      </c>
      <c r="K141" s="72"/>
    </row>
    <row r="142" spans="1:29" s="36" customFormat="1" x14ac:dyDescent="0.25">
      <c r="A142" s="62" t="s">
        <v>173</v>
      </c>
      <c r="B142" s="62" t="s">
        <v>146</v>
      </c>
      <c r="C142" s="62" t="s">
        <v>233</v>
      </c>
      <c r="D142" s="187" t="s">
        <v>234</v>
      </c>
      <c r="E142" s="188"/>
      <c r="F142" s="189"/>
      <c r="G142" s="66">
        <v>0.5</v>
      </c>
      <c r="H142" s="62" t="s">
        <v>235</v>
      </c>
      <c r="I142" s="66">
        <v>50</v>
      </c>
      <c r="J142" s="63" t="s">
        <v>110</v>
      </c>
      <c r="K142" s="72"/>
    </row>
    <row r="143" spans="1:29" s="36" customFormat="1" x14ac:dyDescent="0.25">
      <c r="A143" s="62" t="s">
        <v>173</v>
      </c>
      <c r="B143" s="62" t="s">
        <v>146</v>
      </c>
      <c r="C143" s="62" t="s">
        <v>201</v>
      </c>
      <c r="D143" s="187" t="s">
        <v>237</v>
      </c>
      <c r="E143" s="188"/>
      <c r="F143" s="189"/>
      <c r="G143" s="66" t="s">
        <v>238</v>
      </c>
      <c r="H143" s="62" t="s">
        <v>235</v>
      </c>
      <c r="I143" s="66">
        <v>50</v>
      </c>
      <c r="J143" s="63" t="s">
        <v>110</v>
      </c>
      <c r="K143" s="72"/>
    </row>
    <row r="144" spans="1:29" s="36" customFormat="1" x14ac:dyDescent="0.25">
      <c r="A144" s="62" t="s">
        <v>239</v>
      </c>
      <c r="B144" s="62" t="s">
        <v>49</v>
      </c>
      <c r="C144" s="62" t="s">
        <v>143</v>
      </c>
      <c r="D144" s="187" t="s">
        <v>240</v>
      </c>
      <c r="E144" s="188"/>
      <c r="F144" s="189"/>
      <c r="G144" s="69" t="s">
        <v>220</v>
      </c>
      <c r="H144" s="67" t="s">
        <v>49</v>
      </c>
      <c r="I144" s="69" t="s">
        <v>153</v>
      </c>
      <c r="J144" s="63" t="s">
        <v>110</v>
      </c>
      <c r="K144" s="72"/>
    </row>
    <row r="145" spans="1:11" s="36" customFormat="1" x14ac:dyDescent="0.25">
      <c r="A145" s="62" t="s">
        <v>142</v>
      </c>
      <c r="B145" s="62" t="s">
        <v>142</v>
      </c>
      <c r="C145" s="62" t="s">
        <v>147</v>
      </c>
      <c r="D145" s="187" t="s">
        <v>241</v>
      </c>
      <c r="E145" s="188"/>
      <c r="F145" s="189"/>
      <c r="G145" s="66" t="s">
        <v>242</v>
      </c>
      <c r="H145" s="62"/>
      <c r="I145" s="66">
        <v>15</v>
      </c>
      <c r="J145" s="63" t="s">
        <v>110</v>
      </c>
      <c r="K145" s="72"/>
    </row>
    <row r="146" spans="1:11" s="36" customFormat="1" x14ac:dyDescent="0.25">
      <c r="A146" s="62" t="s">
        <v>243</v>
      </c>
      <c r="B146" s="62" t="s">
        <v>49</v>
      </c>
      <c r="C146" s="62" t="s">
        <v>143</v>
      </c>
      <c r="D146" s="187" t="s">
        <v>244</v>
      </c>
      <c r="E146" s="188"/>
      <c r="F146" s="189"/>
      <c r="G146" s="66">
        <v>200</v>
      </c>
      <c r="H146" s="62" t="s">
        <v>49</v>
      </c>
      <c r="I146" s="63">
        <v>200</v>
      </c>
      <c r="J146" s="63" t="s">
        <v>110</v>
      </c>
      <c r="K146" s="72"/>
    </row>
    <row r="147" spans="1:11" s="36" customFormat="1" x14ac:dyDescent="0.25">
      <c r="A147" s="62" t="s">
        <v>245</v>
      </c>
      <c r="B147" s="62" t="s">
        <v>49</v>
      </c>
      <c r="C147" s="62" t="s">
        <v>143</v>
      </c>
      <c r="D147" s="187" t="s">
        <v>246</v>
      </c>
      <c r="E147" s="188"/>
      <c r="F147" s="189"/>
      <c r="G147" s="66">
        <v>250</v>
      </c>
      <c r="H147" s="62" t="s">
        <v>49</v>
      </c>
      <c r="I147" s="63">
        <v>100</v>
      </c>
      <c r="J147" s="63" t="s">
        <v>110</v>
      </c>
      <c r="K147" s="72"/>
    </row>
    <row r="148" spans="1:11" s="36" customFormat="1" x14ac:dyDescent="0.25">
      <c r="A148" s="62" t="s">
        <v>247</v>
      </c>
      <c r="B148" s="62" t="s">
        <v>49</v>
      </c>
      <c r="C148" s="62" t="s">
        <v>143</v>
      </c>
      <c r="D148" s="187" t="s">
        <v>248</v>
      </c>
      <c r="E148" s="188"/>
      <c r="F148" s="189"/>
      <c r="G148" s="63">
        <v>250</v>
      </c>
      <c r="H148" s="62" t="s">
        <v>49</v>
      </c>
      <c r="I148" s="63">
        <v>200</v>
      </c>
      <c r="J148" s="63" t="s">
        <v>110</v>
      </c>
      <c r="K148" s="72"/>
    </row>
    <row r="149" spans="1:11" s="36" customFormat="1" x14ac:dyDescent="0.25">
      <c r="A149" s="62" t="s">
        <v>142</v>
      </c>
      <c r="B149" s="62" t="s">
        <v>49</v>
      </c>
      <c r="C149" s="62" t="s">
        <v>143</v>
      </c>
      <c r="D149" s="187" t="s">
        <v>249</v>
      </c>
      <c r="E149" s="188"/>
      <c r="F149" s="189"/>
      <c r="G149" s="63"/>
      <c r="H149" s="62" t="s">
        <v>49</v>
      </c>
      <c r="I149" s="63" t="s">
        <v>153</v>
      </c>
      <c r="J149" s="63" t="s">
        <v>110</v>
      </c>
      <c r="K149" s="72"/>
    </row>
    <row r="150" spans="1:11" s="36" customFormat="1" x14ac:dyDescent="0.25">
      <c r="A150" s="62" t="s">
        <v>250</v>
      </c>
      <c r="B150" s="62" t="s">
        <v>49</v>
      </c>
      <c r="C150" s="62" t="s">
        <v>143</v>
      </c>
      <c r="D150" s="187" t="s">
        <v>251</v>
      </c>
      <c r="E150" s="188"/>
      <c r="F150" s="189"/>
      <c r="G150" s="66">
        <v>350</v>
      </c>
      <c r="H150" s="62" t="s">
        <v>49</v>
      </c>
      <c r="I150" s="63">
        <v>350</v>
      </c>
      <c r="J150" s="63" t="s">
        <v>110</v>
      </c>
      <c r="K150" s="72"/>
    </row>
    <row r="151" spans="1:11" s="36" customFormat="1" x14ac:dyDescent="0.25">
      <c r="A151" s="118"/>
      <c r="B151" s="118"/>
      <c r="C151" s="118"/>
      <c r="D151" s="119"/>
      <c r="E151" s="119"/>
      <c r="F151" s="119"/>
      <c r="G151" s="120"/>
      <c r="H151" s="118"/>
      <c r="I151" s="121"/>
      <c r="J151" s="121"/>
      <c r="K151" s="72"/>
    </row>
    <row r="152" spans="1:11" s="36" customFormat="1" x14ac:dyDescent="0.25">
      <c r="A152" s="180" t="s">
        <v>72</v>
      </c>
      <c r="B152" s="180"/>
      <c r="C152" s="180"/>
      <c r="D152" s="180"/>
      <c r="E152" s="180"/>
      <c r="F152" s="180"/>
      <c r="G152" s="180"/>
      <c r="H152" s="180"/>
      <c r="I152" s="180"/>
      <c r="J152" s="180"/>
      <c r="K152" s="72"/>
    </row>
    <row r="153" spans="1:11" s="36" customFormat="1" x14ac:dyDescent="0.25">
      <c r="A153" s="186" t="s">
        <v>67</v>
      </c>
      <c r="B153" s="186"/>
      <c r="C153" s="186"/>
      <c r="D153" s="186"/>
      <c r="E153" s="186" t="s">
        <v>68</v>
      </c>
      <c r="F153" s="186"/>
      <c r="G153" s="186"/>
      <c r="H153" s="186"/>
      <c r="I153" s="186"/>
      <c r="J153" s="186"/>
      <c r="K153" s="72"/>
    </row>
    <row r="154" spans="1:11" s="36" customFormat="1" x14ac:dyDescent="0.25">
      <c r="A154" s="185" t="s">
        <v>73</v>
      </c>
      <c r="B154" s="185"/>
      <c r="C154" s="185"/>
      <c r="D154" s="185"/>
      <c r="E154" s="185" t="s">
        <v>254</v>
      </c>
      <c r="F154" s="185"/>
      <c r="G154" s="185"/>
      <c r="H154" s="185"/>
      <c r="I154" s="185"/>
      <c r="J154" s="185"/>
      <c r="K154" s="72"/>
    </row>
    <row r="155" spans="1:11" s="36" customFormat="1" ht="15" customHeight="1" x14ac:dyDescent="0.25">
      <c r="A155" s="185" t="s">
        <v>252</v>
      </c>
      <c r="B155" s="185"/>
      <c r="C155" s="185"/>
      <c r="D155" s="185"/>
      <c r="E155" s="185" t="s">
        <v>253</v>
      </c>
      <c r="F155" s="185"/>
      <c r="G155" s="185"/>
      <c r="H155" s="185"/>
      <c r="I155" s="185"/>
      <c r="J155" s="185"/>
      <c r="K155" s="72"/>
    </row>
    <row r="156" spans="1:11" s="36" customFormat="1" ht="15" customHeight="1" x14ac:dyDescent="0.25">
      <c r="A156" s="185" t="s">
        <v>74</v>
      </c>
      <c r="B156" s="185"/>
      <c r="C156" s="185"/>
      <c r="D156" s="185"/>
      <c r="E156" s="185" t="s">
        <v>75</v>
      </c>
      <c r="F156" s="185"/>
      <c r="G156" s="185"/>
      <c r="H156" s="185"/>
      <c r="I156" s="185"/>
      <c r="J156" s="185"/>
      <c r="K156" s="72"/>
    </row>
    <row r="157" spans="1:11" s="36" customFormat="1" x14ac:dyDescent="0.25">
      <c r="A157" s="185" t="s">
        <v>76</v>
      </c>
      <c r="B157" s="185"/>
      <c r="C157" s="185"/>
      <c r="D157" s="185"/>
      <c r="E157" s="185" t="s">
        <v>77</v>
      </c>
      <c r="F157" s="185"/>
      <c r="G157" s="185"/>
      <c r="H157" s="185"/>
      <c r="I157" s="185"/>
      <c r="J157" s="185"/>
      <c r="K157" s="72"/>
    </row>
    <row r="158" spans="1:11" s="36" customFormat="1" ht="15" customHeight="1" x14ac:dyDescent="0.25">
      <c r="A158" s="185" t="s">
        <v>78</v>
      </c>
      <c r="B158" s="185"/>
      <c r="C158" s="185"/>
      <c r="D158" s="185"/>
      <c r="E158" s="185" t="s">
        <v>79</v>
      </c>
      <c r="F158" s="185"/>
      <c r="G158" s="185"/>
      <c r="H158" s="185"/>
      <c r="I158" s="185"/>
      <c r="J158" s="185"/>
      <c r="K158" s="72"/>
    </row>
    <row r="159" spans="1:11" s="36" customFormat="1" ht="15" customHeight="1" x14ac:dyDescent="0.25">
      <c r="A159" s="180" t="s">
        <v>89</v>
      </c>
      <c r="B159" s="180"/>
      <c r="C159" s="180"/>
      <c r="D159" s="180"/>
      <c r="E159" s="180"/>
      <c r="F159" s="180"/>
      <c r="G159" s="180"/>
      <c r="H159" s="180"/>
      <c r="I159" s="180"/>
      <c r="J159" s="180"/>
      <c r="K159" s="72"/>
    </row>
    <row r="160" spans="1:11" s="36" customFormat="1" x14ac:dyDescent="0.25">
      <c r="A160" s="181" t="s">
        <v>80</v>
      </c>
      <c r="B160" s="181"/>
      <c r="C160" s="181"/>
      <c r="D160" s="181"/>
      <c r="E160" s="181"/>
      <c r="F160" s="181"/>
      <c r="G160" s="181"/>
      <c r="H160" s="181"/>
      <c r="I160" s="181"/>
      <c r="J160" s="181"/>
      <c r="K160" s="72"/>
    </row>
    <row r="161" spans="1:11" s="36" customFormat="1" ht="15" customHeight="1" x14ac:dyDescent="0.25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72"/>
    </row>
    <row r="162" spans="1:11" s="36" customFormat="1" x14ac:dyDescent="0.25">
      <c r="A162" s="182" t="s">
        <v>90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72"/>
    </row>
    <row r="163" spans="1:11" s="36" customFormat="1" ht="15" customHeight="1" x14ac:dyDescent="0.25">
      <c r="A163" s="182"/>
      <c r="B163" s="182"/>
      <c r="C163" s="182"/>
      <c r="D163" s="182"/>
      <c r="E163" s="182"/>
      <c r="F163" s="182"/>
      <c r="G163" s="182"/>
      <c r="H163" s="182"/>
      <c r="I163" s="182"/>
      <c r="J163" s="182"/>
      <c r="K163" s="72"/>
    </row>
    <row r="164" spans="1:11" s="42" customFormat="1" ht="13.9" customHeight="1" x14ac:dyDescent="0.25">
      <c r="A164" s="183" t="s">
        <v>353</v>
      </c>
      <c r="B164" s="183"/>
      <c r="C164" s="183"/>
      <c r="D164" s="183"/>
      <c r="E164" s="183"/>
      <c r="F164" s="183"/>
      <c r="G164" s="183"/>
      <c r="H164" s="183"/>
      <c r="I164" s="183"/>
      <c r="J164" s="48"/>
    </row>
    <row r="165" spans="1:11" s="49" customFormat="1" ht="13.9" customHeight="1" x14ac:dyDescent="0.25">
      <c r="A165" s="184" t="s">
        <v>354</v>
      </c>
      <c r="B165" s="184"/>
      <c r="C165" s="184"/>
      <c r="D165" s="184"/>
      <c r="E165" s="184"/>
      <c r="F165" s="184"/>
      <c r="G165" s="184"/>
      <c r="H165" s="184"/>
      <c r="I165" s="184"/>
      <c r="J165" s="48"/>
    </row>
    <row r="166" spans="1:11" x14ac:dyDescent="0.25">
      <c r="J166" s="48"/>
    </row>
    <row r="167" spans="1:11" x14ac:dyDescent="0.25">
      <c r="J167" s="48"/>
    </row>
    <row r="168" spans="1:11" x14ac:dyDescent="0.25">
      <c r="J168" s="48"/>
    </row>
  </sheetData>
  <protectedRanges>
    <protectedRange algorithmName="SHA-512" hashValue="VF6HSW3Iy4xJ9rvYE/9xGHEoimGCygSu8D4FeqmdsD954MzAHwkkxLcwSP9Q5ui8KTGpWBzFAFpp2yGVfuii3Q==" saltValue="Ht0jMOW+8eakbuvlYpVr7Q==" spinCount="100000" sqref="G13:J28 G30:J33 G35:J38 G40:J46 G59:J66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7:J47 G49:J53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5:J57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86:WWE86" xr:uid="{FA694B6A-433F-4FA4-84BF-050781CB5F76}">
    <filterColumn colId="3" showButton="0"/>
    <filterColumn colId="4" showButton="0"/>
  </autoFilter>
  <mergeCells count="150">
    <mergeCell ref="A165:I165"/>
    <mergeCell ref="L83:Q83"/>
    <mergeCell ref="A83:D83"/>
    <mergeCell ref="G83:J83"/>
    <mergeCell ref="A158:D158"/>
    <mergeCell ref="E158:J158"/>
    <mergeCell ref="A159:J159"/>
    <mergeCell ref="A160:J161"/>
    <mergeCell ref="A162:J163"/>
    <mergeCell ref="A164:I164"/>
    <mergeCell ref="A155:D155"/>
    <mergeCell ref="E155:J155"/>
    <mergeCell ref="A156:D156"/>
    <mergeCell ref="E156:J156"/>
    <mergeCell ref="A157:D157"/>
    <mergeCell ref="E157:J157"/>
    <mergeCell ref="D150:F150"/>
    <mergeCell ref="A152:J152"/>
    <mergeCell ref="A153:D153"/>
    <mergeCell ref="E153:J153"/>
    <mergeCell ref="A154:D154"/>
    <mergeCell ref="E154:J154"/>
    <mergeCell ref="D144:F144"/>
    <mergeCell ref="D145:F145"/>
    <mergeCell ref="D146:F146"/>
    <mergeCell ref="D147:F147"/>
    <mergeCell ref="D148:F148"/>
    <mergeCell ref="D149:F149"/>
    <mergeCell ref="D139:F139"/>
    <mergeCell ref="D140:F140"/>
    <mergeCell ref="D141:F141"/>
    <mergeCell ref="D142:F142"/>
    <mergeCell ref="D143:F143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21:F121"/>
    <mergeCell ref="D122:F122"/>
    <mergeCell ref="D123:F123"/>
    <mergeCell ref="D124:F124"/>
    <mergeCell ref="D125:F125"/>
    <mergeCell ref="D126:F126"/>
    <mergeCell ref="D115:F115"/>
    <mergeCell ref="D116:F116"/>
    <mergeCell ref="D117:F117"/>
    <mergeCell ref="D118:F118"/>
    <mergeCell ref="D119:F119"/>
    <mergeCell ref="D120:F120"/>
    <mergeCell ref="D109:F109"/>
    <mergeCell ref="D110:F110"/>
    <mergeCell ref="D111:F111"/>
    <mergeCell ref="D112:F112"/>
    <mergeCell ref="D113:F113"/>
    <mergeCell ref="D114:F114"/>
    <mergeCell ref="D103:F103"/>
    <mergeCell ref="D104:F104"/>
    <mergeCell ref="D105:F105"/>
    <mergeCell ref="D106:F106"/>
    <mergeCell ref="D107:F107"/>
    <mergeCell ref="D108:F108"/>
    <mergeCell ref="D97:F97"/>
    <mergeCell ref="D98:F98"/>
    <mergeCell ref="D99:F99"/>
    <mergeCell ref="D100:F100"/>
    <mergeCell ref="D101:F101"/>
    <mergeCell ref="D102:F102"/>
    <mergeCell ref="D91:F91"/>
    <mergeCell ref="D92:F92"/>
    <mergeCell ref="D93:F93"/>
    <mergeCell ref="D94:F94"/>
    <mergeCell ref="D95:F95"/>
    <mergeCell ref="D96:F96"/>
    <mergeCell ref="A85:J85"/>
    <mergeCell ref="D86:F86"/>
    <mergeCell ref="D87:F87"/>
    <mergeCell ref="D88:F88"/>
    <mergeCell ref="D89:F89"/>
    <mergeCell ref="D90:F90"/>
    <mergeCell ref="A82:D82"/>
    <mergeCell ref="G82:J82"/>
    <mergeCell ref="L82:Q82"/>
    <mergeCell ref="A84:D84"/>
    <mergeCell ref="E84:J84"/>
    <mergeCell ref="L84:Q84"/>
    <mergeCell ref="A80:D80"/>
    <mergeCell ref="F80:J80"/>
    <mergeCell ref="L80:Q80"/>
    <mergeCell ref="A81:D81"/>
    <mergeCell ref="G81:J81"/>
    <mergeCell ref="L81:Q81"/>
    <mergeCell ref="L77:Q77"/>
    <mergeCell ref="A78:D78"/>
    <mergeCell ref="F78:J78"/>
    <mergeCell ref="L78:Q78"/>
    <mergeCell ref="A79:D79"/>
    <mergeCell ref="F79:J79"/>
    <mergeCell ref="L79:Q79"/>
    <mergeCell ref="A75:D75"/>
    <mergeCell ref="F75:J75"/>
    <mergeCell ref="A76:D76"/>
    <mergeCell ref="F76:J76"/>
    <mergeCell ref="A77:D77"/>
    <mergeCell ref="F77:J77"/>
    <mergeCell ref="A72:D72"/>
    <mergeCell ref="F72:J72"/>
    <mergeCell ref="L72:Q72"/>
    <mergeCell ref="A73:D73"/>
    <mergeCell ref="F73:J73"/>
    <mergeCell ref="A74:D74"/>
    <mergeCell ref="F74:J74"/>
    <mergeCell ref="A70:D70"/>
    <mergeCell ref="E70:J70"/>
    <mergeCell ref="L70:Q70"/>
    <mergeCell ref="A71:D71"/>
    <mergeCell ref="F71:J71"/>
    <mergeCell ref="L71:Q71"/>
    <mergeCell ref="E48:F48"/>
    <mergeCell ref="E54:F54"/>
    <mergeCell ref="E58:F58"/>
    <mergeCell ref="A66:J66"/>
    <mergeCell ref="A68:J68"/>
    <mergeCell ref="A69:J69"/>
    <mergeCell ref="E12:F12"/>
    <mergeCell ref="E29:F29"/>
    <mergeCell ref="E34:F34"/>
    <mergeCell ref="E39:F39"/>
    <mergeCell ref="B6:C6"/>
    <mergeCell ref="G6:I6"/>
    <mergeCell ref="E8:I8"/>
    <mergeCell ref="A10:J10"/>
    <mergeCell ref="N10:R10"/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</mergeCells>
  <hyperlinks>
    <hyperlink ref="G6" r:id="rId1" xr:uid="{A720B160-057D-437A-BE7C-F1268D38F6F6}"/>
    <hyperlink ref="G4" r:id="rId2" display="jchang.lax@oecgroup.com" xr:uid="{556C7B2F-7CB6-4EAC-B900-752DE70C9A17}"/>
  </hyperlinks>
  <pageMargins left="0.35" right="0.35" top="0.35" bottom="0.35" header="0.3" footer="0.3"/>
  <pageSetup scale="48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D94AB13-A72D-460C-95D7-2893535E6940}">
          <x14:formula1>
            <xm:f>'C:\Users\twang\AppData\Local\Microsoft\Windows\Temporary Internet Files\Content.Outlook\U7WJNCNV\[QUOTE TEMPLATE 05-01-21.xltx]Sheet1'!#REF!</xm:f>
          </x14:formula1>
          <xm:sqref>E77:E78 E71:E74 E59:E65 E13:E28 E35:E38 E40:E47 E30:E33 E80:E83 E49:E53</xm:sqref>
        </x14:dataValidation>
        <x14:dataValidation type="list" allowBlank="1" showInputMessage="1" showErrorMessage="1" xr:uid="{A95E76AF-7C80-4135-A10D-D8A4E0EF700C}">
          <x14:formula1>
            <xm:f>'C:\Users\twang\AppData\Local\Microsoft\Windows\Temporary Internet Files\Content.Outlook\U7WJNCNV\[QUOTE TEMPLATE 05-01-21.xltx]Sheet1'!#REF!</xm:f>
          </x14:formula1>
          <xm:sqref>C13:C28 C40:C47 Q13:Q14 C35:C38 C30:C33 C59:C65 C49:C53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3D2B-A023-4900-854D-20DF0E3DDE4E}">
  <sheetPr>
    <pageSetUpPr fitToPage="1"/>
  </sheetPr>
  <dimension ref="A1:AC163"/>
  <sheetViews>
    <sheetView zoomScale="90" zoomScaleNormal="90" zoomScaleSheetLayoutView="82" workbookViewId="0">
      <pane xSplit="4" topLeftCell="E1" activePane="topRight" state="frozen"/>
      <selection activeCell="A19" sqref="A19"/>
      <selection pane="topRight" activeCell="B25" sqref="B25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44682</v>
      </c>
      <c r="C8" s="45" t="s">
        <v>91</v>
      </c>
      <c r="D8" s="44">
        <v>44695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308</v>
      </c>
      <c r="E13" s="96" t="s">
        <v>114</v>
      </c>
      <c r="F13" s="97" t="s">
        <v>270</v>
      </c>
      <c r="G13" s="98">
        <f>CEILING(S13+W13+X13+O13+N13+Y13,10)</f>
        <v>8960</v>
      </c>
      <c r="H13" s="99">
        <f>CEILING(T13+W13+X13+O13+N13+Z13,10)</f>
        <v>9810</v>
      </c>
      <c r="I13" s="99">
        <f>CEILING(U13+W13+X13+O13+N13+AA13,10)</f>
        <v>9810</v>
      </c>
      <c r="J13" s="99">
        <f>CEILING(V13+W13+X13+O13+N13+AB13,10)</f>
        <v>12080</v>
      </c>
      <c r="K13" s="57"/>
      <c r="L13" s="100" t="s">
        <v>272</v>
      </c>
      <c r="M13" s="52" t="s">
        <v>292</v>
      </c>
      <c r="N13" s="40">
        <v>0</v>
      </c>
      <c r="O13" s="53">
        <f>VLOOKUP(B13,DRAYAGE!$A$1:$C$107,3,FALSE)</f>
        <v>1310</v>
      </c>
      <c r="P13" s="40" t="s">
        <v>347</v>
      </c>
      <c r="S13" s="101">
        <f t="shared" ref="S13:S28" si="0">0.9*T13</f>
        <v>7650</v>
      </c>
      <c r="T13" s="54">
        <v>8500</v>
      </c>
      <c r="U13" s="103">
        <f>T13</f>
        <v>8500</v>
      </c>
      <c r="V13" s="104">
        <f>U13*1.266</f>
        <v>10761</v>
      </c>
      <c r="X13" s="40">
        <v>0</v>
      </c>
    </row>
    <row r="14" spans="1:29" s="40" customFormat="1" ht="14.45" customHeight="1" x14ac:dyDescent="0.25">
      <c r="A14" s="133" t="s">
        <v>55</v>
      </c>
      <c r="B14" s="51" t="s">
        <v>338</v>
      </c>
      <c r="C14" s="94" t="s">
        <v>54</v>
      </c>
      <c r="D14" s="95" t="s">
        <v>308</v>
      </c>
      <c r="E14" s="96" t="s">
        <v>114</v>
      </c>
      <c r="F14" s="97" t="s">
        <v>270</v>
      </c>
      <c r="G14" s="98">
        <f t="shared" ref="G14:G19" si="1">CEILING(S14+W14+X14+O14+N14+Y14,10)</f>
        <v>8960</v>
      </c>
      <c r="H14" s="99">
        <f t="shared" ref="H14:H19" si="2">CEILING(T14+W14+X14+O14+N14+Z14,10)</f>
        <v>9810</v>
      </c>
      <c r="I14" s="99">
        <f t="shared" ref="I14:I19" si="3">CEILING(U14+W14+X14+O14+N14+AA14,10)</f>
        <v>9810</v>
      </c>
      <c r="J14" s="99">
        <f t="shared" ref="J14:J19" si="4">CEILING(V14+W14+X14+O14+N14+AB14,10)</f>
        <v>12080</v>
      </c>
      <c r="K14" s="57"/>
      <c r="L14" s="100" t="s">
        <v>272</v>
      </c>
      <c r="M14" s="52" t="s">
        <v>292</v>
      </c>
      <c r="N14" s="40">
        <v>0</v>
      </c>
      <c r="O14" s="53">
        <f>VLOOKUP(B14,DRAYAGE!$A$1:$C$107,3,FALSE)</f>
        <v>1310</v>
      </c>
      <c r="P14" s="40" t="s">
        <v>347</v>
      </c>
      <c r="S14" s="101">
        <f t="shared" si="0"/>
        <v>7650</v>
      </c>
      <c r="T14" s="54">
        <v>8500</v>
      </c>
      <c r="U14" s="103">
        <f t="shared" ref="U14:U60" si="5">T14</f>
        <v>8500</v>
      </c>
      <c r="V14" s="104">
        <f t="shared" ref="V14:V19" si="6">U14*1.266</f>
        <v>10761</v>
      </c>
      <c r="X14" s="40">
        <v>0</v>
      </c>
    </row>
    <row r="15" spans="1:29" s="40" customFormat="1" ht="14.45" customHeight="1" x14ac:dyDescent="0.25">
      <c r="A15" s="133" t="s">
        <v>56</v>
      </c>
      <c r="B15" s="51" t="s">
        <v>338</v>
      </c>
      <c r="C15" s="94" t="s">
        <v>54</v>
      </c>
      <c r="D15" s="95" t="s">
        <v>308</v>
      </c>
      <c r="E15" s="96" t="s">
        <v>114</v>
      </c>
      <c r="F15" s="97" t="s">
        <v>270</v>
      </c>
      <c r="G15" s="98">
        <f t="shared" si="1"/>
        <v>11660</v>
      </c>
      <c r="H15" s="99">
        <f t="shared" si="2"/>
        <v>12810</v>
      </c>
      <c r="I15" s="99">
        <f t="shared" si="3"/>
        <v>12810</v>
      </c>
      <c r="J15" s="99">
        <f t="shared" si="4"/>
        <v>15870</v>
      </c>
      <c r="K15" s="57"/>
      <c r="L15" s="100" t="s">
        <v>272</v>
      </c>
      <c r="M15" s="52" t="s">
        <v>292</v>
      </c>
      <c r="N15" s="40">
        <v>0</v>
      </c>
      <c r="O15" s="53">
        <f>VLOOKUP(B15,DRAYAGE!$A$1:$C$107,3,FALSE)</f>
        <v>1310</v>
      </c>
      <c r="P15" s="40" t="s">
        <v>347</v>
      </c>
      <c r="S15" s="101">
        <f t="shared" si="0"/>
        <v>10350</v>
      </c>
      <c r="T15" s="54">
        <v>11500</v>
      </c>
      <c r="U15" s="103">
        <f t="shared" si="5"/>
        <v>11500</v>
      </c>
      <c r="V15" s="104">
        <f t="shared" si="6"/>
        <v>14559</v>
      </c>
      <c r="X15" s="40">
        <v>0</v>
      </c>
    </row>
    <row r="16" spans="1:29" s="40" customFormat="1" ht="14.45" customHeight="1" x14ac:dyDescent="0.25">
      <c r="A16" s="133" t="s">
        <v>57</v>
      </c>
      <c r="B16" s="51" t="s">
        <v>338</v>
      </c>
      <c r="C16" s="94" t="s">
        <v>54</v>
      </c>
      <c r="D16" s="95" t="s">
        <v>308</v>
      </c>
      <c r="E16" s="96" t="s">
        <v>114</v>
      </c>
      <c r="F16" s="97" t="s">
        <v>270</v>
      </c>
      <c r="G16" s="98">
        <f t="shared" si="1"/>
        <v>13910</v>
      </c>
      <c r="H16" s="99">
        <f t="shared" si="2"/>
        <v>15310</v>
      </c>
      <c r="I16" s="99">
        <f t="shared" si="3"/>
        <v>15310</v>
      </c>
      <c r="J16" s="99">
        <f t="shared" si="4"/>
        <v>19040</v>
      </c>
      <c r="K16" s="57"/>
      <c r="L16" s="100" t="s">
        <v>272</v>
      </c>
      <c r="M16" s="52" t="s">
        <v>292</v>
      </c>
      <c r="N16" s="40">
        <v>0</v>
      </c>
      <c r="O16" s="53">
        <f>VLOOKUP(B16,DRAYAGE!$A$1:$C$107,3,FALSE)</f>
        <v>1310</v>
      </c>
      <c r="P16" s="40" t="s">
        <v>347</v>
      </c>
      <c r="S16" s="101">
        <f t="shared" si="0"/>
        <v>12600</v>
      </c>
      <c r="T16" s="54">
        <v>14000</v>
      </c>
      <c r="U16" s="103">
        <f t="shared" si="5"/>
        <v>14000</v>
      </c>
      <c r="V16" s="104">
        <f t="shared" si="6"/>
        <v>17724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308</v>
      </c>
      <c r="E17" s="96" t="s">
        <v>114</v>
      </c>
      <c r="F17" s="97" t="s">
        <v>270</v>
      </c>
      <c r="G17" s="98">
        <f>CEILING(S17+W17+X17+O17+N17+Y17,10)</f>
        <v>13910</v>
      </c>
      <c r="H17" s="99">
        <f>CEILING(T17+W17+X17+O17+N17+Z17,10)</f>
        <v>15310</v>
      </c>
      <c r="I17" s="99">
        <f>CEILING(U17+W17+X17+O17+N17+AA17,10)</f>
        <v>15310</v>
      </c>
      <c r="J17" s="99">
        <f>CEILING(V17+W17+X17+O17+N17+AB17,10)</f>
        <v>19040</v>
      </c>
      <c r="K17" s="57"/>
      <c r="L17" s="100" t="s">
        <v>272</v>
      </c>
      <c r="M17" s="52" t="s">
        <v>292</v>
      </c>
      <c r="N17" s="40">
        <v>0</v>
      </c>
      <c r="O17" s="53">
        <f>VLOOKUP(B17,DRAYAGE!$A$1:$C$107,3,FALSE)</f>
        <v>1310</v>
      </c>
      <c r="P17" s="40" t="s">
        <v>347</v>
      </c>
      <c r="S17" s="101">
        <f>0.9*T17</f>
        <v>12600</v>
      </c>
      <c r="T17" s="54">
        <v>14000</v>
      </c>
      <c r="U17" s="103">
        <f>T17</f>
        <v>14000</v>
      </c>
      <c r="V17" s="104">
        <f>U17*1.266</f>
        <v>17724</v>
      </c>
      <c r="X17" s="40">
        <v>0</v>
      </c>
    </row>
    <row r="18" spans="1:29" s="40" customFormat="1" ht="18.75" x14ac:dyDescent="0.25">
      <c r="A18" s="144" t="s">
        <v>366</v>
      </c>
      <c r="B18" s="51" t="s">
        <v>338</v>
      </c>
      <c r="C18" s="94" t="s">
        <v>54</v>
      </c>
      <c r="D18" s="95" t="s">
        <v>308</v>
      </c>
      <c r="E18" s="96" t="s">
        <v>114</v>
      </c>
      <c r="F18" s="97" t="s">
        <v>270</v>
      </c>
      <c r="G18" s="98">
        <f>CEILING(S18+W18+X18+O18+N18+Y18,10)</f>
        <v>14680</v>
      </c>
      <c r="H18" s="99">
        <f>CEILING(T18+W18+X18+O18+N18+Z18,10)</f>
        <v>16160</v>
      </c>
      <c r="I18" s="99">
        <f>CEILING(U18+W18+X18+O18+N18+AA18,10)</f>
        <v>16160</v>
      </c>
      <c r="J18" s="99">
        <f>CEILING(V18+W18+X18+O18+N18+AB18,10)</f>
        <v>20120</v>
      </c>
      <c r="K18" s="57"/>
      <c r="L18" s="100" t="s">
        <v>272</v>
      </c>
      <c r="M18" s="52" t="s">
        <v>292</v>
      </c>
      <c r="N18" s="40">
        <v>0</v>
      </c>
      <c r="O18" s="53">
        <f>VLOOKUP(B18,DRAYAGE!$A$1:$C$107,3,FALSE)</f>
        <v>1310</v>
      </c>
      <c r="P18" s="40" t="s">
        <v>347</v>
      </c>
      <c r="S18" s="101">
        <f>0.9*T18</f>
        <v>13365</v>
      </c>
      <c r="T18" s="54">
        <f>T16+850</f>
        <v>14850</v>
      </c>
      <c r="U18" s="103">
        <f>T18</f>
        <v>14850</v>
      </c>
      <c r="V18" s="104">
        <f>U18*1.266</f>
        <v>18800.099999999999</v>
      </c>
      <c r="X18" s="40">
        <v>0</v>
      </c>
    </row>
    <row r="19" spans="1:29" s="40" customFormat="1" ht="14.45" customHeight="1" x14ac:dyDescent="0.25">
      <c r="A19" s="133" t="s">
        <v>59</v>
      </c>
      <c r="B19" s="51" t="s">
        <v>338</v>
      </c>
      <c r="C19" s="94" t="s">
        <v>54</v>
      </c>
      <c r="D19" s="95" t="s">
        <v>308</v>
      </c>
      <c r="E19" s="96" t="s">
        <v>114</v>
      </c>
      <c r="F19" s="97" t="s">
        <v>270</v>
      </c>
      <c r="G19" s="98">
        <f t="shared" si="1"/>
        <v>9410</v>
      </c>
      <c r="H19" s="99">
        <f t="shared" si="2"/>
        <v>10310</v>
      </c>
      <c r="I19" s="99">
        <f t="shared" si="3"/>
        <v>10310</v>
      </c>
      <c r="J19" s="99">
        <f t="shared" si="4"/>
        <v>12710</v>
      </c>
      <c r="K19" s="57"/>
      <c r="L19" s="100" t="s">
        <v>272</v>
      </c>
      <c r="M19" s="52" t="s">
        <v>292</v>
      </c>
      <c r="N19" s="40">
        <v>0</v>
      </c>
      <c r="O19" s="53">
        <f>VLOOKUP(B19,DRAYAGE!$A$1:$C$107,3,FALSE)</f>
        <v>1310</v>
      </c>
      <c r="P19" s="40" t="s">
        <v>347</v>
      </c>
      <c r="S19" s="101">
        <f t="shared" si="0"/>
        <v>8100</v>
      </c>
      <c r="T19" s="54">
        <v>9000</v>
      </c>
      <c r="U19" s="103">
        <f t="shared" si="5"/>
        <v>9000</v>
      </c>
      <c r="V19" s="104">
        <f t="shared" si="6"/>
        <v>11394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308</v>
      </c>
      <c r="E20" s="96" t="s">
        <v>114</v>
      </c>
      <c r="F20" s="97" t="s">
        <v>270</v>
      </c>
      <c r="G20" s="98">
        <f>CEILING(S20+W20+X20+O20+N20+Y20,10)</f>
        <v>9230</v>
      </c>
      <c r="H20" s="99">
        <f>CEILING(T20+W20+X20+O20+N20+Z20,10)</f>
        <v>10110</v>
      </c>
      <c r="I20" s="99">
        <f>CEILING(U20+W20+X20+O20+N20+AA20,10)</f>
        <v>10110</v>
      </c>
      <c r="J20" s="99">
        <f>CEILING(V20+W20+X20+O20+N20+AB20,10)</f>
        <v>12460</v>
      </c>
      <c r="K20" s="57"/>
      <c r="L20" s="100" t="s">
        <v>272</v>
      </c>
      <c r="M20" s="52" t="s">
        <v>292</v>
      </c>
      <c r="N20" s="40">
        <v>0</v>
      </c>
      <c r="O20" s="53">
        <f>VLOOKUP(B20,DRAYAGE!$A$1:$C$107,3,FALSE)</f>
        <v>1310</v>
      </c>
      <c r="P20" s="40" t="s">
        <v>347</v>
      </c>
      <c r="S20" s="101">
        <f t="shared" si="0"/>
        <v>7920</v>
      </c>
      <c r="T20" s="54">
        <v>8800</v>
      </c>
      <c r="U20" s="103">
        <f t="shared" si="5"/>
        <v>8800</v>
      </c>
      <c r="V20" s="104">
        <f>U20*1.266</f>
        <v>11140.8</v>
      </c>
      <c r="X20" s="40">
        <v>0</v>
      </c>
    </row>
    <row r="21" spans="1:29" s="40" customFormat="1" ht="14.45" customHeight="1" x14ac:dyDescent="0.25">
      <c r="A21" s="133" t="s">
        <v>61</v>
      </c>
      <c r="B21" s="51" t="s">
        <v>338</v>
      </c>
      <c r="C21" s="94" t="s">
        <v>54</v>
      </c>
      <c r="D21" s="95" t="s">
        <v>308</v>
      </c>
      <c r="E21" s="96" t="s">
        <v>114</v>
      </c>
      <c r="F21" s="97" t="s">
        <v>270</v>
      </c>
      <c r="G21" s="98">
        <f t="shared" ref="G21:G28" si="7">CEILING(S21+W21+X21+O21+N21+Y21,10)</f>
        <v>8960</v>
      </c>
      <c r="H21" s="99">
        <f t="shared" ref="H21:H28" si="8">CEILING(T21+W21+X21+O21+N21+Z21,10)</f>
        <v>9810</v>
      </c>
      <c r="I21" s="99">
        <f t="shared" ref="I21:I28" si="9">CEILING(U21+W21+X21+O21+N21+AA21,10)</f>
        <v>9810</v>
      </c>
      <c r="J21" s="99">
        <f t="shared" ref="J21:J28" si="10">CEILING(V21+W21+X21+O21+N21+AB21,10)</f>
        <v>12080</v>
      </c>
      <c r="K21" s="57"/>
      <c r="L21" s="100" t="s">
        <v>272</v>
      </c>
      <c r="M21" s="52" t="s">
        <v>292</v>
      </c>
      <c r="N21" s="40">
        <v>0</v>
      </c>
      <c r="O21" s="53">
        <f>VLOOKUP(B21,DRAYAGE!$A$1:$C$107,3,FALSE)</f>
        <v>1310</v>
      </c>
      <c r="P21" s="40" t="s">
        <v>347</v>
      </c>
      <c r="S21" s="101">
        <f t="shared" si="0"/>
        <v>7650</v>
      </c>
      <c r="T21" s="54">
        <v>8500</v>
      </c>
      <c r="U21" s="103">
        <f t="shared" si="5"/>
        <v>8500</v>
      </c>
      <c r="V21" s="104">
        <f t="shared" ref="V21:V28" si="11">U21*1.266</f>
        <v>10761</v>
      </c>
      <c r="X21" s="40">
        <v>0</v>
      </c>
    </row>
    <row r="22" spans="1:29" s="45" customFormat="1" ht="14.45" customHeight="1" x14ac:dyDescent="0.25">
      <c r="A22" s="133" t="s">
        <v>276</v>
      </c>
      <c r="B22" s="51" t="s">
        <v>338</v>
      </c>
      <c r="C22" s="106" t="s">
        <v>54</v>
      </c>
      <c r="D22" s="95" t="s">
        <v>308</v>
      </c>
      <c r="E22" s="107" t="s">
        <v>114</v>
      </c>
      <c r="F22" s="108" t="s">
        <v>270</v>
      </c>
      <c r="G22" s="109">
        <f t="shared" si="7"/>
        <v>8960</v>
      </c>
      <c r="H22" s="110">
        <f t="shared" si="8"/>
        <v>9810</v>
      </c>
      <c r="I22" s="110">
        <f t="shared" si="9"/>
        <v>9810</v>
      </c>
      <c r="J22" s="110">
        <f t="shared" si="10"/>
        <v>12080</v>
      </c>
      <c r="K22" s="111"/>
      <c r="L22" s="112" t="s">
        <v>272</v>
      </c>
      <c r="M22" s="52" t="s">
        <v>292</v>
      </c>
      <c r="N22" s="45">
        <v>0</v>
      </c>
      <c r="O22" s="53">
        <f>VLOOKUP(B22,DRAYAGE!$A$1:$C$107,3,FALSE)</f>
        <v>1310</v>
      </c>
      <c r="P22" s="40" t="s">
        <v>347</v>
      </c>
      <c r="S22" s="113">
        <f t="shared" si="0"/>
        <v>7650</v>
      </c>
      <c r="T22" s="54">
        <v>8500</v>
      </c>
      <c r="U22" s="103">
        <f t="shared" si="5"/>
        <v>8500</v>
      </c>
      <c r="V22" s="114">
        <f t="shared" si="11"/>
        <v>10761</v>
      </c>
      <c r="X22" s="45">
        <v>0</v>
      </c>
      <c r="Y22" s="40">
        <f t="shared" ref="Y22:Y28" si="12">0.9*Z22</f>
        <v>0</v>
      </c>
      <c r="AA22" s="40">
        <f t="shared" ref="AA22:AA28" si="13">Z22</f>
        <v>0</v>
      </c>
      <c r="AB22" s="40">
        <f t="shared" ref="AB22:AB28" si="14">Z22*1.266</f>
        <v>0</v>
      </c>
    </row>
    <row r="23" spans="1:29" s="40" customFormat="1" ht="14.45" customHeight="1" x14ac:dyDescent="0.25">
      <c r="A23" s="133" t="s">
        <v>108</v>
      </c>
      <c r="B23" s="51" t="s">
        <v>338</v>
      </c>
      <c r="C23" s="94" t="s">
        <v>54</v>
      </c>
      <c r="D23" s="95" t="s">
        <v>308</v>
      </c>
      <c r="E23" s="96" t="s">
        <v>114</v>
      </c>
      <c r="F23" s="97" t="s">
        <v>270</v>
      </c>
      <c r="G23" s="98">
        <f t="shared" si="7"/>
        <v>9410</v>
      </c>
      <c r="H23" s="99">
        <f t="shared" si="8"/>
        <v>10310</v>
      </c>
      <c r="I23" s="99">
        <f t="shared" si="9"/>
        <v>10310</v>
      </c>
      <c r="J23" s="99">
        <f t="shared" si="10"/>
        <v>12710</v>
      </c>
      <c r="K23" s="57"/>
      <c r="L23" s="100" t="s">
        <v>272</v>
      </c>
      <c r="M23" s="52" t="s">
        <v>292</v>
      </c>
      <c r="N23" s="40">
        <v>0</v>
      </c>
      <c r="O23" s="53">
        <f>VLOOKUP(B23,DRAYAGE!$A$1:$C$107,3,FALSE)</f>
        <v>1310</v>
      </c>
      <c r="P23" s="40" t="s">
        <v>347</v>
      </c>
      <c r="S23" s="101">
        <f t="shared" si="0"/>
        <v>8100</v>
      </c>
      <c r="T23" s="54">
        <v>9000</v>
      </c>
      <c r="U23" s="103">
        <f t="shared" si="5"/>
        <v>9000</v>
      </c>
      <c r="V23" s="104">
        <f t="shared" si="11"/>
        <v>11394</v>
      </c>
      <c r="X23" s="40">
        <v>0</v>
      </c>
    </row>
    <row r="24" spans="1:29" s="40" customFormat="1" ht="14.45" customHeight="1" x14ac:dyDescent="0.25">
      <c r="A24" s="133" t="s">
        <v>62</v>
      </c>
      <c r="B24" s="51" t="s">
        <v>338</v>
      </c>
      <c r="C24" s="94" t="s">
        <v>54</v>
      </c>
      <c r="D24" s="95" t="s">
        <v>308</v>
      </c>
      <c r="E24" s="96" t="s">
        <v>114</v>
      </c>
      <c r="F24" s="97" t="s">
        <v>270</v>
      </c>
      <c r="G24" s="98">
        <f t="shared" si="7"/>
        <v>10760</v>
      </c>
      <c r="H24" s="99">
        <f t="shared" si="8"/>
        <v>11810</v>
      </c>
      <c r="I24" s="99">
        <f t="shared" si="9"/>
        <v>11810</v>
      </c>
      <c r="J24" s="99">
        <f t="shared" si="10"/>
        <v>14610</v>
      </c>
      <c r="K24" s="57"/>
      <c r="L24" s="100" t="s">
        <v>272</v>
      </c>
      <c r="M24" s="52" t="s">
        <v>292</v>
      </c>
      <c r="N24" s="40">
        <v>0</v>
      </c>
      <c r="O24" s="53">
        <f>VLOOKUP(B24,DRAYAGE!$A$1:$C$107,3,FALSE)</f>
        <v>1310</v>
      </c>
      <c r="P24" s="40" t="s">
        <v>347</v>
      </c>
      <c r="S24" s="101">
        <f t="shared" si="0"/>
        <v>9450</v>
      </c>
      <c r="T24" s="54">
        <f>T14+2000</f>
        <v>10500</v>
      </c>
      <c r="U24" s="103">
        <f t="shared" si="5"/>
        <v>10500</v>
      </c>
      <c r="V24" s="104">
        <f t="shared" si="11"/>
        <v>13293</v>
      </c>
      <c r="X24" s="40">
        <v>0</v>
      </c>
      <c r="Y24" s="40">
        <f t="shared" si="12"/>
        <v>0</v>
      </c>
      <c r="AA24" s="40">
        <f t="shared" si="13"/>
        <v>0</v>
      </c>
      <c r="AB24" s="40">
        <f t="shared" si="14"/>
        <v>0</v>
      </c>
    </row>
    <row r="25" spans="1:29" s="40" customFormat="1" ht="14.45" customHeight="1" x14ac:dyDescent="0.25">
      <c r="A25" s="133" t="s">
        <v>66</v>
      </c>
      <c r="B25" s="51" t="s">
        <v>338</v>
      </c>
      <c r="C25" s="94" t="s">
        <v>54</v>
      </c>
      <c r="D25" s="95" t="s">
        <v>308</v>
      </c>
      <c r="E25" s="96" t="s">
        <v>114</v>
      </c>
      <c r="F25" s="97" t="s">
        <v>270</v>
      </c>
      <c r="G25" s="98">
        <f t="shared" si="7"/>
        <v>10760</v>
      </c>
      <c r="H25" s="99">
        <f t="shared" si="8"/>
        <v>11810</v>
      </c>
      <c r="I25" s="99">
        <f t="shared" si="9"/>
        <v>11810</v>
      </c>
      <c r="J25" s="99">
        <f t="shared" si="10"/>
        <v>14610</v>
      </c>
      <c r="K25" s="57"/>
      <c r="L25" s="100" t="s">
        <v>272</v>
      </c>
      <c r="M25" s="52" t="s">
        <v>292</v>
      </c>
      <c r="N25" s="40">
        <v>0</v>
      </c>
      <c r="O25" s="53">
        <f>VLOOKUP(B25,DRAYAGE!$A$1:$C$107,3,FALSE)</f>
        <v>1310</v>
      </c>
      <c r="P25" s="40" t="s">
        <v>347</v>
      </c>
      <c r="S25" s="101">
        <f t="shared" si="0"/>
        <v>9450</v>
      </c>
      <c r="T25" s="54">
        <f>T14+2000</f>
        <v>10500</v>
      </c>
      <c r="U25" s="103">
        <f t="shared" si="5"/>
        <v>10500</v>
      </c>
      <c r="V25" s="104">
        <f t="shared" si="11"/>
        <v>13293</v>
      </c>
      <c r="X25" s="40">
        <v>0</v>
      </c>
    </row>
    <row r="26" spans="1:29" s="40" customFormat="1" ht="14.45" customHeight="1" x14ac:dyDescent="0.25">
      <c r="A26" s="133" t="s">
        <v>65</v>
      </c>
      <c r="B26" s="51" t="s">
        <v>338</v>
      </c>
      <c r="C26" s="94" t="s">
        <v>54</v>
      </c>
      <c r="D26" s="95" t="s">
        <v>308</v>
      </c>
      <c r="E26" s="96" t="s">
        <v>114</v>
      </c>
      <c r="F26" s="97" t="s">
        <v>270</v>
      </c>
      <c r="G26" s="98">
        <f t="shared" si="7"/>
        <v>10760</v>
      </c>
      <c r="H26" s="99">
        <f t="shared" si="8"/>
        <v>11810</v>
      </c>
      <c r="I26" s="99">
        <f t="shared" si="9"/>
        <v>11810</v>
      </c>
      <c r="J26" s="99">
        <f t="shared" si="10"/>
        <v>14610</v>
      </c>
      <c r="K26" s="57"/>
      <c r="L26" s="100" t="s">
        <v>272</v>
      </c>
      <c r="M26" s="52" t="s">
        <v>292</v>
      </c>
      <c r="N26" s="40">
        <v>0</v>
      </c>
      <c r="O26" s="53">
        <f>VLOOKUP(B26,DRAYAGE!$A$1:$C$107,3,FALSE)</f>
        <v>1310</v>
      </c>
      <c r="P26" s="40" t="s">
        <v>347</v>
      </c>
      <c r="S26" s="101">
        <f t="shared" si="0"/>
        <v>9450</v>
      </c>
      <c r="T26" s="54">
        <f>T14+2000</f>
        <v>10500</v>
      </c>
      <c r="U26" s="103">
        <f t="shared" si="5"/>
        <v>10500</v>
      </c>
      <c r="V26" s="104">
        <f t="shared" si="11"/>
        <v>13293</v>
      </c>
      <c r="X26" s="40">
        <v>0</v>
      </c>
      <c r="Y26" s="40">
        <f t="shared" si="12"/>
        <v>0</v>
      </c>
      <c r="AA26" s="40">
        <f t="shared" si="13"/>
        <v>0</v>
      </c>
      <c r="AB26" s="40">
        <f t="shared" si="14"/>
        <v>0</v>
      </c>
    </row>
    <row r="27" spans="1:29" s="40" customFormat="1" ht="14.45" customHeight="1" x14ac:dyDescent="0.25">
      <c r="A27" s="133" t="s">
        <v>63</v>
      </c>
      <c r="B27" s="51" t="s">
        <v>338</v>
      </c>
      <c r="C27" s="94" t="s">
        <v>54</v>
      </c>
      <c r="D27" s="95" t="s">
        <v>308</v>
      </c>
      <c r="E27" s="96" t="s">
        <v>114</v>
      </c>
      <c r="F27" s="97" t="s">
        <v>270</v>
      </c>
      <c r="G27" s="98">
        <f t="shared" si="7"/>
        <v>10760</v>
      </c>
      <c r="H27" s="99">
        <f t="shared" si="8"/>
        <v>11810</v>
      </c>
      <c r="I27" s="99">
        <f t="shared" si="9"/>
        <v>11810</v>
      </c>
      <c r="J27" s="99">
        <f t="shared" si="10"/>
        <v>14610</v>
      </c>
      <c r="K27" s="57"/>
      <c r="L27" s="100" t="s">
        <v>272</v>
      </c>
      <c r="M27" s="52" t="s">
        <v>292</v>
      </c>
      <c r="N27" s="40">
        <v>0</v>
      </c>
      <c r="O27" s="53">
        <f>VLOOKUP(B27,DRAYAGE!$A$1:$C$107,3,FALSE)</f>
        <v>1310</v>
      </c>
      <c r="P27" s="40" t="s">
        <v>347</v>
      </c>
      <c r="S27" s="101">
        <f t="shared" si="0"/>
        <v>9450</v>
      </c>
      <c r="T27" s="54">
        <f>T14+2000</f>
        <v>10500</v>
      </c>
      <c r="U27" s="103">
        <f t="shared" si="5"/>
        <v>10500</v>
      </c>
      <c r="V27" s="104">
        <f t="shared" si="11"/>
        <v>13293</v>
      </c>
      <c r="X27" s="40">
        <v>0</v>
      </c>
      <c r="Y27" s="40">
        <f t="shared" si="12"/>
        <v>0</v>
      </c>
      <c r="AA27" s="40">
        <f t="shared" si="13"/>
        <v>0</v>
      </c>
      <c r="AB27" s="40">
        <f t="shared" si="14"/>
        <v>0</v>
      </c>
    </row>
    <row r="28" spans="1:29" s="45" customFormat="1" ht="14.45" customHeight="1" x14ac:dyDescent="0.25">
      <c r="A28" s="133" t="s">
        <v>275</v>
      </c>
      <c r="B28" s="51" t="s">
        <v>338</v>
      </c>
      <c r="C28" s="106" t="s">
        <v>54</v>
      </c>
      <c r="D28" s="95" t="s">
        <v>308</v>
      </c>
      <c r="E28" s="107" t="s">
        <v>114</v>
      </c>
      <c r="F28" s="108" t="s">
        <v>270</v>
      </c>
      <c r="G28" s="98">
        <f t="shared" si="7"/>
        <v>10760</v>
      </c>
      <c r="H28" s="99">
        <f t="shared" si="8"/>
        <v>11810</v>
      </c>
      <c r="I28" s="99">
        <f t="shared" si="9"/>
        <v>11810</v>
      </c>
      <c r="J28" s="99">
        <f t="shared" si="10"/>
        <v>14610</v>
      </c>
      <c r="K28" s="111"/>
      <c r="L28" s="112" t="s">
        <v>272</v>
      </c>
      <c r="M28" s="52" t="s">
        <v>292</v>
      </c>
      <c r="N28" s="45">
        <v>0</v>
      </c>
      <c r="O28" s="53">
        <f>VLOOKUP(B28,DRAYAGE!$A$1:$C$107,3,FALSE)</f>
        <v>1310</v>
      </c>
      <c r="P28" s="40" t="s">
        <v>347</v>
      </c>
      <c r="R28" s="105"/>
      <c r="S28" s="113">
        <f t="shared" si="0"/>
        <v>9450</v>
      </c>
      <c r="T28" s="54">
        <f>T14+2000</f>
        <v>10500</v>
      </c>
      <c r="U28" s="103">
        <f t="shared" si="5"/>
        <v>10500</v>
      </c>
      <c r="V28" s="114">
        <f t="shared" si="11"/>
        <v>13293</v>
      </c>
      <c r="X28" s="45">
        <v>0</v>
      </c>
      <c r="Y28" s="40">
        <f t="shared" si="12"/>
        <v>0</v>
      </c>
      <c r="AA28" s="40">
        <f t="shared" si="13"/>
        <v>0</v>
      </c>
      <c r="AB28" s="40">
        <f t="shared" si="14"/>
        <v>0</v>
      </c>
    </row>
    <row r="29" spans="1:29" s="40" customFormat="1" ht="14.45" customHeight="1" x14ac:dyDescent="0.25">
      <c r="A29" s="134" t="s">
        <v>333</v>
      </c>
      <c r="B29" s="88"/>
      <c r="C29" s="88"/>
      <c r="D29" s="88"/>
      <c r="E29" s="210"/>
      <c r="F29" s="211"/>
      <c r="G29" s="88"/>
      <c r="H29" s="88"/>
      <c r="I29" s="88"/>
      <c r="J29" s="88"/>
      <c r="K29" s="57"/>
      <c r="L29" s="89" t="s">
        <v>48</v>
      </c>
      <c r="M29" s="89" t="s">
        <v>261</v>
      </c>
      <c r="N29" s="90" t="s">
        <v>51</v>
      </c>
      <c r="O29" s="91" t="s">
        <v>50</v>
      </c>
      <c r="P29" s="91" t="s">
        <v>262</v>
      </c>
      <c r="Q29" s="91" t="s">
        <v>263</v>
      </c>
      <c r="R29" s="91" t="s">
        <v>264</v>
      </c>
      <c r="S29" s="92" t="s">
        <v>52</v>
      </c>
      <c r="T29" s="92" t="s">
        <v>53</v>
      </c>
      <c r="U29" s="92" t="s">
        <v>265</v>
      </c>
      <c r="V29" s="92" t="s">
        <v>266</v>
      </c>
      <c r="W29" s="92" t="s">
        <v>267</v>
      </c>
      <c r="X29" s="92" t="s">
        <v>268</v>
      </c>
      <c r="Y29" s="92" t="s">
        <v>52</v>
      </c>
      <c r="Z29" s="92" t="s">
        <v>53</v>
      </c>
      <c r="AA29" s="92" t="s">
        <v>265</v>
      </c>
      <c r="AB29" s="92" t="s">
        <v>266</v>
      </c>
      <c r="AC29" s="93" t="s">
        <v>269</v>
      </c>
    </row>
    <row r="30" spans="1:29" s="40" customFormat="1" ht="14.45" customHeight="1" x14ac:dyDescent="0.25">
      <c r="A30" s="144" t="s">
        <v>58</v>
      </c>
      <c r="B30" s="51" t="s">
        <v>339</v>
      </c>
      <c r="C30" s="94" t="s">
        <v>54</v>
      </c>
      <c r="D30" s="95" t="s">
        <v>308</v>
      </c>
      <c r="E30" s="96" t="s">
        <v>114</v>
      </c>
      <c r="F30" s="97" t="s">
        <v>270</v>
      </c>
      <c r="G30" s="98">
        <f>CEILING(S30+W30+X30+O30+N30+Y30,10)</f>
        <v>18280</v>
      </c>
      <c r="H30" s="99">
        <f>CEILING(T30+W30+X30+O30+N30+Z30,10)</f>
        <v>20020</v>
      </c>
      <c r="I30" s="99">
        <f>CEILING(U30+W30+X30+O30+N30+AA30,10)</f>
        <v>20020</v>
      </c>
      <c r="J30" s="99">
        <f>CEILING(V30+W30+X30+O30+N30+AB30,10)</f>
        <v>24640</v>
      </c>
      <c r="K30" s="57"/>
      <c r="L30" s="100" t="s">
        <v>272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S30" s="101">
        <f>0.9*T30</f>
        <v>15615</v>
      </c>
      <c r="T30" s="54">
        <f>16500+850</f>
        <v>17350</v>
      </c>
      <c r="U30" s="103">
        <f t="shared" si="5"/>
        <v>17350</v>
      </c>
      <c r="V30" s="104">
        <f>U30*1.266</f>
        <v>21965.1</v>
      </c>
    </row>
    <row r="31" spans="1:29" s="40" customFormat="1" ht="14.45" customHeight="1" x14ac:dyDescent="0.25">
      <c r="A31" s="133" t="s">
        <v>55</v>
      </c>
      <c r="B31" s="51" t="s">
        <v>339</v>
      </c>
      <c r="C31" s="94" t="s">
        <v>54</v>
      </c>
      <c r="D31" s="95" t="s">
        <v>308</v>
      </c>
      <c r="E31" s="96" t="s">
        <v>114</v>
      </c>
      <c r="F31" s="97" t="s">
        <v>270</v>
      </c>
      <c r="G31" s="98">
        <f>CEILING(S31+W31+X31+O31+N31+Y31,10)</f>
        <v>13470</v>
      </c>
      <c r="H31" s="99">
        <f>CEILING(T31+W31+X31+O31+N31+Z31,10)</f>
        <v>14670</v>
      </c>
      <c r="I31" s="99">
        <f>CEILING(U31+W31+X31+O31+N31+AA31,10)</f>
        <v>14670</v>
      </c>
      <c r="J31" s="99">
        <f>CEILING(V31+W31+X31+O31+N31+AB31,10)</f>
        <v>17860</v>
      </c>
      <c r="K31" s="57"/>
      <c r="L31" s="100" t="s">
        <v>272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S31" s="101">
        <f>0.9*T31</f>
        <v>10800</v>
      </c>
      <c r="T31" s="54">
        <v>12000</v>
      </c>
      <c r="U31" s="103">
        <f t="shared" si="5"/>
        <v>12000</v>
      </c>
      <c r="V31" s="104">
        <f>U31*1.266</f>
        <v>15192</v>
      </c>
    </row>
    <row r="32" spans="1:29" s="40" customFormat="1" ht="14.45" customHeight="1" x14ac:dyDescent="0.25">
      <c r="A32" s="133" t="s">
        <v>61</v>
      </c>
      <c r="B32" s="51" t="s">
        <v>339</v>
      </c>
      <c r="C32" s="94" t="s">
        <v>54</v>
      </c>
      <c r="D32" s="95" t="s">
        <v>308</v>
      </c>
      <c r="E32" s="96" t="s">
        <v>114</v>
      </c>
      <c r="F32" s="97" t="s">
        <v>270</v>
      </c>
      <c r="G32" s="98">
        <f>CEILING(S32+W32+X32+O32+N32+Y32,10)</f>
        <v>13470</v>
      </c>
      <c r="H32" s="99">
        <f>CEILING(T32+W32+X32+O32+N32+Z32,10)</f>
        <v>14670</v>
      </c>
      <c r="I32" s="99">
        <f>CEILING(U32+W32+X32+O32+N32+AA32,10)</f>
        <v>14670</v>
      </c>
      <c r="J32" s="99">
        <f>CEILING(V32+W32+X32+O32+N32+AB32,10)</f>
        <v>17860</v>
      </c>
      <c r="K32" s="57"/>
      <c r="L32" s="100" t="s">
        <v>272</v>
      </c>
      <c r="M32" s="52" t="s">
        <v>293</v>
      </c>
      <c r="N32" s="40">
        <v>0</v>
      </c>
      <c r="O32" s="53">
        <f>VLOOKUP(B32,DRAYAGE!$A$1:$C$107,3,FALSE)</f>
        <v>2665</v>
      </c>
      <c r="P32" s="40" t="s">
        <v>299</v>
      </c>
      <c r="S32" s="101">
        <f>0.9*T32</f>
        <v>10800</v>
      </c>
      <c r="T32" s="54">
        <v>12000</v>
      </c>
      <c r="U32" s="103">
        <f t="shared" si="5"/>
        <v>12000</v>
      </c>
      <c r="V32" s="104">
        <f>U32*1.266</f>
        <v>15192</v>
      </c>
    </row>
    <row r="33" spans="1:29" s="40" customFormat="1" ht="14.45" customHeight="1" x14ac:dyDescent="0.25">
      <c r="A33" s="134" t="s">
        <v>334</v>
      </c>
      <c r="B33" s="88"/>
      <c r="C33" s="88"/>
      <c r="D33" s="88"/>
      <c r="E33" s="210"/>
      <c r="F33" s="211"/>
      <c r="G33" s="88"/>
      <c r="H33" s="88"/>
      <c r="I33" s="88"/>
      <c r="J33" s="88"/>
      <c r="K33" s="57"/>
      <c r="L33" s="89" t="s">
        <v>48</v>
      </c>
      <c r="M33" s="89" t="s">
        <v>261</v>
      </c>
      <c r="N33" s="90" t="s">
        <v>51</v>
      </c>
      <c r="O33" s="91" t="s">
        <v>50</v>
      </c>
      <c r="P33" s="91" t="s">
        <v>262</v>
      </c>
      <c r="Q33" s="91" t="s">
        <v>263</v>
      </c>
      <c r="R33" s="91" t="s">
        <v>264</v>
      </c>
      <c r="S33" s="92" t="s">
        <v>52</v>
      </c>
      <c r="T33" s="92" t="s">
        <v>53</v>
      </c>
      <c r="U33" s="92" t="s">
        <v>265</v>
      </c>
      <c r="V33" s="92" t="s">
        <v>266</v>
      </c>
      <c r="W33" s="92" t="s">
        <v>267</v>
      </c>
      <c r="X33" s="92" t="s">
        <v>268</v>
      </c>
      <c r="Y33" s="92" t="s">
        <v>52</v>
      </c>
      <c r="Z33" s="92" t="s">
        <v>53</v>
      </c>
      <c r="AA33" s="92" t="s">
        <v>265</v>
      </c>
      <c r="AB33" s="92" t="s">
        <v>266</v>
      </c>
      <c r="AC33" s="93" t="s">
        <v>269</v>
      </c>
    </row>
    <row r="34" spans="1:29" s="40" customFormat="1" ht="14.45" customHeight="1" x14ac:dyDescent="0.25">
      <c r="A34" s="144" t="s">
        <v>58</v>
      </c>
      <c r="B34" s="51" t="s">
        <v>341</v>
      </c>
      <c r="C34" s="94" t="s">
        <v>54</v>
      </c>
      <c r="D34" s="95" t="s">
        <v>308</v>
      </c>
      <c r="E34" s="96" t="s">
        <v>114</v>
      </c>
      <c r="F34" s="97" t="s">
        <v>270</v>
      </c>
      <c r="G34" s="98">
        <f>CEILING(S34+W34+X34+O34+N34+Y34,10)</f>
        <v>17310</v>
      </c>
      <c r="H34" s="99">
        <f>CEILING(T34+W34+X34+O34+N34+Z34,10)</f>
        <v>19040</v>
      </c>
      <c r="I34" s="99">
        <f>CEILING(U34+W34+X34+O34+N34+AA34,10)</f>
        <v>19040</v>
      </c>
      <c r="J34" s="99">
        <f>CEILING(V34+W34+X34+O34+N34+AB34,10)</f>
        <v>23660</v>
      </c>
      <c r="K34" s="57"/>
      <c r="L34" s="100" t="s">
        <v>272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S34" s="101">
        <f>0.9*T34</f>
        <v>15615</v>
      </c>
      <c r="T34" s="54">
        <f>T30</f>
        <v>17350</v>
      </c>
      <c r="U34" s="103">
        <f t="shared" si="5"/>
        <v>17350</v>
      </c>
      <c r="V34" s="104">
        <f>U34*1.266</f>
        <v>21965.1</v>
      </c>
      <c r="X34" s="40">
        <v>0</v>
      </c>
    </row>
    <row r="35" spans="1:29" s="40" customFormat="1" ht="14.45" customHeight="1" x14ac:dyDescent="0.25">
      <c r="A35" s="133" t="s">
        <v>55</v>
      </c>
      <c r="B35" s="51" t="s">
        <v>341</v>
      </c>
      <c r="C35" s="94" t="s">
        <v>54</v>
      </c>
      <c r="D35" s="95" t="s">
        <v>308</v>
      </c>
      <c r="E35" s="96" t="s">
        <v>114</v>
      </c>
      <c r="F35" s="97" t="s">
        <v>270</v>
      </c>
      <c r="G35" s="98">
        <f>CEILING(S35+W35+X35+O35+N35+Y35,10)</f>
        <v>12490</v>
      </c>
      <c r="H35" s="99">
        <f>CEILING(T35+W35+X35+O35+N35+Z35,10)</f>
        <v>13690</v>
      </c>
      <c r="I35" s="99">
        <f>CEILING(U35+W35+X35+O35+N35+AA35,10)</f>
        <v>13690</v>
      </c>
      <c r="J35" s="99">
        <f>CEILING(V35+W35+X35+O35+N35+AB35,10)</f>
        <v>16890</v>
      </c>
      <c r="K35" s="57"/>
      <c r="L35" s="100" t="s">
        <v>272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S35" s="101">
        <f>0.9*T35</f>
        <v>10800</v>
      </c>
      <c r="T35" s="54">
        <f>T31</f>
        <v>12000</v>
      </c>
      <c r="U35" s="103">
        <f t="shared" si="5"/>
        <v>12000</v>
      </c>
      <c r="V35" s="104">
        <f>U35*1.266</f>
        <v>15192</v>
      </c>
      <c r="X35" s="40">
        <v>0</v>
      </c>
    </row>
    <row r="36" spans="1:29" s="40" customFormat="1" ht="14.45" customHeight="1" x14ac:dyDescent="0.25">
      <c r="A36" s="133" t="s">
        <v>61</v>
      </c>
      <c r="B36" s="51" t="s">
        <v>341</v>
      </c>
      <c r="C36" s="94" t="s">
        <v>54</v>
      </c>
      <c r="D36" s="95" t="s">
        <v>308</v>
      </c>
      <c r="E36" s="96" t="s">
        <v>114</v>
      </c>
      <c r="F36" s="97" t="s">
        <v>270</v>
      </c>
      <c r="G36" s="98">
        <f>CEILING(S36+W36+X36+O36+N36+Y36,10)</f>
        <v>12490</v>
      </c>
      <c r="H36" s="99">
        <f>CEILING(T36+W36+X36+O36+N36+Z36,10)</f>
        <v>13690</v>
      </c>
      <c r="I36" s="99">
        <f>CEILING(U36+W36+X36+O36+N36+AA36,10)</f>
        <v>13690</v>
      </c>
      <c r="J36" s="99">
        <f>CEILING(V36+W36+X36+O36+N36+AB36,10)</f>
        <v>16890</v>
      </c>
      <c r="K36" s="57"/>
      <c r="L36" s="100" t="s">
        <v>272</v>
      </c>
      <c r="M36" s="52" t="s">
        <v>293</v>
      </c>
      <c r="N36" s="40">
        <v>0</v>
      </c>
      <c r="O36" s="53">
        <f>VLOOKUP(B36,DRAYAGE!$A$1:$C$107,3,FALSE)</f>
        <v>1690</v>
      </c>
      <c r="P36" s="40" t="s">
        <v>299</v>
      </c>
      <c r="S36" s="101">
        <f>0.9*T36</f>
        <v>10800</v>
      </c>
      <c r="T36" s="54">
        <f>T32</f>
        <v>12000</v>
      </c>
      <c r="U36" s="103">
        <f t="shared" si="5"/>
        <v>12000</v>
      </c>
      <c r="V36" s="104">
        <f>U36*1.266</f>
        <v>15192</v>
      </c>
      <c r="X36" s="40">
        <v>0</v>
      </c>
    </row>
    <row r="37" spans="1:29" s="40" customFormat="1" ht="14.45" customHeight="1" x14ac:dyDescent="0.25">
      <c r="A37" s="134" t="s">
        <v>335</v>
      </c>
      <c r="B37" s="88"/>
      <c r="C37" s="88"/>
      <c r="D37" s="88"/>
      <c r="E37" s="210"/>
      <c r="F37" s="211"/>
      <c r="G37" s="88"/>
      <c r="H37" s="88"/>
      <c r="I37" s="88"/>
      <c r="J37" s="88"/>
      <c r="K37" s="57"/>
      <c r="L37" s="89" t="s">
        <v>48</v>
      </c>
      <c r="M37" s="89" t="s">
        <v>261</v>
      </c>
      <c r="N37" s="90" t="s">
        <v>51</v>
      </c>
      <c r="O37" s="91" t="s">
        <v>50</v>
      </c>
      <c r="P37" s="91" t="s">
        <v>262</v>
      </c>
      <c r="Q37" s="91" t="s">
        <v>263</v>
      </c>
      <c r="R37" s="91" t="s">
        <v>264</v>
      </c>
      <c r="S37" s="92" t="s">
        <v>52</v>
      </c>
      <c r="T37" s="92" t="s">
        <v>53</v>
      </c>
      <c r="U37" s="92" t="s">
        <v>265</v>
      </c>
      <c r="V37" s="92" t="s">
        <v>266</v>
      </c>
      <c r="W37" s="92" t="s">
        <v>267</v>
      </c>
      <c r="X37" s="92" t="s">
        <v>268</v>
      </c>
      <c r="Y37" s="92" t="s">
        <v>52</v>
      </c>
      <c r="Z37" s="92" t="s">
        <v>53</v>
      </c>
      <c r="AA37" s="92" t="s">
        <v>265</v>
      </c>
      <c r="AB37" s="92" t="s">
        <v>266</v>
      </c>
      <c r="AC37" s="93" t="s">
        <v>269</v>
      </c>
    </row>
    <row r="38" spans="1:29" s="40" customFormat="1" ht="18.75" x14ac:dyDescent="0.25">
      <c r="A38" s="133" t="s">
        <v>81</v>
      </c>
      <c r="B38" s="51" t="s">
        <v>340</v>
      </c>
      <c r="C38" s="94" t="s">
        <v>54</v>
      </c>
      <c r="D38" s="95" t="s">
        <v>308</v>
      </c>
      <c r="E38" s="96" t="s">
        <v>114</v>
      </c>
      <c r="F38" s="97" t="s">
        <v>270</v>
      </c>
      <c r="G38" s="98">
        <f t="shared" ref="G38:G44" si="15">CEILING(S38+W38+X38+O38+N38+Y38,10)</f>
        <v>12610</v>
      </c>
      <c r="H38" s="99">
        <f t="shared" ref="H38:H44" si="16">CEILING(T38+W38+X38+O38+N38+Z38,10)</f>
        <v>13810</v>
      </c>
      <c r="I38" s="99">
        <f t="shared" ref="I38:I44" si="17">CEILING(U38+W38+X38+O38+N38+AA38,10)</f>
        <v>13810</v>
      </c>
      <c r="J38" s="99">
        <f t="shared" ref="J38:J44" si="18">CEILING(V38+W38+X38+O38+N38+AB38,10)</f>
        <v>17000</v>
      </c>
      <c r="K38" s="57"/>
      <c r="L38" s="100" t="s">
        <v>272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S38" s="101">
        <f t="shared" ref="S38:S44" si="19">0.9*T38</f>
        <v>10800</v>
      </c>
      <c r="T38" s="54">
        <v>12000</v>
      </c>
      <c r="U38" s="103">
        <f t="shared" si="5"/>
        <v>12000</v>
      </c>
      <c r="V38" s="104">
        <f t="shared" ref="V38:V44" si="20">U38*1.266</f>
        <v>15192</v>
      </c>
      <c r="X38" s="40">
        <v>0</v>
      </c>
    </row>
    <row r="39" spans="1:29" s="40" customFormat="1" ht="14.45" customHeight="1" x14ac:dyDescent="0.25">
      <c r="A39" s="133" t="s">
        <v>55</v>
      </c>
      <c r="B39" s="51" t="s">
        <v>340</v>
      </c>
      <c r="C39" s="94" t="s">
        <v>54</v>
      </c>
      <c r="D39" s="95" t="s">
        <v>308</v>
      </c>
      <c r="E39" s="96" t="s">
        <v>114</v>
      </c>
      <c r="F39" s="97" t="s">
        <v>270</v>
      </c>
      <c r="G39" s="98">
        <f t="shared" si="15"/>
        <v>12610</v>
      </c>
      <c r="H39" s="99">
        <f t="shared" si="16"/>
        <v>13810</v>
      </c>
      <c r="I39" s="99">
        <f t="shared" si="17"/>
        <v>13810</v>
      </c>
      <c r="J39" s="99">
        <f t="shared" si="18"/>
        <v>17000</v>
      </c>
      <c r="K39" s="57"/>
      <c r="L39" s="100" t="s">
        <v>272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S39" s="101">
        <f t="shared" si="19"/>
        <v>10800</v>
      </c>
      <c r="T39" s="54">
        <v>12000</v>
      </c>
      <c r="U39" s="103">
        <f t="shared" si="5"/>
        <v>12000</v>
      </c>
      <c r="V39" s="104">
        <f t="shared" si="20"/>
        <v>15192</v>
      </c>
      <c r="X39" s="40">
        <v>0</v>
      </c>
    </row>
    <row r="40" spans="1:29" s="40" customFormat="1" ht="14.45" customHeight="1" x14ac:dyDescent="0.25">
      <c r="A40" s="133" t="s">
        <v>59</v>
      </c>
      <c r="B40" s="51" t="s">
        <v>340</v>
      </c>
      <c r="C40" s="94" t="s">
        <v>54</v>
      </c>
      <c r="D40" s="95" t="s">
        <v>308</v>
      </c>
      <c r="E40" s="96" t="s">
        <v>114</v>
      </c>
      <c r="F40" s="97" t="s">
        <v>270</v>
      </c>
      <c r="G40" s="98">
        <f t="shared" si="15"/>
        <v>14410</v>
      </c>
      <c r="H40" s="99">
        <f t="shared" si="16"/>
        <v>15810</v>
      </c>
      <c r="I40" s="99">
        <f t="shared" si="17"/>
        <v>15810</v>
      </c>
      <c r="J40" s="99">
        <f t="shared" si="18"/>
        <v>19530</v>
      </c>
      <c r="K40" s="57"/>
      <c r="L40" s="100" t="s">
        <v>272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S40" s="101">
        <f t="shared" si="19"/>
        <v>12600</v>
      </c>
      <c r="T40" s="54">
        <v>14000</v>
      </c>
      <c r="U40" s="103">
        <f t="shared" si="5"/>
        <v>14000</v>
      </c>
      <c r="V40" s="104">
        <f t="shared" si="20"/>
        <v>17724</v>
      </c>
      <c r="X40" s="40">
        <v>0</v>
      </c>
    </row>
    <row r="41" spans="1:29" s="40" customFormat="1" ht="18.75" x14ac:dyDescent="0.25">
      <c r="A41" s="133" t="s">
        <v>60</v>
      </c>
      <c r="B41" s="51" t="s">
        <v>340</v>
      </c>
      <c r="C41" s="94" t="s">
        <v>54</v>
      </c>
      <c r="D41" s="95" t="s">
        <v>308</v>
      </c>
      <c r="E41" s="96" t="s">
        <v>114</v>
      </c>
      <c r="F41" s="97" t="s">
        <v>270</v>
      </c>
      <c r="G41" s="98">
        <f t="shared" si="15"/>
        <v>14860</v>
      </c>
      <c r="H41" s="99">
        <f t="shared" si="16"/>
        <v>16310</v>
      </c>
      <c r="I41" s="99">
        <f t="shared" si="17"/>
        <v>16310</v>
      </c>
      <c r="J41" s="99">
        <f t="shared" si="18"/>
        <v>20170</v>
      </c>
      <c r="K41" s="57"/>
      <c r="L41" s="100" t="s">
        <v>272</v>
      </c>
      <c r="M41" s="52" t="s">
        <v>294</v>
      </c>
      <c r="N41" s="40">
        <v>0</v>
      </c>
      <c r="O41" s="53">
        <f>VLOOKUP(B41,DRAYAGE!$A$1:$C$107,3,FALSE)</f>
        <v>1805</v>
      </c>
      <c r="P41" s="40" t="s">
        <v>300</v>
      </c>
      <c r="S41" s="101">
        <f t="shared" si="19"/>
        <v>13050</v>
      </c>
      <c r="T41" s="54">
        <v>14500</v>
      </c>
      <c r="U41" s="103">
        <f t="shared" si="5"/>
        <v>14500</v>
      </c>
      <c r="V41" s="104">
        <f t="shared" si="20"/>
        <v>18357</v>
      </c>
      <c r="X41" s="40">
        <v>0</v>
      </c>
    </row>
    <row r="42" spans="1:29" s="45" customFormat="1" ht="14.45" customHeight="1" x14ac:dyDescent="0.25">
      <c r="A42" s="133" t="s">
        <v>61</v>
      </c>
      <c r="B42" s="51" t="s">
        <v>340</v>
      </c>
      <c r="C42" s="106" t="s">
        <v>54</v>
      </c>
      <c r="D42" s="95" t="s">
        <v>308</v>
      </c>
      <c r="E42" s="107" t="s">
        <v>114</v>
      </c>
      <c r="F42" s="108" t="s">
        <v>270</v>
      </c>
      <c r="G42" s="109">
        <f t="shared" si="15"/>
        <v>12610</v>
      </c>
      <c r="H42" s="110">
        <f t="shared" si="16"/>
        <v>13810</v>
      </c>
      <c r="I42" s="110">
        <f t="shared" si="17"/>
        <v>13810</v>
      </c>
      <c r="J42" s="110">
        <f t="shared" si="18"/>
        <v>17000</v>
      </c>
      <c r="K42" s="111"/>
      <c r="L42" s="112" t="s">
        <v>272</v>
      </c>
      <c r="M42" s="52" t="s">
        <v>294</v>
      </c>
      <c r="N42" s="45">
        <v>0</v>
      </c>
      <c r="O42" s="53">
        <f>VLOOKUP(B42,DRAYAGE!$A$1:$C$107,3,FALSE)</f>
        <v>1805</v>
      </c>
      <c r="P42" s="40" t="s">
        <v>300</v>
      </c>
      <c r="R42" s="40"/>
      <c r="S42" s="113">
        <f t="shared" si="19"/>
        <v>10800</v>
      </c>
      <c r="T42" s="54">
        <v>12000</v>
      </c>
      <c r="U42" s="103">
        <f t="shared" si="5"/>
        <v>12000</v>
      </c>
      <c r="V42" s="114">
        <f t="shared" si="20"/>
        <v>15192</v>
      </c>
      <c r="X42" s="45">
        <v>0</v>
      </c>
      <c r="Y42" s="40"/>
      <c r="Z42" s="40"/>
      <c r="AA42" s="40"/>
      <c r="AB42" s="40"/>
    </row>
    <row r="43" spans="1:29" s="40" customFormat="1" ht="18.75" x14ac:dyDescent="0.25">
      <c r="A43" s="133" t="s">
        <v>273</v>
      </c>
      <c r="B43" s="51" t="s">
        <v>340</v>
      </c>
      <c r="C43" s="94" t="s">
        <v>54</v>
      </c>
      <c r="D43" s="95" t="s">
        <v>308</v>
      </c>
      <c r="E43" s="96" t="s">
        <v>114</v>
      </c>
      <c r="F43" s="97" t="s">
        <v>270</v>
      </c>
      <c r="G43" s="98">
        <f t="shared" si="15"/>
        <v>18910</v>
      </c>
      <c r="H43" s="99">
        <f t="shared" si="16"/>
        <v>20810</v>
      </c>
      <c r="I43" s="99">
        <f t="shared" si="17"/>
        <v>20810</v>
      </c>
      <c r="J43" s="99">
        <f t="shared" si="18"/>
        <v>25860</v>
      </c>
      <c r="K43" s="57"/>
      <c r="L43" s="100" t="s">
        <v>272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S43" s="101">
        <f t="shared" si="19"/>
        <v>17100</v>
      </c>
      <c r="T43" s="54">
        <v>19000</v>
      </c>
      <c r="U43" s="103">
        <f t="shared" si="5"/>
        <v>19000</v>
      </c>
      <c r="V43" s="104">
        <f t="shared" si="20"/>
        <v>24054</v>
      </c>
      <c r="X43" s="40">
        <v>0</v>
      </c>
    </row>
    <row r="44" spans="1:29" s="40" customFormat="1" ht="14.45" customHeight="1" x14ac:dyDescent="0.25">
      <c r="A44" s="144" t="s">
        <v>58</v>
      </c>
      <c r="B44" s="51" t="s">
        <v>340</v>
      </c>
      <c r="C44" s="94" t="s">
        <v>54</v>
      </c>
      <c r="D44" s="126" t="s">
        <v>290</v>
      </c>
      <c r="E44" s="96" t="s">
        <v>114</v>
      </c>
      <c r="F44" s="97" t="s">
        <v>270</v>
      </c>
      <c r="G44" s="98">
        <f t="shared" si="15"/>
        <v>25070</v>
      </c>
      <c r="H44" s="99">
        <f t="shared" si="16"/>
        <v>27660</v>
      </c>
      <c r="I44" s="99">
        <f t="shared" si="17"/>
        <v>27660</v>
      </c>
      <c r="J44" s="99">
        <f t="shared" si="18"/>
        <v>34540</v>
      </c>
      <c r="K44" s="57"/>
      <c r="L44" s="136" t="s">
        <v>290</v>
      </c>
      <c r="M44" s="52" t="s">
        <v>294</v>
      </c>
      <c r="N44" s="40">
        <v>0</v>
      </c>
      <c r="O44" s="53">
        <f>VLOOKUP(B44,DRAYAGE!$A$1:$C$107,3,FALSE)</f>
        <v>1805</v>
      </c>
      <c r="P44" s="40" t="s">
        <v>298</v>
      </c>
      <c r="S44" s="101">
        <f t="shared" si="19"/>
        <v>23265</v>
      </c>
      <c r="T44" s="54">
        <f>25000+850</f>
        <v>25850</v>
      </c>
      <c r="U44" s="103">
        <f t="shared" si="5"/>
        <v>25850</v>
      </c>
      <c r="V44" s="104">
        <f t="shared" si="20"/>
        <v>32726.100000000002</v>
      </c>
      <c r="X44" s="40">
        <v>0</v>
      </c>
    </row>
    <row r="45" spans="1:29" s="40" customFormat="1" ht="14.45" customHeight="1" x14ac:dyDescent="0.25">
      <c r="A45" s="134" t="s">
        <v>98</v>
      </c>
      <c r="B45" s="88"/>
      <c r="C45" s="88"/>
      <c r="D45" s="88"/>
      <c r="E45" s="210"/>
      <c r="F45" s="211"/>
      <c r="G45" s="88"/>
      <c r="H45" s="88"/>
      <c r="I45" s="88"/>
      <c r="J45" s="88"/>
      <c r="K45" s="57"/>
      <c r="L45" s="89" t="s">
        <v>48</v>
      </c>
      <c r="M45" s="89" t="s">
        <v>261</v>
      </c>
      <c r="N45" s="90" t="s">
        <v>51</v>
      </c>
      <c r="O45" s="91" t="s">
        <v>50</v>
      </c>
      <c r="P45" s="91" t="s">
        <v>262</v>
      </c>
      <c r="Q45" s="91" t="s">
        <v>263</v>
      </c>
      <c r="R45" s="92" t="s">
        <v>52</v>
      </c>
      <c r="S45" s="92" t="s">
        <v>52</v>
      </c>
      <c r="T45" s="92" t="s">
        <v>53</v>
      </c>
      <c r="U45" s="92" t="s">
        <v>265</v>
      </c>
      <c r="V45" s="92" t="s">
        <v>266</v>
      </c>
      <c r="W45" s="92" t="s">
        <v>267</v>
      </c>
      <c r="X45" s="92" t="s">
        <v>268</v>
      </c>
      <c r="Y45" s="92" t="s">
        <v>52</v>
      </c>
      <c r="Z45" s="92" t="s">
        <v>53</v>
      </c>
      <c r="AA45" s="92" t="s">
        <v>265</v>
      </c>
      <c r="AB45" s="92" t="s">
        <v>266</v>
      </c>
      <c r="AC45" s="93" t="s">
        <v>269</v>
      </c>
    </row>
    <row r="46" spans="1:29" s="40" customFormat="1" ht="14.45" customHeight="1" x14ac:dyDescent="0.25">
      <c r="A46" s="133" t="s">
        <v>331</v>
      </c>
      <c r="B46" s="51" t="s">
        <v>342</v>
      </c>
      <c r="C46" s="94" t="s">
        <v>54</v>
      </c>
      <c r="D46" s="95" t="s">
        <v>308</v>
      </c>
      <c r="E46" s="96" t="s">
        <v>114</v>
      </c>
      <c r="F46" s="97" t="s">
        <v>270</v>
      </c>
      <c r="G46" s="98">
        <f>CEILING(S46+W46+X46+O46+N46+Y46,10)</f>
        <v>14700</v>
      </c>
      <c r="H46" s="99">
        <f>CEILING(T46+W46+X46+O46+N46+Z46,10)</f>
        <v>16000</v>
      </c>
      <c r="I46" s="99">
        <f>CEILING(U46+W46+X46+O46+N46+AA46,10)</f>
        <v>16000</v>
      </c>
      <c r="J46" s="99">
        <f>CEILING(V46+W46+X46+O46+N46+AB46,10)</f>
        <v>19460</v>
      </c>
      <c r="K46" s="57"/>
      <c r="L46" s="100" t="s">
        <v>272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R46" s="101">
        <v>19800</v>
      </c>
      <c r="S46" s="101">
        <f>0.9*T46</f>
        <v>11700</v>
      </c>
      <c r="T46" s="54">
        <v>13000</v>
      </c>
      <c r="U46" s="103">
        <f>T46</f>
        <v>13000</v>
      </c>
      <c r="V46" s="104">
        <f>U46*1.266</f>
        <v>16458</v>
      </c>
      <c r="W46" s="40">
        <v>0</v>
      </c>
    </row>
    <row r="47" spans="1:29" s="40" customFormat="1" ht="14.45" customHeight="1" x14ac:dyDescent="0.25">
      <c r="A47" s="133" t="s">
        <v>328</v>
      </c>
      <c r="B47" s="51" t="s">
        <v>342</v>
      </c>
      <c r="C47" s="94" t="s">
        <v>54</v>
      </c>
      <c r="D47" s="95" t="s">
        <v>308</v>
      </c>
      <c r="E47" s="96" t="s">
        <v>114</v>
      </c>
      <c r="F47" s="97" t="s">
        <v>270</v>
      </c>
      <c r="G47" s="98">
        <f>CEILING(S47+W47+X47+O47+N47+Y47,10)</f>
        <v>15150</v>
      </c>
      <c r="H47" s="99">
        <f>CEILING(T47+W47+X47+O47+N47+Z47,10)</f>
        <v>16500</v>
      </c>
      <c r="I47" s="99">
        <f>CEILING(U47+W47+X47+O47+N47+AA47,10)</f>
        <v>16500</v>
      </c>
      <c r="J47" s="99">
        <f>CEILING(V47+W47+X47+O47+N47+AB47,10)</f>
        <v>20090</v>
      </c>
      <c r="K47" s="57"/>
      <c r="L47" s="100" t="s">
        <v>272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R47" s="101">
        <v>19800</v>
      </c>
      <c r="S47" s="101">
        <f>0.9*T47</f>
        <v>12150</v>
      </c>
      <c r="T47" s="54">
        <v>13500</v>
      </c>
      <c r="U47" s="103">
        <f>T47</f>
        <v>13500</v>
      </c>
      <c r="V47" s="104">
        <f>U47*1.266</f>
        <v>17091</v>
      </c>
      <c r="W47" s="40">
        <v>0</v>
      </c>
    </row>
    <row r="48" spans="1:29" s="40" customFormat="1" ht="14.45" customHeight="1" x14ac:dyDescent="0.25">
      <c r="A48" s="144" t="s">
        <v>58</v>
      </c>
      <c r="B48" s="51" t="s">
        <v>342</v>
      </c>
      <c r="C48" s="94" t="s">
        <v>54</v>
      </c>
      <c r="D48" s="95" t="s">
        <v>308</v>
      </c>
      <c r="E48" s="96" t="s">
        <v>114</v>
      </c>
      <c r="F48" s="97" t="s">
        <v>270</v>
      </c>
      <c r="G48" s="98">
        <f>CEILING(S48+W48+X48+O48+N48+Y48,10)</f>
        <v>18610</v>
      </c>
      <c r="H48" s="99">
        <f>CEILING(T48+W48+X48+O48+N48+Z48,10)</f>
        <v>20350</v>
      </c>
      <c r="I48" s="99">
        <f>CEILING(U48+W48+X48+O48+N48+AA48,10)</f>
        <v>20350</v>
      </c>
      <c r="J48" s="99">
        <f>CEILING(V48+W48+X48+O48+N48+AB48,10)</f>
        <v>24970</v>
      </c>
      <c r="K48" s="57"/>
      <c r="L48" s="100" t="s">
        <v>272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R48" s="101">
        <v>19800</v>
      </c>
      <c r="S48" s="101">
        <f>0.9*T48</f>
        <v>15615</v>
      </c>
      <c r="T48" s="54">
        <f>16500+850</f>
        <v>17350</v>
      </c>
      <c r="U48" s="103">
        <f>T48</f>
        <v>17350</v>
      </c>
      <c r="V48" s="104">
        <f>U48*1.266</f>
        <v>21965.1</v>
      </c>
      <c r="W48" s="40">
        <v>0</v>
      </c>
    </row>
    <row r="49" spans="1:29" s="40" customFormat="1" ht="14.45" customHeight="1" x14ac:dyDescent="0.25">
      <c r="A49" s="133" t="s">
        <v>330</v>
      </c>
      <c r="B49" s="51" t="s">
        <v>342</v>
      </c>
      <c r="C49" s="94" t="s">
        <v>54</v>
      </c>
      <c r="D49" s="95" t="s">
        <v>308</v>
      </c>
      <c r="E49" s="96" t="s">
        <v>114</v>
      </c>
      <c r="F49" s="97" t="s">
        <v>270</v>
      </c>
      <c r="G49" s="98">
        <f>CEILING(S49+W49+X49+O49+N49+Y49,10)</f>
        <v>13800</v>
      </c>
      <c r="H49" s="99">
        <f>CEILING(T49+W49+X49+O49+N49+Z49,10)</f>
        <v>15000</v>
      </c>
      <c r="I49" s="99">
        <f>CEILING(U49+W49+X49+O49+N49+AA49,10)</f>
        <v>15000</v>
      </c>
      <c r="J49" s="99">
        <f>CEILING(V49+W49+X49+O49+N49+AB49,10)</f>
        <v>18190</v>
      </c>
      <c r="K49" s="57"/>
      <c r="L49" s="100" t="s">
        <v>272</v>
      </c>
      <c r="M49" s="52" t="s">
        <v>293</v>
      </c>
      <c r="N49" s="40">
        <v>0</v>
      </c>
      <c r="O49" s="53">
        <f>VLOOKUP(B49,DRAYAGE!$A$1:$C$107,3,FALSE)</f>
        <v>2995</v>
      </c>
      <c r="P49" s="40" t="s">
        <v>302</v>
      </c>
      <c r="R49" s="101">
        <v>19800</v>
      </c>
      <c r="S49" s="101">
        <f>0.9*T49</f>
        <v>10800</v>
      </c>
      <c r="T49" s="54">
        <v>12000</v>
      </c>
      <c r="U49" s="103">
        <f>T49</f>
        <v>12000</v>
      </c>
      <c r="V49" s="104">
        <f>U49*1.266</f>
        <v>15192</v>
      </c>
      <c r="W49" s="40">
        <v>0</v>
      </c>
    </row>
    <row r="50" spans="1:29" s="40" customFormat="1" ht="14.45" customHeight="1" x14ac:dyDescent="0.25">
      <c r="A50" s="134" t="s">
        <v>336</v>
      </c>
      <c r="B50" s="88"/>
      <c r="C50" s="88"/>
      <c r="D50" s="88"/>
      <c r="E50" s="210"/>
      <c r="F50" s="211"/>
      <c r="G50" s="88"/>
      <c r="H50" s="88"/>
      <c r="I50" s="88"/>
      <c r="J50" s="88"/>
      <c r="K50" s="57"/>
      <c r="L50" s="89" t="s">
        <v>48</v>
      </c>
      <c r="M50" s="89" t="s">
        <v>261</v>
      </c>
      <c r="N50" s="90" t="s">
        <v>51</v>
      </c>
      <c r="O50" s="91" t="s">
        <v>50</v>
      </c>
      <c r="P50" s="91" t="s">
        <v>262</v>
      </c>
      <c r="Q50" s="91" t="s">
        <v>263</v>
      </c>
      <c r="R50" s="92" t="s">
        <v>52</v>
      </c>
      <c r="S50" s="92" t="s">
        <v>52</v>
      </c>
      <c r="T50" s="92" t="s">
        <v>53</v>
      </c>
      <c r="U50" s="92" t="s">
        <v>265</v>
      </c>
      <c r="V50" s="92" t="s">
        <v>266</v>
      </c>
      <c r="W50" s="92" t="s">
        <v>267</v>
      </c>
      <c r="X50" s="92" t="s">
        <v>268</v>
      </c>
      <c r="Y50" s="92" t="s">
        <v>52</v>
      </c>
      <c r="Z50" s="92" t="s">
        <v>53</v>
      </c>
      <c r="AA50" s="92" t="s">
        <v>265</v>
      </c>
      <c r="AB50" s="92" t="s">
        <v>266</v>
      </c>
      <c r="AC50" s="93" t="s">
        <v>269</v>
      </c>
    </row>
    <row r="51" spans="1:29" s="40" customFormat="1" ht="14.45" customHeight="1" x14ac:dyDescent="0.25">
      <c r="A51" s="133" t="s">
        <v>326</v>
      </c>
      <c r="B51" s="51" t="s">
        <v>343</v>
      </c>
      <c r="C51" s="94" t="s">
        <v>54</v>
      </c>
      <c r="D51" s="95" t="s">
        <v>308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00" t="s">
        <v>272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R51" s="101">
        <v>18000</v>
      </c>
      <c r="S51" s="101">
        <f>0.9*T51</f>
        <v>14400</v>
      </c>
      <c r="T51" s="54">
        <v>16000</v>
      </c>
      <c r="U51" s="103">
        <f>T51</f>
        <v>16000</v>
      </c>
      <c r="V51" s="104">
        <f>U51*1.266</f>
        <v>20256</v>
      </c>
      <c r="W51" s="40">
        <v>0</v>
      </c>
    </row>
    <row r="52" spans="1:29" s="40" customFormat="1" ht="14.45" customHeight="1" x14ac:dyDescent="0.25">
      <c r="A52" s="133" t="s">
        <v>327</v>
      </c>
      <c r="B52" s="51" t="s">
        <v>343</v>
      </c>
      <c r="C52" s="94" t="s">
        <v>54</v>
      </c>
      <c r="D52" s="95" t="s">
        <v>308</v>
      </c>
      <c r="E52" s="96" t="s">
        <v>114</v>
      </c>
      <c r="F52" s="97" t="s">
        <v>270</v>
      </c>
      <c r="G52" s="98">
        <v>18510</v>
      </c>
      <c r="H52" s="99">
        <v>20510</v>
      </c>
      <c r="I52" s="99">
        <v>20510</v>
      </c>
      <c r="J52" s="99">
        <v>25830</v>
      </c>
      <c r="K52" s="57"/>
      <c r="L52" s="100" t="s">
        <v>272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R52" s="101">
        <v>18000</v>
      </c>
      <c r="S52" s="101">
        <f>0.9*T52</f>
        <v>13950</v>
      </c>
      <c r="T52" s="54">
        <v>15500</v>
      </c>
      <c r="U52" s="103">
        <f>T52</f>
        <v>15500</v>
      </c>
      <c r="V52" s="104">
        <f>U52*1.266</f>
        <v>19623</v>
      </c>
      <c r="W52" s="40">
        <v>0</v>
      </c>
    </row>
    <row r="53" spans="1:29" s="40" customFormat="1" ht="14.45" customHeight="1" x14ac:dyDescent="0.25">
      <c r="A53" s="133" t="s">
        <v>328</v>
      </c>
      <c r="B53" s="51" t="s">
        <v>343</v>
      </c>
      <c r="C53" s="94" t="s">
        <v>54</v>
      </c>
      <c r="D53" s="95" t="s">
        <v>308</v>
      </c>
      <c r="E53" s="96" t="s">
        <v>114</v>
      </c>
      <c r="F53" s="97" t="s">
        <v>270</v>
      </c>
      <c r="G53" s="98">
        <v>18510</v>
      </c>
      <c r="H53" s="99">
        <v>20510</v>
      </c>
      <c r="I53" s="99">
        <v>20510</v>
      </c>
      <c r="J53" s="99">
        <v>25830</v>
      </c>
      <c r="K53" s="57"/>
      <c r="L53" s="100" t="s">
        <v>272</v>
      </c>
      <c r="M53" s="52" t="s">
        <v>295</v>
      </c>
      <c r="N53" s="40">
        <v>0</v>
      </c>
      <c r="O53" s="53">
        <f>VLOOKUP(B53,DRAYAGE!$A$1:$C$107,3,FALSE)</f>
        <v>1185</v>
      </c>
      <c r="P53" s="40" t="s">
        <v>361</v>
      </c>
      <c r="R53" s="101">
        <v>18000</v>
      </c>
      <c r="S53" s="101">
        <f>0.9*T53</f>
        <v>14850</v>
      </c>
      <c r="T53" s="54">
        <v>16500</v>
      </c>
      <c r="U53" s="103">
        <f>T53</f>
        <v>16500</v>
      </c>
      <c r="V53" s="104">
        <f>U53*1.266</f>
        <v>20889</v>
      </c>
      <c r="W53" s="40">
        <v>0</v>
      </c>
    </row>
    <row r="54" spans="1:29" s="40" customFormat="1" ht="14.45" customHeight="1" x14ac:dyDescent="0.25">
      <c r="A54" s="134" t="s">
        <v>337</v>
      </c>
      <c r="B54" s="88"/>
      <c r="C54" s="88"/>
      <c r="D54" s="88"/>
      <c r="E54" s="210"/>
      <c r="F54" s="211"/>
      <c r="G54" s="88"/>
      <c r="H54" s="88"/>
      <c r="I54" s="88"/>
      <c r="J54" s="88"/>
      <c r="K54" s="57"/>
      <c r="L54" s="89" t="s">
        <v>48</v>
      </c>
      <c r="M54" s="89" t="s">
        <v>261</v>
      </c>
      <c r="N54" s="90" t="s">
        <v>51</v>
      </c>
      <c r="O54" s="91" t="s">
        <v>50</v>
      </c>
      <c r="P54" s="91" t="s">
        <v>262</v>
      </c>
      <c r="Q54" s="91" t="s">
        <v>263</v>
      </c>
      <c r="R54" s="91" t="s">
        <v>264</v>
      </c>
      <c r="S54" s="92" t="s">
        <v>52</v>
      </c>
      <c r="T54" s="92" t="s">
        <v>53</v>
      </c>
      <c r="U54" s="92" t="s">
        <v>265</v>
      </c>
      <c r="V54" s="92" t="s">
        <v>266</v>
      </c>
      <c r="W54" s="92" t="s">
        <v>267</v>
      </c>
      <c r="X54" s="92" t="s">
        <v>268</v>
      </c>
      <c r="Y54" s="92" t="s">
        <v>52</v>
      </c>
      <c r="Z54" s="92" t="s">
        <v>53</v>
      </c>
      <c r="AA54" s="92" t="s">
        <v>265</v>
      </c>
      <c r="AB54" s="92" t="s">
        <v>266</v>
      </c>
      <c r="AC54" s="93" t="s">
        <v>269</v>
      </c>
    </row>
    <row r="55" spans="1:29" s="40" customFormat="1" ht="18.75" x14ac:dyDescent="0.25">
      <c r="A55" s="133" t="s">
        <v>81</v>
      </c>
      <c r="B55" s="51" t="s">
        <v>344</v>
      </c>
      <c r="C55" s="94" t="s">
        <v>54</v>
      </c>
      <c r="D55" s="95" t="s">
        <v>308</v>
      </c>
      <c r="E55" s="96" t="s">
        <v>114</v>
      </c>
      <c r="F55" s="97" t="s">
        <v>270</v>
      </c>
      <c r="G55" s="98">
        <f t="shared" ref="G55:G60" si="21">CEILING(S55+W55+X55+O55+N55+Y55,10)</f>
        <v>12150</v>
      </c>
      <c r="H55" s="99">
        <f t="shared" ref="H55:H60" si="22">CEILING(T55+W55+X55+O55+N55+Z55,10)</f>
        <v>13350</v>
      </c>
      <c r="I55" s="99">
        <f t="shared" ref="I55:I60" si="23">CEILING(U55+W55+X55+O55+N55+AA55,10)</f>
        <v>13350</v>
      </c>
      <c r="J55" s="99">
        <f t="shared" ref="J55:J60" si="24">CEILING(V55+W55+X55+O55+N55+AB55,10)</f>
        <v>16540</v>
      </c>
      <c r="K55" s="57"/>
      <c r="L55" s="100" t="s">
        <v>272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S55" s="101">
        <f t="shared" ref="S55:S60" si="25">0.9*T55</f>
        <v>10800</v>
      </c>
      <c r="T55" s="54">
        <f t="shared" ref="T55:T60" si="26">T38</f>
        <v>12000</v>
      </c>
      <c r="U55" s="103">
        <f t="shared" si="5"/>
        <v>12000</v>
      </c>
      <c r="V55" s="104">
        <f t="shared" ref="V55:V60" si="27">U55*1.266</f>
        <v>15192</v>
      </c>
      <c r="X55" s="40">
        <v>0</v>
      </c>
    </row>
    <row r="56" spans="1:29" s="40" customFormat="1" ht="14.45" customHeight="1" x14ac:dyDescent="0.25">
      <c r="A56" s="133" t="s">
        <v>55</v>
      </c>
      <c r="B56" s="51" t="s">
        <v>344</v>
      </c>
      <c r="C56" s="94" t="s">
        <v>54</v>
      </c>
      <c r="D56" s="95" t="s">
        <v>308</v>
      </c>
      <c r="E56" s="96" t="s">
        <v>114</v>
      </c>
      <c r="F56" s="97" t="s">
        <v>270</v>
      </c>
      <c r="G56" s="98">
        <f t="shared" si="21"/>
        <v>12150</v>
      </c>
      <c r="H56" s="99">
        <f t="shared" si="22"/>
        <v>13350</v>
      </c>
      <c r="I56" s="99">
        <f t="shared" si="23"/>
        <v>13350</v>
      </c>
      <c r="J56" s="99">
        <f t="shared" si="24"/>
        <v>16540</v>
      </c>
      <c r="K56" s="57"/>
      <c r="L56" s="100" t="s">
        <v>272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S56" s="101">
        <f t="shared" si="25"/>
        <v>10800</v>
      </c>
      <c r="T56" s="54">
        <f t="shared" si="26"/>
        <v>12000</v>
      </c>
      <c r="U56" s="103">
        <f t="shared" si="5"/>
        <v>12000</v>
      </c>
      <c r="V56" s="104">
        <f t="shared" si="27"/>
        <v>15192</v>
      </c>
      <c r="X56" s="40">
        <v>0</v>
      </c>
    </row>
    <row r="57" spans="1:29" s="40" customFormat="1" ht="14.45" customHeight="1" x14ac:dyDescent="0.25">
      <c r="A57" s="133" t="s">
        <v>59</v>
      </c>
      <c r="B57" s="51" t="s">
        <v>344</v>
      </c>
      <c r="C57" s="94" t="s">
        <v>54</v>
      </c>
      <c r="D57" s="95" t="s">
        <v>308</v>
      </c>
      <c r="E57" s="96" t="s">
        <v>114</v>
      </c>
      <c r="F57" s="97" t="s">
        <v>270</v>
      </c>
      <c r="G57" s="98">
        <f t="shared" si="21"/>
        <v>13950</v>
      </c>
      <c r="H57" s="99">
        <f t="shared" si="22"/>
        <v>15350</v>
      </c>
      <c r="I57" s="99">
        <f t="shared" si="23"/>
        <v>15350</v>
      </c>
      <c r="J57" s="99">
        <f t="shared" si="24"/>
        <v>19070</v>
      </c>
      <c r="K57" s="57"/>
      <c r="L57" s="100" t="s">
        <v>272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S57" s="101">
        <f t="shared" si="25"/>
        <v>12600</v>
      </c>
      <c r="T57" s="54">
        <f t="shared" si="26"/>
        <v>14000</v>
      </c>
      <c r="U57" s="103">
        <f t="shared" si="5"/>
        <v>14000</v>
      </c>
      <c r="V57" s="104">
        <f t="shared" si="27"/>
        <v>17724</v>
      </c>
      <c r="X57" s="40">
        <v>0</v>
      </c>
    </row>
    <row r="58" spans="1:29" s="40" customFormat="1" ht="18.75" x14ac:dyDescent="0.25">
      <c r="A58" s="133" t="s">
        <v>60</v>
      </c>
      <c r="B58" s="51" t="s">
        <v>344</v>
      </c>
      <c r="C58" s="94" t="s">
        <v>54</v>
      </c>
      <c r="D58" s="95" t="s">
        <v>308</v>
      </c>
      <c r="E58" s="96" t="s">
        <v>114</v>
      </c>
      <c r="F58" s="97" t="s">
        <v>270</v>
      </c>
      <c r="G58" s="98">
        <f t="shared" si="21"/>
        <v>14400</v>
      </c>
      <c r="H58" s="99">
        <f t="shared" si="22"/>
        <v>15850</v>
      </c>
      <c r="I58" s="99">
        <f t="shared" si="23"/>
        <v>15850</v>
      </c>
      <c r="J58" s="99">
        <f t="shared" si="24"/>
        <v>19710</v>
      </c>
      <c r="K58" s="57"/>
      <c r="L58" s="100" t="s">
        <v>272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S58" s="101">
        <f t="shared" si="25"/>
        <v>13050</v>
      </c>
      <c r="T58" s="54">
        <f t="shared" si="26"/>
        <v>14500</v>
      </c>
      <c r="U58" s="103">
        <f t="shared" si="5"/>
        <v>14500</v>
      </c>
      <c r="V58" s="104">
        <f t="shared" si="27"/>
        <v>18357</v>
      </c>
      <c r="X58" s="40">
        <v>0</v>
      </c>
    </row>
    <row r="59" spans="1:29" s="40" customFormat="1" ht="14.45" customHeight="1" x14ac:dyDescent="0.25">
      <c r="A59" s="133" t="s">
        <v>61</v>
      </c>
      <c r="B59" s="51" t="s">
        <v>344</v>
      </c>
      <c r="C59" s="94" t="s">
        <v>54</v>
      </c>
      <c r="D59" s="95" t="s">
        <v>308</v>
      </c>
      <c r="E59" s="96" t="s">
        <v>114</v>
      </c>
      <c r="F59" s="97" t="s">
        <v>270</v>
      </c>
      <c r="G59" s="98">
        <f t="shared" si="21"/>
        <v>12150</v>
      </c>
      <c r="H59" s="99">
        <f t="shared" si="22"/>
        <v>13350</v>
      </c>
      <c r="I59" s="99">
        <f t="shared" si="23"/>
        <v>13350</v>
      </c>
      <c r="J59" s="99">
        <f t="shared" si="24"/>
        <v>16540</v>
      </c>
      <c r="K59" s="57"/>
      <c r="L59" s="100" t="s">
        <v>272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S59" s="101">
        <f t="shared" si="25"/>
        <v>10800</v>
      </c>
      <c r="T59" s="54">
        <f t="shared" si="26"/>
        <v>12000</v>
      </c>
      <c r="U59" s="103">
        <f t="shared" si="5"/>
        <v>12000</v>
      </c>
      <c r="V59" s="104">
        <f t="shared" si="27"/>
        <v>15192</v>
      </c>
      <c r="X59" s="40">
        <v>0</v>
      </c>
    </row>
    <row r="60" spans="1:29" s="40" customFormat="1" ht="18.75" x14ac:dyDescent="0.25">
      <c r="A60" s="133" t="s">
        <v>273</v>
      </c>
      <c r="B60" s="51" t="s">
        <v>344</v>
      </c>
      <c r="C60" s="94" t="s">
        <v>54</v>
      </c>
      <c r="D60" s="95" t="s">
        <v>308</v>
      </c>
      <c r="E60" s="96" t="s">
        <v>114</v>
      </c>
      <c r="F60" s="97" t="s">
        <v>270</v>
      </c>
      <c r="G60" s="98">
        <f t="shared" si="21"/>
        <v>18450</v>
      </c>
      <c r="H60" s="99">
        <f t="shared" si="22"/>
        <v>20350</v>
      </c>
      <c r="I60" s="99">
        <f t="shared" si="23"/>
        <v>20350</v>
      </c>
      <c r="J60" s="99">
        <f t="shared" si="24"/>
        <v>25400</v>
      </c>
      <c r="K60" s="57"/>
      <c r="L60" s="100" t="s">
        <v>272</v>
      </c>
      <c r="M60" s="52" t="s">
        <v>294</v>
      </c>
      <c r="N60" s="40">
        <v>0</v>
      </c>
      <c r="O60" s="53">
        <f>VLOOKUP(B60,DRAYAGE!$A$1:$C$107,3,FALSE)</f>
        <v>1345</v>
      </c>
      <c r="P60" s="40" t="s">
        <v>301</v>
      </c>
      <c r="S60" s="101">
        <f t="shared" si="25"/>
        <v>17100</v>
      </c>
      <c r="T60" s="54">
        <f t="shared" si="26"/>
        <v>19000</v>
      </c>
      <c r="U60" s="103">
        <f t="shared" si="5"/>
        <v>19000</v>
      </c>
      <c r="V60" s="104">
        <f t="shared" si="27"/>
        <v>24054</v>
      </c>
      <c r="X60" s="40">
        <v>0</v>
      </c>
    </row>
    <row r="61" spans="1:29" s="40" customFormat="1" ht="14.45" customHeight="1" x14ac:dyDescent="0.25">
      <c r="A61" s="212" t="s">
        <v>271</v>
      </c>
      <c r="B61" s="212"/>
      <c r="C61" s="212"/>
      <c r="D61" s="212"/>
      <c r="E61" s="212"/>
      <c r="F61" s="212"/>
      <c r="G61" s="212"/>
      <c r="H61" s="212"/>
      <c r="I61" s="212"/>
      <c r="J61" s="212"/>
      <c r="K61" s="57"/>
      <c r="L61" s="100"/>
      <c r="M61" s="100"/>
      <c r="S61" s="101"/>
      <c r="T61" s="102"/>
      <c r="U61" s="103"/>
      <c r="V61" s="104"/>
    </row>
    <row r="62" spans="1:29" s="32" customFormat="1" ht="12.75" x14ac:dyDescent="0.2">
      <c r="A62" s="31"/>
      <c r="B62" s="33"/>
      <c r="C62" s="33"/>
      <c r="D62" s="33"/>
      <c r="E62" s="33"/>
      <c r="F62" s="34"/>
      <c r="G62" s="34"/>
      <c r="H62" s="34"/>
      <c r="I62" s="35"/>
      <c r="J62" s="29"/>
      <c r="K62" s="29"/>
      <c r="L62" s="27"/>
      <c r="M62" s="27"/>
      <c r="N62" s="30"/>
      <c r="O62" s="30"/>
      <c r="P62" s="30"/>
      <c r="Q62" s="30"/>
      <c r="R62" s="30"/>
      <c r="S62" s="28"/>
      <c r="T62" s="28"/>
      <c r="U62" s="28"/>
      <c r="V62" s="28"/>
      <c r="W62" s="28"/>
    </row>
    <row r="63" spans="1:29" s="37" customFormat="1" ht="14.45" customHeight="1" x14ac:dyDescent="0.25">
      <c r="A63" s="180" t="s">
        <v>111</v>
      </c>
      <c r="B63" s="180"/>
      <c r="C63" s="180"/>
      <c r="D63" s="180"/>
      <c r="E63" s="180"/>
      <c r="F63" s="180"/>
      <c r="G63" s="180"/>
      <c r="H63" s="180"/>
      <c r="I63" s="180"/>
      <c r="J63" s="180"/>
      <c r="K63" s="57"/>
    </row>
    <row r="64" spans="1:29" s="37" customFormat="1" ht="14.45" customHeight="1" x14ac:dyDescent="0.25">
      <c r="A64" s="208" t="s">
        <v>112</v>
      </c>
      <c r="B64" s="208"/>
      <c r="C64" s="208"/>
      <c r="D64" s="208"/>
      <c r="E64" s="208"/>
      <c r="F64" s="208"/>
      <c r="G64" s="208"/>
      <c r="H64" s="208"/>
      <c r="I64" s="208"/>
      <c r="J64" s="208"/>
      <c r="K64" s="57"/>
    </row>
    <row r="65" spans="1:17" s="37" customFormat="1" ht="14.45" customHeight="1" x14ac:dyDescent="0.25">
      <c r="A65" s="186" t="s">
        <v>67</v>
      </c>
      <c r="B65" s="186"/>
      <c r="C65" s="186"/>
      <c r="D65" s="186"/>
      <c r="E65" s="186" t="s">
        <v>68</v>
      </c>
      <c r="F65" s="186"/>
      <c r="G65" s="186"/>
      <c r="H65" s="186"/>
      <c r="I65" s="186"/>
      <c r="J65" s="186"/>
      <c r="K65" s="57"/>
      <c r="L65" s="209" t="s">
        <v>113</v>
      </c>
      <c r="M65" s="209"/>
      <c r="N65" s="209"/>
      <c r="O65" s="209"/>
      <c r="P65" s="209"/>
      <c r="Q65" s="209"/>
    </row>
    <row r="66" spans="1:17" s="37" customFormat="1" ht="14.45" customHeight="1" x14ac:dyDescent="0.25">
      <c r="A66" s="196" t="s">
        <v>69</v>
      </c>
      <c r="B66" s="196"/>
      <c r="C66" s="196"/>
      <c r="D66" s="196"/>
      <c r="E66" s="58" t="s">
        <v>114</v>
      </c>
      <c r="F66" s="196" t="s">
        <v>70</v>
      </c>
      <c r="G66" s="196"/>
      <c r="H66" s="196"/>
      <c r="I66" s="196"/>
      <c r="J66" s="196"/>
      <c r="K66" s="57"/>
      <c r="L66" s="197" t="s">
        <v>115</v>
      </c>
      <c r="M66" s="197"/>
      <c r="N66" s="197"/>
      <c r="O66" s="197"/>
      <c r="P66" s="197"/>
      <c r="Q66" s="197"/>
    </row>
    <row r="67" spans="1:17" s="37" customFormat="1" ht="14.45" customHeight="1" x14ac:dyDescent="0.25">
      <c r="A67" s="196" t="s">
        <v>71</v>
      </c>
      <c r="B67" s="196"/>
      <c r="C67" s="196"/>
      <c r="D67" s="201"/>
      <c r="E67" s="58" t="s">
        <v>114</v>
      </c>
      <c r="F67" s="196" t="s">
        <v>116</v>
      </c>
      <c r="G67" s="196"/>
      <c r="H67" s="196"/>
      <c r="I67" s="196"/>
      <c r="J67" s="196"/>
      <c r="K67" s="57"/>
      <c r="L67" s="197"/>
      <c r="M67" s="197"/>
      <c r="N67" s="197"/>
      <c r="O67" s="197"/>
      <c r="P67" s="197"/>
      <c r="Q67" s="197"/>
    </row>
    <row r="68" spans="1:17" s="37" customFormat="1" ht="18" customHeight="1" x14ac:dyDescent="0.25">
      <c r="A68" s="196" t="s">
        <v>117</v>
      </c>
      <c r="B68" s="196"/>
      <c r="C68" s="196"/>
      <c r="D68" s="201"/>
      <c r="E68" s="58" t="s">
        <v>114</v>
      </c>
      <c r="F68" s="196" t="s">
        <v>306</v>
      </c>
      <c r="G68" s="196"/>
      <c r="H68" s="196"/>
      <c r="I68" s="196"/>
      <c r="J68" s="196"/>
      <c r="K68" s="57"/>
      <c r="L68" s="59" t="s">
        <v>118</v>
      </c>
      <c r="M68" s="129"/>
      <c r="N68" s="129"/>
      <c r="O68" s="129"/>
      <c r="P68" s="129"/>
      <c r="Q68" s="129"/>
    </row>
    <row r="69" spans="1:17" s="37" customFormat="1" ht="32.65" customHeight="1" x14ac:dyDescent="0.25">
      <c r="A69" s="234" t="s">
        <v>370</v>
      </c>
      <c r="B69" s="234"/>
      <c r="C69" s="234"/>
      <c r="D69" s="235"/>
      <c r="E69" s="131" t="s">
        <v>114</v>
      </c>
      <c r="F69" s="185" t="s">
        <v>369</v>
      </c>
      <c r="G69" s="185"/>
      <c r="H69" s="185"/>
      <c r="I69" s="185"/>
      <c r="J69" s="185"/>
      <c r="K69" s="57"/>
      <c r="L69" s="59" t="s">
        <v>118</v>
      </c>
      <c r="M69" s="129"/>
      <c r="N69" s="129"/>
      <c r="O69" s="129"/>
      <c r="P69" s="129"/>
      <c r="Q69" s="129"/>
    </row>
    <row r="70" spans="1:17" s="37" customFormat="1" ht="36.950000000000003" customHeight="1" x14ac:dyDescent="0.25">
      <c r="A70" s="231" t="s">
        <v>367</v>
      </c>
      <c r="B70" s="231"/>
      <c r="C70" s="231"/>
      <c r="D70" s="232"/>
      <c r="E70" s="145" t="s">
        <v>114</v>
      </c>
      <c r="F70" s="233" t="s">
        <v>368</v>
      </c>
      <c r="G70" s="233"/>
      <c r="H70" s="233"/>
      <c r="I70" s="233"/>
      <c r="J70" s="233"/>
      <c r="K70" s="57"/>
      <c r="L70" s="59" t="s">
        <v>118</v>
      </c>
      <c r="M70" s="129"/>
      <c r="N70" s="129"/>
      <c r="O70" s="129"/>
      <c r="P70" s="129"/>
      <c r="Q70" s="129"/>
    </row>
    <row r="71" spans="1:17" s="37" customFormat="1" ht="40.5" customHeight="1" x14ac:dyDescent="0.25">
      <c r="A71" s="229" t="s">
        <v>309</v>
      </c>
      <c r="B71" s="229"/>
      <c r="C71" s="229"/>
      <c r="D71" s="198"/>
      <c r="E71" s="131" t="s">
        <v>114</v>
      </c>
      <c r="F71" s="229" t="s">
        <v>310</v>
      </c>
      <c r="G71" s="229"/>
      <c r="H71" s="229"/>
      <c r="I71" s="229"/>
      <c r="J71" s="229"/>
      <c r="K71" s="132"/>
      <c r="L71" s="59" t="s">
        <v>118</v>
      </c>
      <c r="M71" s="129"/>
      <c r="N71" s="129"/>
      <c r="O71" s="129"/>
      <c r="P71" s="129"/>
      <c r="Q71" s="129"/>
    </row>
    <row r="72" spans="1:17" s="37" customFormat="1" ht="14.45" customHeight="1" x14ac:dyDescent="0.25">
      <c r="A72" s="196" t="s">
        <v>119</v>
      </c>
      <c r="B72" s="196"/>
      <c r="C72" s="196"/>
      <c r="D72" s="196"/>
      <c r="E72" s="58" t="s">
        <v>114</v>
      </c>
      <c r="F72" s="196" t="s">
        <v>120</v>
      </c>
      <c r="G72" s="196"/>
      <c r="H72" s="196"/>
      <c r="I72" s="196"/>
      <c r="J72" s="196"/>
      <c r="K72" s="132"/>
      <c r="L72" s="197" t="s">
        <v>121</v>
      </c>
      <c r="M72" s="197"/>
      <c r="N72" s="197"/>
      <c r="O72" s="197"/>
      <c r="P72" s="197"/>
      <c r="Q72" s="197"/>
    </row>
    <row r="73" spans="1:17" s="37" customFormat="1" ht="14.45" customHeight="1" x14ac:dyDescent="0.25">
      <c r="A73" s="196" t="s">
        <v>122</v>
      </c>
      <c r="B73" s="196"/>
      <c r="C73" s="196"/>
      <c r="D73" s="196"/>
      <c r="E73" s="58" t="s">
        <v>114</v>
      </c>
      <c r="F73" s="196" t="s">
        <v>123</v>
      </c>
      <c r="G73" s="196"/>
      <c r="H73" s="196"/>
      <c r="I73" s="196"/>
      <c r="J73" s="196"/>
      <c r="K73" s="132"/>
      <c r="L73" s="197"/>
      <c r="M73" s="197"/>
      <c r="N73" s="197"/>
      <c r="O73" s="197"/>
      <c r="P73" s="197"/>
      <c r="Q73" s="197"/>
    </row>
    <row r="74" spans="1:17" s="37" customFormat="1" ht="14.45" customHeight="1" x14ac:dyDescent="0.25">
      <c r="A74" s="196" t="s">
        <v>277</v>
      </c>
      <c r="B74" s="196"/>
      <c r="C74" s="196"/>
      <c r="D74" s="196"/>
      <c r="E74" s="58" t="s">
        <v>114</v>
      </c>
      <c r="F74" s="196" t="s">
        <v>278</v>
      </c>
      <c r="G74" s="196"/>
      <c r="H74" s="196"/>
      <c r="I74" s="196"/>
      <c r="J74" s="196"/>
      <c r="K74" s="132"/>
      <c r="L74" s="197"/>
      <c r="M74" s="197"/>
      <c r="N74" s="197"/>
      <c r="O74" s="197"/>
      <c r="P74" s="197"/>
      <c r="Q74" s="197"/>
    </row>
    <row r="75" spans="1:17" s="37" customFormat="1" ht="14.45" customHeight="1" x14ac:dyDescent="0.25">
      <c r="A75" s="196" t="s">
        <v>124</v>
      </c>
      <c r="B75" s="196"/>
      <c r="C75" s="196"/>
      <c r="D75" s="196"/>
      <c r="E75" s="58" t="s">
        <v>114</v>
      </c>
      <c r="F75" s="196" t="s">
        <v>125</v>
      </c>
      <c r="G75" s="196"/>
      <c r="H75" s="196"/>
      <c r="I75" s="196"/>
      <c r="J75" s="196"/>
      <c r="K75" s="132"/>
      <c r="L75" s="197"/>
      <c r="M75" s="197"/>
      <c r="N75" s="197"/>
      <c r="O75" s="197"/>
      <c r="P75" s="197"/>
      <c r="Q75" s="197"/>
    </row>
    <row r="76" spans="1:17" s="37" customFormat="1" ht="18.95" customHeight="1" x14ac:dyDescent="0.25">
      <c r="A76" s="196" t="s">
        <v>126</v>
      </c>
      <c r="B76" s="196"/>
      <c r="C76" s="196"/>
      <c r="D76" s="201"/>
      <c r="E76" s="58" t="s">
        <v>127</v>
      </c>
      <c r="F76" s="128" t="s">
        <v>128</v>
      </c>
      <c r="G76" s="185" t="s">
        <v>129</v>
      </c>
      <c r="H76" s="185"/>
      <c r="I76" s="185"/>
      <c r="J76" s="185"/>
      <c r="K76" s="132"/>
      <c r="L76" s="197" t="s">
        <v>130</v>
      </c>
      <c r="M76" s="197"/>
      <c r="N76" s="197"/>
      <c r="O76" s="197"/>
      <c r="P76" s="197"/>
      <c r="Q76" s="197"/>
    </row>
    <row r="77" spans="1:17" s="37" customFormat="1" ht="24.95" customHeight="1" x14ac:dyDescent="0.25">
      <c r="A77" s="196" t="s">
        <v>126</v>
      </c>
      <c r="B77" s="196"/>
      <c r="C77" s="196"/>
      <c r="D77" s="196"/>
      <c r="E77" s="58" t="s">
        <v>127</v>
      </c>
      <c r="F77" s="128" t="s">
        <v>131</v>
      </c>
      <c r="G77" s="185" t="s">
        <v>132</v>
      </c>
      <c r="H77" s="185"/>
      <c r="I77" s="185"/>
      <c r="J77" s="185"/>
      <c r="K77" s="132"/>
      <c r="L77" s="197" t="s">
        <v>130</v>
      </c>
      <c r="M77" s="197"/>
      <c r="N77" s="197"/>
      <c r="O77" s="197"/>
      <c r="P77" s="197"/>
      <c r="Q77" s="197"/>
    </row>
    <row r="78" spans="1:17" s="37" customFormat="1" ht="37.5" customHeight="1" x14ac:dyDescent="0.25">
      <c r="A78" s="198" t="s">
        <v>311</v>
      </c>
      <c r="B78" s="199"/>
      <c r="C78" s="199"/>
      <c r="D78" s="200"/>
      <c r="E78" s="198" t="s">
        <v>312</v>
      </c>
      <c r="F78" s="199"/>
      <c r="G78" s="199"/>
      <c r="H78" s="199"/>
      <c r="I78" s="199"/>
      <c r="J78" s="200"/>
      <c r="K78" s="132"/>
      <c r="L78" s="197"/>
      <c r="M78" s="197"/>
      <c r="N78" s="197"/>
      <c r="O78" s="197"/>
      <c r="P78" s="197"/>
      <c r="Q78" s="197"/>
    </row>
    <row r="79" spans="1:17" s="37" customFormat="1" ht="14.45" customHeight="1" x14ac:dyDescent="0.25">
      <c r="A79" s="180" t="s">
        <v>133</v>
      </c>
      <c r="B79" s="180"/>
      <c r="C79" s="180"/>
      <c r="D79" s="180"/>
      <c r="E79" s="180"/>
      <c r="F79" s="180"/>
      <c r="G79" s="180"/>
      <c r="H79" s="180"/>
      <c r="I79" s="180"/>
      <c r="J79" s="180"/>
      <c r="K79" s="57"/>
      <c r="L79" s="129"/>
      <c r="M79" s="129"/>
    </row>
    <row r="80" spans="1:17" s="37" customFormat="1" ht="14.45" customHeight="1" x14ac:dyDescent="0.2">
      <c r="A80" s="60" t="s">
        <v>134</v>
      </c>
      <c r="B80" s="60" t="s">
        <v>135</v>
      </c>
      <c r="C80" s="60" t="s">
        <v>136</v>
      </c>
      <c r="D80" s="193" t="s">
        <v>137</v>
      </c>
      <c r="E80" s="194"/>
      <c r="F80" s="195"/>
      <c r="G80" s="61" t="s">
        <v>138</v>
      </c>
      <c r="H80" s="60" t="s">
        <v>139</v>
      </c>
      <c r="I80" s="61" t="s">
        <v>140</v>
      </c>
      <c r="J80" s="61" t="s">
        <v>141</v>
      </c>
      <c r="K80" s="57"/>
      <c r="L80" s="129"/>
      <c r="M80" s="129"/>
    </row>
    <row r="81" spans="1:13" s="37" customFormat="1" ht="14.45" customHeight="1" x14ac:dyDescent="0.2">
      <c r="A81" s="62" t="s">
        <v>142</v>
      </c>
      <c r="B81" s="62" t="s">
        <v>49</v>
      </c>
      <c r="C81" s="62" t="s">
        <v>143</v>
      </c>
      <c r="D81" s="187" t="s">
        <v>144</v>
      </c>
      <c r="E81" s="188"/>
      <c r="F81" s="189"/>
      <c r="G81" s="63">
        <v>50</v>
      </c>
      <c r="H81" s="62" t="s">
        <v>145</v>
      </c>
      <c r="I81" s="63">
        <v>150</v>
      </c>
      <c r="J81" s="63" t="s">
        <v>110</v>
      </c>
      <c r="K81" s="57"/>
      <c r="L81" s="129"/>
      <c r="M81" s="129"/>
    </row>
    <row r="82" spans="1:13" s="37" customFormat="1" ht="14.45" customHeight="1" x14ac:dyDescent="0.2">
      <c r="A82" s="62" t="s">
        <v>142</v>
      </c>
      <c r="B82" s="62" t="s">
        <v>146</v>
      </c>
      <c r="C82" s="62" t="s">
        <v>147</v>
      </c>
      <c r="D82" s="187" t="s">
        <v>148</v>
      </c>
      <c r="E82" s="188"/>
      <c r="F82" s="189"/>
      <c r="G82" s="63">
        <v>3</v>
      </c>
      <c r="H82" s="62" t="s">
        <v>149</v>
      </c>
      <c r="I82" s="63">
        <v>3</v>
      </c>
      <c r="J82" s="63" t="s">
        <v>110</v>
      </c>
      <c r="K82" s="57"/>
      <c r="L82" s="129"/>
      <c r="M82" s="129"/>
    </row>
    <row r="83" spans="1:13" s="37" customFormat="1" ht="14.45" customHeight="1" x14ac:dyDescent="0.2">
      <c r="A83" s="62" t="s">
        <v>150</v>
      </c>
      <c r="B83" s="62" t="s">
        <v>146</v>
      </c>
      <c r="C83" s="62" t="s">
        <v>147</v>
      </c>
      <c r="D83" s="187" t="s">
        <v>151</v>
      </c>
      <c r="E83" s="188"/>
      <c r="F83" s="189"/>
      <c r="G83" s="63">
        <v>3</v>
      </c>
      <c r="H83" s="62" t="s">
        <v>152</v>
      </c>
      <c r="I83" s="63">
        <v>3</v>
      </c>
      <c r="J83" s="63" t="s">
        <v>110</v>
      </c>
      <c r="K83" s="57"/>
      <c r="L83" s="129"/>
      <c r="M83" s="129"/>
    </row>
    <row r="84" spans="1:13" s="37" customFormat="1" ht="14.45" customHeight="1" x14ac:dyDescent="0.2">
      <c r="A84" s="62" t="s">
        <v>173</v>
      </c>
      <c r="B84" s="62" t="s">
        <v>49</v>
      </c>
      <c r="C84" s="62" t="s">
        <v>143</v>
      </c>
      <c r="D84" s="187" t="s">
        <v>313</v>
      </c>
      <c r="E84" s="188"/>
      <c r="F84" s="189"/>
      <c r="G84" s="66">
        <v>75</v>
      </c>
      <c r="H84" s="62" t="s">
        <v>145</v>
      </c>
      <c r="I84" s="66">
        <f>75*3</f>
        <v>225</v>
      </c>
      <c r="J84" s="66" t="s">
        <v>314</v>
      </c>
      <c r="K84" s="132"/>
      <c r="L84" s="129"/>
      <c r="M84" s="129"/>
    </row>
    <row r="85" spans="1:13" s="37" customFormat="1" ht="14.45" customHeight="1" x14ac:dyDescent="0.2">
      <c r="A85" s="62" t="s">
        <v>142</v>
      </c>
      <c r="B85" s="62" t="s">
        <v>49</v>
      </c>
      <c r="C85" s="62" t="s">
        <v>143</v>
      </c>
      <c r="D85" s="187" t="s">
        <v>279</v>
      </c>
      <c r="E85" s="188"/>
      <c r="F85" s="189"/>
      <c r="G85" s="63">
        <v>150</v>
      </c>
      <c r="H85" s="62" t="s">
        <v>280</v>
      </c>
      <c r="I85" s="63" t="s">
        <v>153</v>
      </c>
      <c r="J85" s="63" t="s">
        <v>110</v>
      </c>
      <c r="K85" s="57"/>
      <c r="L85" s="129"/>
      <c r="M85" s="129"/>
    </row>
    <row r="86" spans="1:13" s="37" customFormat="1" ht="14.45" customHeight="1" x14ac:dyDescent="0.2">
      <c r="A86" s="62" t="s">
        <v>154</v>
      </c>
      <c r="B86" s="62" t="s">
        <v>49</v>
      </c>
      <c r="C86" s="62" t="s">
        <v>143</v>
      </c>
      <c r="D86" s="187" t="s">
        <v>155</v>
      </c>
      <c r="E86" s="188"/>
      <c r="F86" s="189"/>
      <c r="G86" s="63">
        <v>250</v>
      </c>
      <c r="H86" s="62" t="s">
        <v>49</v>
      </c>
      <c r="I86" s="63" t="s">
        <v>153</v>
      </c>
      <c r="J86" s="63" t="s">
        <v>110</v>
      </c>
      <c r="K86" s="57"/>
      <c r="L86" s="129"/>
      <c r="M86" s="129"/>
    </row>
    <row r="87" spans="1:13" s="37" customFormat="1" ht="14.45" customHeight="1" x14ac:dyDescent="0.2">
      <c r="A87" s="65" t="s">
        <v>156</v>
      </c>
      <c r="B87" s="65" t="s">
        <v>49</v>
      </c>
      <c r="C87" s="65" t="s">
        <v>143</v>
      </c>
      <c r="D87" s="187" t="s">
        <v>157</v>
      </c>
      <c r="E87" s="188"/>
      <c r="F87" s="189"/>
      <c r="G87" s="63">
        <v>250</v>
      </c>
      <c r="H87" s="62" t="s">
        <v>49</v>
      </c>
      <c r="I87" s="63" t="s">
        <v>153</v>
      </c>
      <c r="J87" s="63" t="s">
        <v>110</v>
      </c>
      <c r="K87" s="57"/>
      <c r="L87" s="129"/>
      <c r="M87" s="129"/>
    </row>
    <row r="88" spans="1:13" s="37" customFormat="1" ht="14.45" customHeight="1" x14ac:dyDescent="0.2">
      <c r="A88" s="62" t="s">
        <v>142</v>
      </c>
      <c r="B88" s="62" t="s">
        <v>49</v>
      </c>
      <c r="C88" s="62" t="s">
        <v>143</v>
      </c>
      <c r="D88" s="187" t="s">
        <v>281</v>
      </c>
      <c r="E88" s="188"/>
      <c r="F88" s="189"/>
      <c r="G88" s="63">
        <v>200</v>
      </c>
      <c r="H88" s="62" t="s">
        <v>280</v>
      </c>
      <c r="I88" s="63" t="s">
        <v>153</v>
      </c>
      <c r="J88" s="63" t="s">
        <v>110</v>
      </c>
      <c r="K88" s="57"/>
      <c r="L88" s="129"/>
      <c r="M88" s="129"/>
    </row>
    <row r="89" spans="1:13" s="37" customFormat="1" ht="14.45" customHeight="1" x14ac:dyDescent="0.2">
      <c r="A89" s="62" t="s">
        <v>142</v>
      </c>
      <c r="B89" s="62" t="s">
        <v>49</v>
      </c>
      <c r="C89" s="62" t="s">
        <v>143</v>
      </c>
      <c r="D89" s="187" t="s">
        <v>158</v>
      </c>
      <c r="E89" s="188"/>
      <c r="F89" s="189"/>
      <c r="G89" s="66">
        <v>150</v>
      </c>
      <c r="H89" s="62" t="s">
        <v>49</v>
      </c>
      <c r="I89" s="66" t="s">
        <v>153</v>
      </c>
      <c r="J89" s="63" t="s">
        <v>110</v>
      </c>
      <c r="K89" s="57"/>
      <c r="L89" s="129"/>
      <c r="M89" s="129"/>
    </row>
    <row r="90" spans="1:13" s="37" customFormat="1" ht="14.45" customHeight="1" x14ac:dyDescent="0.2">
      <c r="A90" s="62" t="s">
        <v>150</v>
      </c>
      <c r="B90" s="67" t="s">
        <v>49</v>
      </c>
      <c r="C90" s="62" t="s">
        <v>143</v>
      </c>
      <c r="D90" s="187" t="s">
        <v>159</v>
      </c>
      <c r="E90" s="188"/>
      <c r="F90" s="189"/>
      <c r="G90" s="68">
        <v>180</v>
      </c>
      <c r="H90" s="67" t="s">
        <v>49</v>
      </c>
      <c r="I90" s="68" t="s">
        <v>153</v>
      </c>
      <c r="J90" s="63" t="s">
        <v>110</v>
      </c>
      <c r="K90" s="57"/>
      <c r="L90" s="129"/>
      <c r="M90" s="129"/>
    </row>
    <row r="91" spans="1:13" s="37" customFormat="1" ht="14.45" customHeight="1" x14ac:dyDescent="0.2">
      <c r="A91" s="62" t="s">
        <v>160</v>
      </c>
      <c r="B91" s="67" t="s">
        <v>49</v>
      </c>
      <c r="C91" s="62" t="s">
        <v>143</v>
      </c>
      <c r="D91" s="187" t="s">
        <v>161</v>
      </c>
      <c r="E91" s="188"/>
      <c r="F91" s="189"/>
      <c r="G91" s="69">
        <v>47.9</v>
      </c>
      <c r="H91" s="67" t="s">
        <v>24</v>
      </c>
      <c r="I91" s="69">
        <v>47.9</v>
      </c>
      <c r="J91" s="63" t="s">
        <v>110</v>
      </c>
      <c r="K91" s="57"/>
      <c r="L91" s="129"/>
      <c r="M91" s="129"/>
    </row>
    <row r="92" spans="1:13" s="37" customFormat="1" ht="14.45" customHeight="1" x14ac:dyDescent="0.2">
      <c r="A92" s="62" t="s">
        <v>160</v>
      </c>
      <c r="B92" s="67" t="s">
        <v>49</v>
      </c>
      <c r="C92" s="62" t="s">
        <v>143</v>
      </c>
      <c r="D92" s="187" t="s">
        <v>161</v>
      </c>
      <c r="E92" s="188"/>
      <c r="F92" s="189"/>
      <c r="G92" s="69">
        <v>65.400000000000006</v>
      </c>
      <c r="H92" s="67" t="s">
        <v>162</v>
      </c>
      <c r="I92" s="69">
        <v>65.400000000000006</v>
      </c>
      <c r="J92" s="63" t="s">
        <v>110</v>
      </c>
      <c r="K92" s="57"/>
      <c r="L92" s="129"/>
      <c r="M92" s="129"/>
    </row>
    <row r="93" spans="1:13" s="37" customFormat="1" ht="14.1" customHeight="1" x14ac:dyDescent="0.2">
      <c r="A93" s="62" t="s">
        <v>163</v>
      </c>
      <c r="B93" s="67" t="s">
        <v>49</v>
      </c>
      <c r="C93" s="62" t="s">
        <v>143</v>
      </c>
      <c r="D93" s="187" t="s">
        <v>164</v>
      </c>
      <c r="E93" s="188"/>
      <c r="F93" s="189"/>
      <c r="G93" s="69">
        <v>48</v>
      </c>
      <c r="H93" s="67" t="s">
        <v>49</v>
      </c>
      <c r="I93" s="69">
        <v>48</v>
      </c>
      <c r="J93" s="63" t="s">
        <v>110</v>
      </c>
      <c r="K93" s="57"/>
      <c r="L93" s="129"/>
      <c r="M93" s="129"/>
    </row>
    <row r="94" spans="1:13" s="37" customFormat="1" ht="14.45" customHeight="1" x14ac:dyDescent="0.2">
      <c r="A94" s="62" t="s">
        <v>163</v>
      </c>
      <c r="B94" s="67" t="s">
        <v>49</v>
      </c>
      <c r="C94" s="62" t="s">
        <v>143</v>
      </c>
      <c r="D94" s="187" t="s">
        <v>165</v>
      </c>
      <c r="E94" s="188"/>
      <c r="F94" s="189"/>
      <c r="G94" s="69">
        <v>18</v>
      </c>
      <c r="H94" s="67" t="s">
        <v>49</v>
      </c>
      <c r="I94" s="69">
        <v>18</v>
      </c>
      <c r="J94" s="63" t="s">
        <v>110</v>
      </c>
      <c r="K94" s="57"/>
      <c r="L94" s="129"/>
      <c r="M94" s="129"/>
    </row>
    <row r="95" spans="1:13" s="37" customFormat="1" ht="14.45" customHeight="1" x14ac:dyDescent="0.2">
      <c r="A95" s="62" t="s">
        <v>163</v>
      </c>
      <c r="B95" s="67" t="s">
        <v>49</v>
      </c>
      <c r="C95" s="62" t="s">
        <v>143</v>
      </c>
      <c r="D95" s="187" t="s">
        <v>166</v>
      </c>
      <c r="E95" s="188"/>
      <c r="F95" s="189"/>
      <c r="G95" s="69">
        <v>42</v>
      </c>
      <c r="H95" s="67" t="s">
        <v>49</v>
      </c>
      <c r="I95" s="69">
        <v>42</v>
      </c>
      <c r="J95" s="63" t="s">
        <v>110</v>
      </c>
      <c r="K95" s="57"/>
      <c r="L95" s="129"/>
      <c r="M95" s="129"/>
    </row>
    <row r="96" spans="1:13" s="37" customFormat="1" ht="14.45" customHeight="1" x14ac:dyDescent="0.2">
      <c r="A96" s="62" t="s">
        <v>167</v>
      </c>
      <c r="B96" s="62" t="s">
        <v>49</v>
      </c>
      <c r="C96" s="62" t="s">
        <v>143</v>
      </c>
      <c r="D96" s="187" t="s">
        <v>168</v>
      </c>
      <c r="E96" s="188"/>
      <c r="F96" s="189"/>
      <c r="G96" s="66">
        <v>54</v>
      </c>
      <c r="H96" s="62" t="s">
        <v>49</v>
      </c>
      <c r="I96" s="66">
        <v>54</v>
      </c>
      <c r="J96" s="63" t="s">
        <v>110</v>
      </c>
      <c r="K96" s="57"/>
      <c r="L96" s="129"/>
      <c r="M96" s="129"/>
    </row>
    <row r="97" spans="1:13" s="37" customFormat="1" ht="14.45" customHeight="1" x14ac:dyDescent="0.2">
      <c r="A97" s="67" t="s">
        <v>169</v>
      </c>
      <c r="B97" s="67" t="s">
        <v>49</v>
      </c>
      <c r="C97" s="67" t="s">
        <v>147</v>
      </c>
      <c r="D97" s="187" t="s">
        <v>170</v>
      </c>
      <c r="E97" s="188"/>
      <c r="F97" s="189"/>
      <c r="G97" s="70">
        <v>35</v>
      </c>
      <c r="H97" s="70" t="s">
        <v>280</v>
      </c>
      <c r="I97" s="70">
        <v>35</v>
      </c>
      <c r="J97" s="63" t="s">
        <v>110</v>
      </c>
      <c r="K97" s="57"/>
      <c r="L97" s="129"/>
      <c r="M97" s="129"/>
    </row>
    <row r="98" spans="1:13" s="37" customFormat="1" ht="14.45" customHeight="1" x14ac:dyDescent="0.2">
      <c r="A98" s="62" t="s">
        <v>142</v>
      </c>
      <c r="B98" s="62" t="s">
        <v>49</v>
      </c>
      <c r="C98" s="62" t="s">
        <v>143</v>
      </c>
      <c r="D98" s="187" t="s">
        <v>171</v>
      </c>
      <c r="E98" s="188"/>
      <c r="F98" s="189"/>
      <c r="G98" s="63">
        <v>85</v>
      </c>
      <c r="H98" s="62" t="s">
        <v>172</v>
      </c>
      <c r="I98" s="63" t="s">
        <v>153</v>
      </c>
      <c r="J98" s="63" t="s">
        <v>110</v>
      </c>
      <c r="K98" s="57"/>
      <c r="L98" s="129"/>
      <c r="M98" s="129"/>
    </row>
    <row r="99" spans="1:13" s="37" customFormat="1" ht="14.45" customHeight="1" x14ac:dyDescent="0.2">
      <c r="A99" s="62" t="s">
        <v>173</v>
      </c>
      <c r="B99" s="62" t="s">
        <v>146</v>
      </c>
      <c r="C99" s="62" t="s">
        <v>147</v>
      </c>
      <c r="D99" s="187" t="s">
        <v>174</v>
      </c>
      <c r="E99" s="188"/>
      <c r="F99" s="189"/>
      <c r="G99" s="63">
        <v>4</v>
      </c>
      <c r="H99" s="62" t="s">
        <v>149</v>
      </c>
      <c r="I99" s="63">
        <v>4</v>
      </c>
      <c r="J99" s="63" t="s">
        <v>110</v>
      </c>
      <c r="K99" s="57"/>
      <c r="L99" s="129"/>
      <c r="M99" s="129"/>
    </row>
    <row r="100" spans="1:13" s="37" customFormat="1" ht="24" customHeight="1" x14ac:dyDescent="0.2">
      <c r="A100" s="62" t="s">
        <v>173</v>
      </c>
      <c r="B100" s="62" t="s">
        <v>49</v>
      </c>
      <c r="C100" s="62" t="s">
        <v>143</v>
      </c>
      <c r="D100" s="187" t="s">
        <v>175</v>
      </c>
      <c r="E100" s="188"/>
      <c r="F100" s="189"/>
      <c r="G100" s="137" t="s">
        <v>348</v>
      </c>
      <c r="H100" s="62" t="s">
        <v>24</v>
      </c>
      <c r="I100" s="66" t="s">
        <v>153</v>
      </c>
      <c r="J100" s="63" t="s">
        <v>282</v>
      </c>
      <c r="K100" s="57"/>
      <c r="L100" s="129"/>
      <c r="M100" s="129"/>
    </row>
    <row r="101" spans="1:13" s="37" customFormat="1" ht="27" customHeight="1" x14ac:dyDescent="0.2">
      <c r="A101" s="62" t="s">
        <v>173</v>
      </c>
      <c r="B101" s="62" t="s">
        <v>49</v>
      </c>
      <c r="C101" s="62" t="s">
        <v>143</v>
      </c>
      <c r="D101" s="187" t="s">
        <v>176</v>
      </c>
      <c r="E101" s="188"/>
      <c r="F101" s="189"/>
      <c r="G101" s="137" t="s">
        <v>348</v>
      </c>
      <c r="H101" s="62" t="s">
        <v>162</v>
      </c>
      <c r="I101" s="66" t="s">
        <v>153</v>
      </c>
      <c r="J101" s="63" t="s">
        <v>282</v>
      </c>
      <c r="K101" s="57"/>
      <c r="L101" s="129"/>
      <c r="M101" s="129"/>
    </row>
    <row r="102" spans="1:13" s="37" customFormat="1" ht="52.35" customHeight="1" x14ac:dyDescent="0.2">
      <c r="A102" s="124" t="s">
        <v>142</v>
      </c>
      <c r="B102" s="124" t="s">
        <v>49</v>
      </c>
      <c r="C102" s="140" t="s">
        <v>362</v>
      </c>
      <c r="D102" s="236" t="s">
        <v>363</v>
      </c>
      <c r="E102" s="237"/>
      <c r="F102" s="238"/>
      <c r="G102" s="141" t="s">
        <v>371</v>
      </c>
      <c r="H102" s="142" t="s">
        <v>280</v>
      </c>
      <c r="I102" s="125" t="s">
        <v>153</v>
      </c>
      <c r="J102" s="143" t="s">
        <v>365</v>
      </c>
      <c r="K102" s="57"/>
      <c r="L102" s="129"/>
      <c r="M102" s="129"/>
    </row>
    <row r="103" spans="1:13" s="37" customFormat="1" ht="14.45" customHeight="1" x14ac:dyDescent="0.2">
      <c r="A103" s="62" t="s">
        <v>173</v>
      </c>
      <c r="B103" s="62" t="s">
        <v>146</v>
      </c>
      <c r="C103" s="62" t="s">
        <v>147</v>
      </c>
      <c r="D103" s="187" t="s">
        <v>177</v>
      </c>
      <c r="E103" s="188"/>
      <c r="F103" s="189"/>
      <c r="G103" s="63">
        <v>2</v>
      </c>
      <c r="H103" s="62" t="s">
        <v>149</v>
      </c>
      <c r="I103" s="63">
        <v>2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2" t="s">
        <v>173</v>
      </c>
      <c r="B104" s="62" t="s">
        <v>146</v>
      </c>
      <c r="C104" s="62" t="s">
        <v>283</v>
      </c>
      <c r="D104" s="187" t="s">
        <v>284</v>
      </c>
      <c r="E104" s="188"/>
      <c r="F104" s="189"/>
      <c r="G104" s="63">
        <v>10</v>
      </c>
      <c r="H104" s="62" t="s">
        <v>285</v>
      </c>
      <c r="I104" s="63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142</v>
      </c>
      <c r="B105" s="62" t="s">
        <v>49</v>
      </c>
      <c r="C105" s="62" t="s">
        <v>143</v>
      </c>
      <c r="D105" s="187" t="s">
        <v>178</v>
      </c>
      <c r="E105" s="188"/>
      <c r="F105" s="189"/>
      <c r="G105" s="63">
        <v>50</v>
      </c>
      <c r="H105" s="62" t="s">
        <v>145</v>
      </c>
      <c r="I105" s="63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173</v>
      </c>
      <c r="B106" s="62" t="s">
        <v>49</v>
      </c>
      <c r="C106" s="62" t="s">
        <v>143</v>
      </c>
      <c r="D106" s="187" t="s">
        <v>179</v>
      </c>
      <c r="E106" s="188"/>
      <c r="F106" s="189"/>
      <c r="G106" s="63">
        <v>175</v>
      </c>
      <c r="H106" s="62" t="s">
        <v>49</v>
      </c>
      <c r="I106" s="63" t="s">
        <v>153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142</v>
      </c>
      <c r="B107" s="62" t="s">
        <v>49</v>
      </c>
      <c r="C107" s="62" t="s">
        <v>147</v>
      </c>
      <c r="D107" s="187" t="s">
        <v>180</v>
      </c>
      <c r="E107" s="188"/>
      <c r="F107" s="189"/>
      <c r="G107" s="63">
        <v>40</v>
      </c>
      <c r="H107" s="62" t="s">
        <v>181</v>
      </c>
      <c r="I107" s="63" t="s">
        <v>153</v>
      </c>
      <c r="J107" s="63" t="s">
        <v>110</v>
      </c>
      <c r="K107" s="57"/>
      <c r="L107" s="129"/>
      <c r="M107" s="129"/>
    </row>
    <row r="108" spans="1:13" s="37" customFormat="1" ht="14.45" customHeight="1" x14ac:dyDescent="0.2">
      <c r="A108" s="62" t="s">
        <v>173</v>
      </c>
      <c r="B108" s="62" t="s">
        <v>146</v>
      </c>
      <c r="C108" s="62" t="s">
        <v>147</v>
      </c>
      <c r="D108" s="187" t="s">
        <v>182</v>
      </c>
      <c r="E108" s="188"/>
      <c r="F108" s="189"/>
      <c r="G108" s="63">
        <v>7.5</v>
      </c>
      <c r="H108" s="62" t="s">
        <v>152</v>
      </c>
      <c r="I108" s="63">
        <v>75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142</v>
      </c>
      <c r="B109" s="62" t="s">
        <v>146</v>
      </c>
      <c r="C109" s="62" t="s">
        <v>147</v>
      </c>
      <c r="D109" s="187" t="s">
        <v>183</v>
      </c>
      <c r="E109" s="188"/>
      <c r="F109" s="189"/>
      <c r="G109" s="63">
        <v>20</v>
      </c>
      <c r="H109" s="62" t="s">
        <v>184</v>
      </c>
      <c r="I109" s="63" t="s">
        <v>153</v>
      </c>
      <c r="J109" s="63" t="s">
        <v>110</v>
      </c>
      <c r="K109" s="57"/>
      <c r="L109" s="129"/>
      <c r="M109" s="129"/>
    </row>
    <row r="110" spans="1:13" s="37" customFormat="1" ht="14.45" customHeight="1" x14ac:dyDescent="0.2">
      <c r="A110" s="62" t="s">
        <v>142</v>
      </c>
      <c r="B110" s="62" t="s">
        <v>146</v>
      </c>
      <c r="C110" s="62" t="s">
        <v>147</v>
      </c>
      <c r="D110" s="187" t="s">
        <v>185</v>
      </c>
      <c r="E110" s="188"/>
      <c r="F110" s="189"/>
      <c r="G110" s="63">
        <v>25</v>
      </c>
      <c r="H110" s="62" t="s">
        <v>184</v>
      </c>
      <c r="I110" s="63" t="s">
        <v>153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142</v>
      </c>
      <c r="B111" s="62" t="s">
        <v>142</v>
      </c>
      <c r="C111" s="62" t="s">
        <v>147</v>
      </c>
      <c r="D111" s="187" t="s">
        <v>186</v>
      </c>
      <c r="E111" s="188"/>
      <c r="F111" s="189"/>
      <c r="G111" s="68">
        <v>75</v>
      </c>
      <c r="H111" s="62" t="s">
        <v>181</v>
      </c>
      <c r="I111" s="63" t="s">
        <v>153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142</v>
      </c>
      <c r="B112" s="62" t="s">
        <v>142</v>
      </c>
      <c r="C112" s="62" t="s">
        <v>147</v>
      </c>
      <c r="D112" s="187" t="s">
        <v>187</v>
      </c>
      <c r="E112" s="188"/>
      <c r="F112" s="189"/>
      <c r="G112" s="63">
        <v>35</v>
      </c>
      <c r="H112" s="62" t="s">
        <v>181</v>
      </c>
      <c r="I112" s="63" t="s">
        <v>153</v>
      </c>
      <c r="J112" s="63" t="s">
        <v>110</v>
      </c>
      <c r="K112" s="57"/>
      <c r="L112" s="129"/>
      <c r="M112" s="129"/>
    </row>
    <row r="113" spans="1:29" s="37" customFormat="1" ht="14.45" customHeight="1" x14ac:dyDescent="0.2">
      <c r="A113" s="62" t="s">
        <v>142</v>
      </c>
      <c r="B113" s="62" t="s">
        <v>146</v>
      </c>
      <c r="C113" s="62" t="s">
        <v>143</v>
      </c>
      <c r="D113" s="187" t="s">
        <v>188</v>
      </c>
      <c r="E113" s="188"/>
      <c r="F113" s="189"/>
      <c r="G113" s="63">
        <v>100</v>
      </c>
      <c r="H113" s="62" t="s">
        <v>181</v>
      </c>
      <c r="I113" s="63" t="s">
        <v>153</v>
      </c>
      <c r="J113" s="63" t="s">
        <v>110</v>
      </c>
      <c r="K113" s="57"/>
      <c r="L113" s="129"/>
      <c r="M113" s="129"/>
    </row>
    <row r="114" spans="1:29" s="37" customFormat="1" ht="14.45" customHeight="1" x14ac:dyDescent="0.2">
      <c r="A114" s="62" t="s">
        <v>142</v>
      </c>
      <c r="B114" s="62" t="s">
        <v>146</v>
      </c>
      <c r="C114" s="62" t="s">
        <v>143</v>
      </c>
      <c r="D114" s="187" t="s">
        <v>189</v>
      </c>
      <c r="E114" s="188"/>
      <c r="F114" s="189"/>
      <c r="G114" s="63">
        <v>100</v>
      </c>
      <c r="H114" s="62" t="s">
        <v>190</v>
      </c>
      <c r="I114" s="63" t="s">
        <v>153</v>
      </c>
      <c r="J114" s="63" t="s">
        <v>110</v>
      </c>
      <c r="K114" s="57"/>
      <c r="O114" s="38"/>
      <c r="P114" s="38"/>
    </row>
    <row r="115" spans="1:29" s="37" customFormat="1" ht="14.45" customHeight="1" x14ac:dyDescent="0.2">
      <c r="A115" s="62" t="s">
        <v>142</v>
      </c>
      <c r="B115" s="62" t="s">
        <v>146</v>
      </c>
      <c r="C115" s="62" t="s">
        <v>143</v>
      </c>
      <c r="D115" s="187" t="s">
        <v>191</v>
      </c>
      <c r="E115" s="188"/>
      <c r="F115" s="189"/>
      <c r="G115" s="63">
        <v>100</v>
      </c>
      <c r="H115" s="62" t="s">
        <v>181</v>
      </c>
      <c r="I115" s="63" t="s">
        <v>153</v>
      </c>
      <c r="J115" s="63" t="s">
        <v>110</v>
      </c>
      <c r="K115" s="57"/>
      <c r="O115" s="39"/>
      <c r="P115" s="39"/>
    </row>
    <row r="116" spans="1:29" s="37" customFormat="1" ht="14.45" customHeight="1" x14ac:dyDescent="0.2">
      <c r="A116" s="62" t="s">
        <v>173</v>
      </c>
      <c r="B116" s="62" t="s">
        <v>146</v>
      </c>
      <c r="C116" s="62" t="s">
        <v>143</v>
      </c>
      <c r="D116" s="187" t="s">
        <v>189</v>
      </c>
      <c r="E116" s="188"/>
      <c r="F116" s="189"/>
      <c r="G116" s="63">
        <v>50</v>
      </c>
      <c r="H116" s="62" t="s">
        <v>192</v>
      </c>
      <c r="I116" s="63" t="s">
        <v>153</v>
      </c>
      <c r="J116" s="63" t="s">
        <v>110</v>
      </c>
      <c r="K116" s="57"/>
      <c r="O116" s="39"/>
      <c r="P116" s="39"/>
    </row>
    <row r="117" spans="1:29" s="37" customFormat="1" ht="14.45" customHeight="1" x14ac:dyDescent="0.2">
      <c r="A117" s="62" t="s">
        <v>173</v>
      </c>
      <c r="B117" s="62" t="s">
        <v>146</v>
      </c>
      <c r="C117" s="62" t="s">
        <v>143</v>
      </c>
      <c r="D117" s="187" t="s">
        <v>191</v>
      </c>
      <c r="E117" s="188"/>
      <c r="F117" s="189"/>
      <c r="G117" s="63">
        <v>50</v>
      </c>
      <c r="H117" s="62" t="s">
        <v>181</v>
      </c>
      <c r="I117" s="63" t="s">
        <v>153</v>
      </c>
      <c r="J117" s="63" t="s">
        <v>110</v>
      </c>
      <c r="K117" s="57"/>
      <c r="O117" s="38"/>
      <c r="P117" s="38"/>
    </row>
    <row r="118" spans="1:29" s="37" customFormat="1" ht="14.45" customHeight="1" x14ac:dyDescent="0.25">
      <c r="A118" s="62" t="s">
        <v>142</v>
      </c>
      <c r="B118" s="62" t="s">
        <v>146</v>
      </c>
      <c r="C118" s="62" t="s">
        <v>143</v>
      </c>
      <c r="D118" s="187" t="s">
        <v>193</v>
      </c>
      <c r="E118" s="188"/>
      <c r="F118" s="189"/>
      <c r="G118" s="63">
        <v>85</v>
      </c>
      <c r="H118" s="62" t="s">
        <v>194</v>
      </c>
      <c r="I118" s="63" t="s">
        <v>153</v>
      </c>
      <c r="J118" s="63" t="s">
        <v>110</v>
      </c>
      <c r="K118" s="57"/>
      <c r="O118" s="36"/>
      <c r="P118" s="36"/>
    </row>
    <row r="119" spans="1:29" s="37" customFormat="1" ht="14.45" customHeight="1" x14ac:dyDescent="0.25">
      <c r="A119" s="62" t="s">
        <v>173</v>
      </c>
      <c r="B119" s="62" t="s">
        <v>146</v>
      </c>
      <c r="C119" s="62" t="s">
        <v>195</v>
      </c>
      <c r="D119" s="187" t="s">
        <v>196</v>
      </c>
      <c r="E119" s="188"/>
      <c r="F119" s="189"/>
      <c r="G119" s="63">
        <v>0.1</v>
      </c>
      <c r="H119" s="62" t="s">
        <v>197</v>
      </c>
      <c r="I119" s="63">
        <v>150</v>
      </c>
      <c r="J119" s="63" t="s">
        <v>110</v>
      </c>
      <c r="K119" s="57"/>
      <c r="O119" s="36"/>
      <c r="P119" s="36"/>
    </row>
    <row r="120" spans="1:29" s="37" customFormat="1" ht="14.45" customHeight="1" x14ac:dyDescent="0.25">
      <c r="A120" s="62" t="s">
        <v>142</v>
      </c>
      <c r="B120" s="62" t="s">
        <v>49</v>
      </c>
      <c r="C120" s="62" t="s">
        <v>198</v>
      </c>
      <c r="D120" s="187" t="s">
        <v>199</v>
      </c>
      <c r="E120" s="188"/>
      <c r="F120" s="189"/>
      <c r="G120" s="63">
        <v>35</v>
      </c>
      <c r="H120" s="62" t="s">
        <v>181</v>
      </c>
      <c r="I120" s="63" t="s">
        <v>153</v>
      </c>
      <c r="J120" s="63" t="s">
        <v>110</v>
      </c>
      <c r="K120" s="57"/>
      <c r="O120" s="36"/>
      <c r="P120" s="36"/>
    </row>
    <row r="121" spans="1:29" s="37" customFormat="1" ht="14.45" customHeight="1" x14ac:dyDescent="0.25">
      <c r="A121" s="62" t="s">
        <v>142</v>
      </c>
      <c r="B121" s="62" t="s">
        <v>146</v>
      </c>
      <c r="C121" s="62" t="s">
        <v>198</v>
      </c>
      <c r="D121" s="187" t="s">
        <v>200</v>
      </c>
      <c r="E121" s="188"/>
      <c r="F121" s="189"/>
      <c r="G121" s="63">
        <v>7</v>
      </c>
      <c r="H121" s="62" t="s">
        <v>152</v>
      </c>
      <c r="I121" s="63">
        <v>7</v>
      </c>
      <c r="J121" s="63" t="s">
        <v>110</v>
      </c>
      <c r="K121" s="57"/>
      <c r="O121" s="36"/>
      <c r="P121" s="36"/>
    </row>
    <row r="122" spans="1:29" s="37" customFormat="1" ht="14.1" customHeight="1" x14ac:dyDescent="0.25">
      <c r="A122" s="62" t="s">
        <v>142</v>
      </c>
      <c r="B122" s="62" t="s">
        <v>142</v>
      </c>
      <c r="C122" s="62" t="s">
        <v>201</v>
      </c>
      <c r="D122" s="187" t="s">
        <v>202</v>
      </c>
      <c r="E122" s="188"/>
      <c r="F122" s="189"/>
      <c r="G122" s="63">
        <v>40</v>
      </c>
      <c r="H122" s="62" t="s">
        <v>203</v>
      </c>
      <c r="I122" s="63" t="s">
        <v>153</v>
      </c>
      <c r="J122" s="63" t="s">
        <v>110</v>
      </c>
      <c r="K122" s="57"/>
      <c r="O122" s="36"/>
      <c r="P122" s="36"/>
    </row>
    <row r="123" spans="1:29" s="37" customFormat="1" ht="14.1" customHeight="1" x14ac:dyDescent="0.25">
      <c r="A123" s="62" t="s">
        <v>142</v>
      </c>
      <c r="B123" s="62" t="s">
        <v>49</v>
      </c>
      <c r="C123" s="62" t="s">
        <v>143</v>
      </c>
      <c r="D123" s="187" t="s">
        <v>204</v>
      </c>
      <c r="E123" s="188"/>
      <c r="F123" s="189"/>
      <c r="G123" s="63">
        <v>50</v>
      </c>
      <c r="H123" s="62" t="s">
        <v>49</v>
      </c>
      <c r="I123" s="63" t="s">
        <v>153</v>
      </c>
      <c r="J123" s="63" t="s">
        <v>110</v>
      </c>
      <c r="K123" s="57"/>
      <c r="L123" s="38"/>
      <c r="M123" s="38"/>
      <c r="N123" s="38"/>
      <c r="O123" s="36"/>
      <c r="P123" s="36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 spans="1:29" s="39" customFormat="1" ht="14.1" customHeight="1" x14ac:dyDescent="0.25">
      <c r="A124" s="62" t="s">
        <v>142</v>
      </c>
      <c r="B124" s="62" t="s">
        <v>49</v>
      </c>
      <c r="C124" s="62" t="s">
        <v>143</v>
      </c>
      <c r="D124" s="187" t="s">
        <v>205</v>
      </c>
      <c r="E124" s="188"/>
      <c r="F124" s="189"/>
      <c r="G124" s="63">
        <v>200</v>
      </c>
      <c r="H124" s="62" t="s">
        <v>206</v>
      </c>
      <c r="I124" s="63" t="s">
        <v>153</v>
      </c>
      <c r="J124" s="63" t="s">
        <v>110</v>
      </c>
      <c r="K124" s="57"/>
      <c r="O124" s="36"/>
      <c r="P124" s="36"/>
    </row>
    <row r="125" spans="1:29" s="39" customFormat="1" ht="14.1" customHeight="1" x14ac:dyDescent="0.25">
      <c r="A125" s="62" t="s">
        <v>142</v>
      </c>
      <c r="B125" s="62" t="s">
        <v>49</v>
      </c>
      <c r="C125" s="62" t="s">
        <v>143</v>
      </c>
      <c r="D125" s="187" t="s">
        <v>207</v>
      </c>
      <c r="E125" s="188"/>
      <c r="F125" s="189"/>
      <c r="G125" s="63">
        <v>250</v>
      </c>
      <c r="H125" s="62" t="s">
        <v>208</v>
      </c>
      <c r="I125" s="63">
        <v>100</v>
      </c>
      <c r="J125" s="63" t="s">
        <v>110</v>
      </c>
      <c r="K125" s="57"/>
      <c r="L125" s="38"/>
      <c r="M125" s="38"/>
      <c r="N125" s="38"/>
      <c r="O125" s="36"/>
      <c r="P125" s="36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 spans="1:29" s="38" customFormat="1" ht="14.1" customHeight="1" x14ac:dyDescent="0.25">
      <c r="A126" s="62" t="s">
        <v>142</v>
      </c>
      <c r="B126" s="62" t="s">
        <v>49</v>
      </c>
      <c r="C126" s="62" t="s">
        <v>201</v>
      </c>
      <c r="D126" s="187" t="s">
        <v>209</v>
      </c>
      <c r="E126" s="188"/>
      <c r="F126" s="189"/>
      <c r="G126" s="63" t="s">
        <v>210</v>
      </c>
      <c r="H126" s="62"/>
      <c r="I126" s="63" t="s">
        <v>153</v>
      </c>
      <c r="J126" s="63" t="s">
        <v>110</v>
      </c>
      <c r="K126" s="57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:29" s="36" customFormat="1" x14ac:dyDescent="0.25">
      <c r="A127" s="62" t="s">
        <v>142</v>
      </c>
      <c r="B127" s="62" t="s">
        <v>49</v>
      </c>
      <c r="C127" s="62" t="s">
        <v>201</v>
      </c>
      <c r="D127" s="187" t="s">
        <v>211</v>
      </c>
      <c r="E127" s="188"/>
      <c r="F127" s="189"/>
      <c r="G127" s="63" t="s">
        <v>212</v>
      </c>
      <c r="H127" s="62"/>
      <c r="I127" s="63" t="s">
        <v>153</v>
      </c>
      <c r="J127" s="63" t="s">
        <v>110</v>
      </c>
      <c r="K127" s="72"/>
    </row>
    <row r="128" spans="1:29" s="36" customFormat="1" x14ac:dyDescent="0.25">
      <c r="A128" s="62" t="s">
        <v>213</v>
      </c>
      <c r="B128" s="62" t="s">
        <v>49</v>
      </c>
      <c r="C128" s="62" t="s">
        <v>214</v>
      </c>
      <c r="D128" s="187" t="s">
        <v>215</v>
      </c>
      <c r="E128" s="188"/>
      <c r="F128" s="189"/>
      <c r="G128" s="63">
        <v>100</v>
      </c>
      <c r="H128" s="62" t="s">
        <v>49</v>
      </c>
      <c r="I128" s="63">
        <v>100</v>
      </c>
      <c r="J128" s="63" t="s">
        <v>110</v>
      </c>
      <c r="K128" s="72"/>
    </row>
    <row r="129" spans="1:11" s="36" customFormat="1" x14ac:dyDescent="0.25">
      <c r="A129" s="62" t="s">
        <v>213</v>
      </c>
      <c r="B129" s="62" t="s">
        <v>216</v>
      </c>
      <c r="C129" s="62" t="s">
        <v>147</v>
      </c>
      <c r="D129" s="187" t="s">
        <v>217</v>
      </c>
      <c r="E129" s="188"/>
      <c r="F129" s="189"/>
      <c r="G129" s="63">
        <v>50</v>
      </c>
      <c r="H129" s="62"/>
      <c r="I129" s="63">
        <v>50</v>
      </c>
      <c r="J129" s="63" t="s">
        <v>110</v>
      </c>
      <c r="K129" s="72"/>
    </row>
    <row r="130" spans="1:11" s="36" customFormat="1" x14ac:dyDescent="0.25">
      <c r="A130" s="62" t="s">
        <v>150</v>
      </c>
      <c r="B130" s="62" t="s">
        <v>49</v>
      </c>
      <c r="C130" s="62" t="s">
        <v>218</v>
      </c>
      <c r="D130" s="187" t="s">
        <v>219</v>
      </c>
      <c r="E130" s="188"/>
      <c r="F130" s="189"/>
      <c r="G130" s="69" t="s">
        <v>220</v>
      </c>
      <c r="H130" s="67" t="s">
        <v>49</v>
      </c>
      <c r="I130" s="69" t="s">
        <v>153</v>
      </c>
      <c r="J130" s="63" t="s">
        <v>110</v>
      </c>
      <c r="K130" s="72"/>
    </row>
    <row r="131" spans="1:11" s="36" customFormat="1" x14ac:dyDescent="0.25">
      <c r="A131" s="62" t="s">
        <v>221</v>
      </c>
      <c r="B131" s="62" t="s">
        <v>49</v>
      </c>
      <c r="C131" s="62" t="s">
        <v>201</v>
      </c>
      <c r="D131" s="187" t="s">
        <v>222</v>
      </c>
      <c r="E131" s="188"/>
      <c r="F131" s="189"/>
      <c r="G131" s="69" t="s">
        <v>220</v>
      </c>
      <c r="H131" s="67" t="s">
        <v>49</v>
      </c>
      <c r="I131" s="69" t="s">
        <v>153</v>
      </c>
      <c r="J131" s="63" t="s">
        <v>110</v>
      </c>
      <c r="K131" s="72"/>
    </row>
    <row r="132" spans="1:11" s="36" customFormat="1" x14ac:dyDescent="0.25">
      <c r="A132" s="62" t="s">
        <v>142</v>
      </c>
      <c r="B132" s="62" t="s">
        <v>49</v>
      </c>
      <c r="C132" s="62" t="s">
        <v>223</v>
      </c>
      <c r="D132" s="187" t="s">
        <v>224</v>
      </c>
      <c r="E132" s="188"/>
      <c r="F132" s="189"/>
      <c r="G132" s="63" t="s">
        <v>225</v>
      </c>
      <c r="H132" s="62"/>
      <c r="I132" s="63" t="s">
        <v>153</v>
      </c>
      <c r="J132" s="63" t="s">
        <v>110</v>
      </c>
      <c r="K132" s="72"/>
    </row>
    <row r="133" spans="1:11" s="36" customFormat="1" x14ac:dyDescent="0.25">
      <c r="A133" s="62" t="s">
        <v>142</v>
      </c>
      <c r="B133" s="62" t="s">
        <v>49</v>
      </c>
      <c r="C133" s="62" t="s">
        <v>226</v>
      </c>
      <c r="D133" s="187" t="s">
        <v>227</v>
      </c>
      <c r="E133" s="188"/>
      <c r="F133" s="189"/>
      <c r="G133" s="66">
        <v>150</v>
      </c>
      <c r="H133" s="62" t="s">
        <v>49</v>
      </c>
      <c r="I133" s="66">
        <v>150</v>
      </c>
      <c r="J133" s="63" t="s">
        <v>110</v>
      </c>
      <c r="K133" s="72"/>
    </row>
    <row r="134" spans="1:11" s="36" customFormat="1" x14ac:dyDescent="0.25">
      <c r="A134" s="62" t="s">
        <v>142</v>
      </c>
      <c r="B134" s="62" t="s">
        <v>49</v>
      </c>
      <c r="C134" s="62" t="s">
        <v>228</v>
      </c>
      <c r="D134" s="187" t="s">
        <v>229</v>
      </c>
      <c r="E134" s="188"/>
      <c r="F134" s="189"/>
      <c r="G134" s="66">
        <v>25</v>
      </c>
      <c r="H134" s="62" t="s">
        <v>230</v>
      </c>
      <c r="I134" s="66">
        <v>25</v>
      </c>
      <c r="J134" s="63" t="s">
        <v>110</v>
      </c>
      <c r="K134" s="72"/>
    </row>
    <row r="135" spans="1:11" s="36" customFormat="1" x14ac:dyDescent="0.25">
      <c r="A135" s="62" t="s">
        <v>142</v>
      </c>
      <c r="B135" s="62" t="s">
        <v>146</v>
      </c>
      <c r="C135" s="62" t="s">
        <v>198</v>
      </c>
      <c r="D135" s="187" t="s">
        <v>231</v>
      </c>
      <c r="E135" s="188"/>
      <c r="F135" s="189"/>
      <c r="G135" s="66" t="s">
        <v>232</v>
      </c>
      <c r="H135" s="62" t="s">
        <v>149</v>
      </c>
      <c r="I135" s="66" t="s">
        <v>153</v>
      </c>
      <c r="J135" s="63" t="s">
        <v>110</v>
      </c>
      <c r="K135" s="72"/>
    </row>
    <row r="136" spans="1:11" s="36" customFormat="1" x14ac:dyDescent="0.25">
      <c r="A136" s="62" t="s">
        <v>173</v>
      </c>
      <c r="B136" s="62" t="s">
        <v>146</v>
      </c>
      <c r="C136" s="62" t="s">
        <v>233</v>
      </c>
      <c r="D136" s="187" t="s">
        <v>234</v>
      </c>
      <c r="E136" s="188"/>
      <c r="F136" s="189"/>
      <c r="G136" s="66">
        <v>0.5</v>
      </c>
      <c r="H136" s="62" t="s">
        <v>235</v>
      </c>
      <c r="I136" s="66">
        <v>50</v>
      </c>
      <c r="J136" s="63" t="s">
        <v>110</v>
      </c>
      <c r="K136" s="72"/>
    </row>
    <row r="137" spans="1:11" s="36" customFormat="1" x14ac:dyDescent="0.25">
      <c r="A137" s="64" t="s">
        <v>173</v>
      </c>
      <c r="B137" s="64" t="s">
        <v>146</v>
      </c>
      <c r="C137" s="64" t="s">
        <v>233</v>
      </c>
      <c r="D137" s="187" t="s">
        <v>236</v>
      </c>
      <c r="E137" s="188"/>
      <c r="F137" s="189"/>
      <c r="G137" s="73">
        <v>0.5</v>
      </c>
      <c r="H137" s="64" t="s">
        <v>235</v>
      </c>
      <c r="I137" s="73">
        <v>50</v>
      </c>
      <c r="J137" s="63" t="s">
        <v>110</v>
      </c>
      <c r="K137" s="72"/>
    </row>
    <row r="138" spans="1:11" s="36" customFormat="1" x14ac:dyDescent="0.25">
      <c r="A138" s="62" t="s">
        <v>173</v>
      </c>
      <c r="B138" s="62" t="s">
        <v>146</v>
      </c>
      <c r="C138" s="62" t="s">
        <v>201</v>
      </c>
      <c r="D138" s="187" t="s">
        <v>237</v>
      </c>
      <c r="E138" s="188"/>
      <c r="F138" s="189"/>
      <c r="G138" s="66" t="s">
        <v>238</v>
      </c>
      <c r="H138" s="62" t="s">
        <v>235</v>
      </c>
      <c r="I138" s="66">
        <v>50</v>
      </c>
      <c r="J138" s="63" t="s">
        <v>110</v>
      </c>
      <c r="K138" s="72"/>
    </row>
    <row r="139" spans="1:11" s="36" customFormat="1" x14ac:dyDescent="0.25">
      <c r="A139" s="62" t="s">
        <v>239</v>
      </c>
      <c r="B139" s="62" t="s">
        <v>49</v>
      </c>
      <c r="C139" s="62" t="s">
        <v>143</v>
      </c>
      <c r="D139" s="187" t="s">
        <v>240</v>
      </c>
      <c r="E139" s="188"/>
      <c r="F139" s="189"/>
      <c r="G139" s="69" t="s">
        <v>220</v>
      </c>
      <c r="H139" s="67" t="s">
        <v>49</v>
      </c>
      <c r="I139" s="69" t="s">
        <v>153</v>
      </c>
      <c r="J139" s="63" t="s">
        <v>110</v>
      </c>
      <c r="K139" s="72"/>
    </row>
    <row r="140" spans="1:11" s="36" customFormat="1" x14ac:dyDescent="0.25">
      <c r="A140" s="62" t="s">
        <v>142</v>
      </c>
      <c r="B140" s="62" t="s">
        <v>142</v>
      </c>
      <c r="C140" s="62" t="s">
        <v>147</v>
      </c>
      <c r="D140" s="187" t="s">
        <v>241</v>
      </c>
      <c r="E140" s="188"/>
      <c r="F140" s="189"/>
      <c r="G140" s="66" t="s">
        <v>242</v>
      </c>
      <c r="H140" s="62"/>
      <c r="I140" s="66">
        <v>15</v>
      </c>
      <c r="J140" s="63" t="s">
        <v>110</v>
      </c>
      <c r="K140" s="72"/>
    </row>
    <row r="141" spans="1:11" s="36" customFormat="1" x14ac:dyDescent="0.25">
      <c r="A141" s="62" t="s">
        <v>243</v>
      </c>
      <c r="B141" s="62" t="s">
        <v>49</v>
      </c>
      <c r="C141" s="62" t="s">
        <v>143</v>
      </c>
      <c r="D141" s="187" t="s">
        <v>244</v>
      </c>
      <c r="E141" s="188"/>
      <c r="F141" s="189"/>
      <c r="G141" s="66">
        <v>200</v>
      </c>
      <c r="H141" s="62" t="s">
        <v>49</v>
      </c>
      <c r="I141" s="63">
        <v>200</v>
      </c>
      <c r="J141" s="63" t="s">
        <v>110</v>
      </c>
      <c r="K141" s="72"/>
    </row>
    <row r="142" spans="1:11" s="36" customFormat="1" x14ac:dyDescent="0.25">
      <c r="A142" s="62" t="s">
        <v>245</v>
      </c>
      <c r="B142" s="62" t="s">
        <v>49</v>
      </c>
      <c r="C142" s="62" t="s">
        <v>143</v>
      </c>
      <c r="D142" s="187" t="s">
        <v>246</v>
      </c>
      <c r="E142" s="188"/>
      <c r="F142" s="189"/>
      <c r="G142" s="66">
        <v>250</v>
      </c>
      <c r="H142" s="62" t="s">
        <v>49</v>
      </c>
      <c r="I142" s="63">
        <v>100</v>
      </c>
      <c r="J142" s="63" t="s">
        <v>110</v>
      </c>
      <c r="K142" s="72"/>
    </row>
    <row r="143" spans="1:11" s="36" customFormat="1" x14ac:dyDescent="0.25">
      <c r="A143" s="62" t="s">
        <v>247</v>
      </c>
      <c r="B143" s="62" t="s">
        <v>49</v>
      </c>
      <c r="C143" s="62" t="s">
        <v>143</v>
      </c>
      <c r="D143" s="187" t="s">
        <v>248</v>
      </c>
      <c r="E143" s="188"/>
      <c r="F143" s="189"/>
      <c r="G143" s="63">
        <v>250</v>
      </c>
      <c r="H143" s="62" t="s">
        <v>49</v>
      </c>
      <c r="I143" s="63">
        <v>200</v>
      </c>
      <c r="J143" s="63" t="s">
        <v>110</v>
      </c>
      <c r="K143" s="72"/>
    </row>
    <row r="144" spans="1:11" s="36" customFormat="1" x14ac:dyDescent="0.25">
      <c r="A144" s="62" t="s">
        <v>142</v>
      </c>
      <c r="B144" s="62" t="s">
        <v>49</v>
      </c>
      <c r="C144" s="62" t="s">
        <v>143</v>
      </c>
      <c r="D144" s="187" t="s">
        <v>249</v>
      </c>
      <c r="E144" s="188"/>
      <c r="F144" s="189"/>
      <c r="G144" s="63"/>
      <c r="H144" s="62" t="s">
        <v>49</v>
      </c>
      <c r="I144" s="63" t="s">
        <v>153</v>
      </c>
      <c r="J144" s="63" t="s">
        <v>110</v>
      </c>
      <c r="K144" s="72"/>
    </row>
    <row r="145" spans="1:11" s="36" customFormat="1" x14ac:dyDescent="0.25">
      <c r="A145" s="62" t="s">
        <v>250</v>
      </c>
      <c r="B145" s="62" t="s">
        <v>49</v>
      </c>
      <c r="C145" s="62" t="s">
        <v>143</v>
      </c>
      <c r="D145" s="187" t="s">
        <v>251</v>
      </c>
      <c r="E145" s="188"/>
      <c r="F145" s="189"/>
      <c r="G145" s="66">
        <v>350</v>
      </c>
      <c r="H145" s="62" t="s">
        <v>49</v>
      </c>
      <c r="I145" s="63">
        <v>350</v>
      </c>
      <c r="J145" s="63" t="s">
        <v>110</v>
      </c>
      <c r="K145" s="72"/>
    </row>
    <row r="146" spans="1:11" s="36" customFormat="1" x14ac:dyDescent="0.25">
      <c r="A146" s="118"/>
      <c r="B146" s="118"/>
      <c r="C146" s="118"/>
      <c r="D146" s="119"/>
      <c r="E146" s="119"/>
      <c r="F146" s="119"/>
      <c r="G146" s="120"/>
      <c r="H146" s="118"/>
      <c r="I146" s="121"/>
      <c r="J146" s="121"/>
      <c r="K146" s="72"/>
    </row>
    <row r="147" spans="1:11" s="36" customFormat="1" x14ac:dyDescent="0.25">
      <c r="A147" s="180" t="s">
        <v>72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72"/>
    </row>
    <row r="148" spans="1:11" s="36" customFormat="1" x14ac:dyDescent="0.25">
      <c r="A148" s="186" t="s">
        <v>67</v>
      </c>
      <c r="B148" s="186"/>
      <c r="C148" s="186"/>
      <c r="D148" s="186"/>
      <c r="E148" s="186" t="s">
        <v>68</v>
      </c>
      <c r="F148" s="186"/>
      <c r="G148" s="186"/>
      <c r="H148" s="186"/>
      <c r="I148" s="186"/>
      <c r="J148" s="186"/>
      <c r="K148" s="72"/>
    </row>
    <row r="149" spans="1:11" s="36" customFormat="1" x14ac:dyDescent="0.25">
      <c r="A149" s="185" t="s">
        <v>73</v>
      </c>
      <c r="B149" s="185"/>
      <c r="C149" s="185"/>
      <c r="D149" s="185"/>
      <c r="E149" s="185" t="s">
        <v>254</v>
      </c>
      <c r="F149" s="185"/>
      <c r="G149" s="185"/>
      <c r="H149" s="185"/>
      <c r="I149" s="185"/>
      <c r="J149" s="185"/>
      <c r="K149" s="72"/>
    </row>
    <row r="150" spans="1:11" s="36" customFormat="1" ht="15" customHeight="1" x14ac:dyDescent="0.25">
      <c r="A150" s="185" t="s">
        <v>252</v>
      </c>
      <c r="B150" s="185"/>
      <c r="C150" s="185"/>
      <c r="D150" s="185"/>
      <c r="E150" s="185" t="s">
        <v>253</v>
      </c>
      <c r="F150" s="185"/>
      <c r="G150" s="185"/>
      <c r="H150" s="185"/>
      <c r="I150" s="185"/>
      <c r="J150" s="185"/>
      <c r="K150" s="72"/>
    </row>
    <row r="151" spans="1:11" s="36" customFormat="1" ht="15" customHeight="1" x14ac:dyDescent="0.25">
      <c r="A151" s="185" t="s">
        <v>74</v>
      </c>
      <c r="B151" s="185"/>
      <c r="C151" s="185"/>
      <c r="D151" s="185"/>
      <c r="E151" s="185" t="s">
        <v>75</v>
      </c>
      <c r="F151" s="185"/>
      <c r="G151" s="185"/>
      <c r="H151" s="185"/>
      <c r="I151" s="185"/>
      <c r="J151" s="185"/>
      <c r="K151" s="72"/>
    </row>
    <row r="152" spans="1:11" s="36" customFormat="1" x14ac:dyDescent="0.25">
      <c r="A152" s="185" t="s">
        <v>76</v>
      </c>
      <c r="B152" s="185"/>
      <c r="C152" s="185"/>
      <c r="D152" s="185"/>
      <c r="E152" s="185" t="s">
        <v>77</v>
      </c>
      <c r="F152" s="185"/>
      <c r="G152" s="185"/>
      <c r="H152" s="185"/>
      <c r="I152" s="185"/>
      <c r="J152" s="185"/>
      <c r="K152" s="72"/>
    </row>
    <row r="153" spans="1:11" s="36" customFormat="1" ht="15" customHeight="1" x14ac:dyDescent="0.25">
      <c r="A153" s="185" t="s">
        <v>78</v>
      </c>
      <c r="B153" s="185"/>
      <c r="C153" s="185"/>
      <c r="D153" s="185"/>
      <c r="E153" s="185" t="s">
        <v>79</v>
      </c>
      <c r="F153" s="185"/>
      <c r="G153" s="185"/>
      <c r="H153" s="185"/>
      <c r="I153" s="185"/>
      <c r="J153" s="185"/>
      <c r="K153" s="72"/>
    </row>
    <row r="154" spans="1:11" s="36" customFormat="1" ht="15" customHeight="1" x14ac:dyDescent="0.25">
      <c r="A154" s="180" t="s">
        <v>89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72"/>
    </row>
    <row r="155" spans="1:11" s="36" customFormat="1" x14ac:dyDescent="0.25">
      <c r="A155" s="181" t="s">
        <v>80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72"/>
    </row>
    <row r="156" spans="1:11" s="36" customFormat="1" ht="15" customHeight="1" x14ac:dyDescent="0.2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72"/>
    </row>
    <row r="157" spans="1:11" s="36" customFormat="1" x14ac:dyDescent="0.25">
      <c r="A157" s="182" t="s">
        <v>90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72"/>
    </row>
    <row r="158" spans="1:11" s="36" customFormat="1" ht="15" customHeight="1" x14ac:dyDescent="0.25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72"/>
    </row>
    <row r="159" spans="1:11" s="42" customFormat="1" ht="13.9" customHeight="1" x14ac:dyDescent="0.25">
      <c r="A159" s="183" t="s">
        <v>353</v>
      </c>
      <c r="B159" s="183"/>
      <c r="C159" s="183"/>
      <c r="D159" s="183"/>
      <c r="E159" s="183"/>
      <c r="F159" s="183"/>
      <c r="G159" s="183"/>
      <c r="H159" s="183"/>
      <c r="I159" s="183"/>
      <c r="J159" s="48"/>
    </row>
    <row r="160" spans="1:11" s="49" customFormat="1" ht="13.9" customHeight="1" x14ac:dyDescent="0.25">
      <c r="A160" s="184" t="s">
        <v>354</v>
      </c>
      <c r="B160" s="184"/>
      <c r="C160" s="184"/>
      <c r="D160" s="184"/>
      <c r="E160" s="184"/>
      <c r="F160" s="184"/>
      <c r="G160" s="184"/>
      <c r="H160" s="184"/>
      <c r="I160" s="184"/>
      <c r="J160" s="48"/>
    </row>
    <row r="161" spans="10:10" x14ac:dyDescent="0.25">
      <c r="J161" s="48"/>
    </row>
    <row r="162" spans="10:10" x14ac:dyDescent="0.25">
      <c r="J162" s="48"/>
    </row>
    <row r="163" spans="10:10" x14ac:dyDescent="0.25">
      <c r="J163" s="48"/>
    </row>
  </sheetData>
  <protectedRanges>
    <protectedRange algorithmName="SHA-512" hashValue="VF6HSW3Iy4xJ9rvYE/9xGHEoimGCygSu8D4FeqmdsD954MzAHwkkxLcwSP9Q5ui8KTGpWBzFAFpp2yGVfuii3Q==" saltValue="Ht0jMOW+8eakbuvlYpVr7Q==" spinCount="100000" sqref="G38:J43 G55:J61 G30:J32 G34:J36 G13:J28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4:J44 G46:J49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1:J53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80:WWE80" xr:uid="{FA694B6A-433F-4FA4-84BF-050781CB5F76}">
    <filterColumn colId="3" showButton="0"/>
    <filterColumn colId="4" showButton="0"/>
  </autoFilter>
  <mergeCells count="148">
    <mergeCell ref="A160:I160"/>
    <mergeCell ref="A153:D153"/>
    <mergeCell ref="E153:J153"/>
    <mergeCell ref="A154:J154"/>
    <mergeCell ref="A155:J156"/>
    <mergeCell ref="A157:J158"/>
    <mergeCell ref="A159:I159"/>
    <mergeCell ref="A150:D150"/>
    <mergeCell ref="E150:J150"/>
    <mergeCell ref="A151:D151"/>
    <mergeCell ref="E151:J151"/>
    <mergeCell ref="A152:D152"/>
    <mergeCell ref="E152:J152"/>
    <mergeCell ref="D145:F145"/>
    <mergeCell ref="A147:J147"/>
    <mergeCell ref="A148:D148"/>
    <mergeCell ref="E148:J148"/>
    <mergeCell ref="A149:D149"/>
    <mergeCell ref="E149:J149"/>
    <mergeCell ref="D139:F139"/>
    <mergeCell ref="D140:F140"/>
    <mergeCell ref="D141:F141"/>
    <mergeCell ref="D142:F142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21:F121"/>
    <mergeCell ref="D122:F122"/>
    <mergeCell ref="D123:F123"/>
    <mergeCell ref="D124:F124"/>
    <mergeCell ref="D125:F125"/>
    <mergeCell ref="D126:F126"/>
    <mergeCell ref="D115:F115"/>
    <mergeCell ref="D116:F116"/>
    <mergeCell ref="D117:F117"/>
    <mergeCell ref="D118:F118"/>
    <mergeCell ref="D119:F119"/>
    <mergeCell ref="D120:F120"/>
    <mergeCell ref="D109:F109"/>
    <mergeCell ref="D110:F110"/>
    <mergeCell ref="D111:F111"/>
    <mergeCell ref="D112:F112"/>
    <mergeCell ref="D113:F113"/>
    <mergeCell ref="D114:F114"/>
    <mergeCell ref="D103:F103"/>
    <mergeCell ref="D104:F104"/>
    <mergeCell ref="D105:F105"/>
    <mergeCell ref="D106:F106"/>
    <mergeCell ref="D107:F107"/>
    <mergeCell ref="D108:F108"/>
    <mergeCell ref="D97:F97"/>
    <mergeCell ref="D98:F98"/>
    <mergeCell ref="D99:F99"/>
    <mergeCell ref="D100:F100"/>
    <mergeCell ref="D101:F101"/>
    <mergeCell ref="D102:F102"/>
    <mergeCell ref="D91:F91"/>
    <mergeCell ref="D92:F92"/>
    <mergeCell ref="D93:F93"/>
    <mergeCell ref="D94:F94"/>
    <mergeCell ref="D95:F95"/>
    <mergeCell ref="D96:F96"/>
    <mergeCell ref="D85:F85"/>
    <mergeCell ref="D86:F86"/>
    <mergeCell ref="D87:F87"/>
    <mergeCell ref="D88:F88"/>
    <mergeCell ref="D89:F89"/>
    <mergeCell ref="D90:F90"/>
    <mergeCell ref="A79:J79"/>
    <mergeCell ref="D80:F80"/>
    <mergeCell ref="D81:F81"/>
    <mergeCell ref="D82:F82"/>
    <mergeCell ref="D83:F83"/>
    <mergeCell ref="D84:F84"/>
    <mergeCell ref="A77:D77"/>
    <mergeCell ref="G77:J77"/>
    <mergeCell ref="L77:Q77"/>
    <mergeCell ref="A78:D78"/>
    <mergeCell ref="E78:J78"/>
    <mergeCell ref="L78:Q78"/>
    <mergeCell ref="A75:D75"/>
    <mergeCell ref="F75:J75"/>
    <mergeCell ref="L75:Q75"/>
    <mergeCell ref="A76:D76"/>
    <mergeCell ref="G76:J76"/>
    <mergeCell ref="L76:Q76"/>
    <mergeCell ref="L72:Q72"/>
    <mergeCell ref="A73:D73"/>
    <mergeCell ref="F73:J73"/>
    <mergeCell ref="L73:Q73"/>
    <mergeCell ref="A74:D74"/>
    <mergeCell ref="F74:J74"/>
    <mergeCell ref="L74:Q74"/>
    <mergeCell ref="A70:D70"/>
    <mergeCell ref="F70:J70"/>
    <mergeCell ref="A71:D71"/>
    <mergeCell ref="F71:J71"/>
    <mergeCell ref="A72:D72"/>
    <mergeCell ref="F72:J72"/>
    <mergeCell ref="A67:D67"/>
    <mergeCell ref="F67:J67"/>
    <mergeCell ref="L67:Q67"/>
    <mergeCell ref="A68:D68"/>
    <mergeCell ref="F68:J68"/>
    <mergeCell ref="A69:D69"/>
    <mergeCell ref="F69:J69"/>
    <mergeCell ref="A65:D65"/>
    <mergeCell ref="E65:J65"/>
    <mergeCell ref="L65:Q65"/>
    <mergeCell ref="A66:D66"/>
    <mergeCell ref="F66:J66"/>
    <mergeCell ref="L66:Q66"/>
    <mergeCell ref="E45:F45"/>
    <mergeCell ref="E50:F50"/>
    <mergeCell ref="E54:F54"/>
    <mergeCell ref="A61:J61"/>
    <mergeCell ref="A63:J63"/>
    <mergeCell ref="A64:J64"/>
    <mergeCell ref="Y10:AB10"/>
    <mergeCell ref="E11:F11"/>
    <mergeCell ref="E12:F12"/>
    <mergeCell ref="E29:F29"/>
    <mergeCell ref="E33:F33"/>
    <mergeCell ref="E37:F37"/>
    <mergeCell ref="B6:C6"/>
    <mergeCell ref="G6:I6"/>
    <mergeCell ref="E8:I8"/>
    <mergeCell ref="A10:J10"/>
    <mergeCell ref="N10:R10"/>
    <mergeCell ref="S10:X10"/>
    <mergeCell ref="A1:B1"/>
    <mergeCell ref="C2:G2"/>
    <mergeCell ref="B3:H3"/>
    <mergeCell ref="B4:C4"/>
    <mergeCell ref="G4:I4"/>
    <mergeCell ref="B5:C5"/>
    <mergeCell ref="G5:I5"/>
  </mergeCells>
  <hyperlinks>
    <hyperlink ref="G6" r:id="rId1" xr:uid="{BA9D102A-2B71-49AF-AB2F-042ADE65966D}"/>
    <hyperlink ref="G4" r:id="rId2" display="jchang.lax@oecgroup.com" xr:uid="{5CA4EFA9-D7CD-4F12-98B9-0EB8F843D856}"/>
  </hyperlinks>
  <pageMargins left="0.35" right="0.35" top="0.35" bottom="0.35" header="0.3" footer="0.3"/>
  <pageSetup scale="48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427856-03B0-4F45-B0DD-D3DE3D5C65A6}">
          <x14:formula1>
            <xm:f>'C:\Users\twang\AppData\Local\Microsoft\Windows\Temporary Internet Files\Content.Outlook\U7WJNCNV\[QUOTE TEMPLATE 05-01-21.xltx]Sheet1'!#REF!</xm:f>
          </x14:formula1>
          <xm:sqref>C30:C32 C55:C60 Q13:Q14 C13:C28 C38:C44 C34:C36 C46:C49</xm:sqref>
        </x14:dataValidation>
        <x14:dataValidation type="list" allowBlank="1" showInputMessage="1" showErrorMessage="1" xr:uid="{F284840E-0BA7-4E57-AE2D-1119E399531D}">
          <x14:formula1>
            <xm:f>'C:\Users\twang\AppData\Local\Microsoft\Windows\Temporary Internet Files\Content.Outlook\U7WJNCNV\[QUOTE TEMPLATE 05-01-21.xltx]Sheet1'!#REF!</xm:f>
          </x14:formula1>
          <xm:sqref>E72:E73 E75:E77 E46:E49 E30:E32 E13:E28 E38:E44 E55:E60 E34:E36 E66:E69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864A-D237-47D8-BD2B-FA5EC60C863B}">
  <sheetPr>
    <pageSetUpPr fitToPage="1"/>
  </sheetPr>
  <dimension ref="A1:AC163"/>
  <sheetViews>
    <sheetView topLeftCell="A24" zoomScale="90" zoomScaleNormal="90" zoomScaleSheetLayoutView="82" workbookViewId="0">
      <pane xSplit="4" topLeftCell="I1" activePane="topRight" state="frozen"/>
      <selection activeCell="A19" sqref="A19"/>
      <selection pane="topRight" activeCell="A34" sqref="A34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44666</v>
      </c>
      <c r="C8" s="45" t="s">
        <v>91</v>
      </c>
      <c r="D8" s="44">
        <v>44681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308</v>
      </c>
      <c r="E13" s="96" t="s">
        <v>114</v>
      </c>
      <c r="F13" s="97" t="s">
        <v>270</v>
      </c>
      <c r="G13" s="98">
        <f>CEILING(S13+W13+X13+O13+N13+Y13,10)</f>
        <v>9230</v>
      </c>
      <c r="H13" s="99">
        <f>CEILING(T13+W13+X13+O13+N13+Z13,10)</f>
        <v>10110</v>
      </c>
      <c r="I13" s="99">
        <f>CEILING(U13+W13+X13+O13+N13+AA13,10)</f>
        <v>10110</v>
      </c>
      <c r="J13" s="99">
        <f>CEILING(V13+W13+X13+O13+N13+AB13,10)</f>
        <v>12460</v>
      </c>
      <c r="K13" s="57"/>
      <c r="L13" s="100" t="s">
        <v>272</v>
      </c>
      <c r="M13" s="52" t="s">
        <v>292</v>
      </c>
      <c r="N13" s="40">
        <v>0</v>
      </c>
      <c r="O13" s="53">
        <f>VLOOKUP(B13,DRAYAGE!$A$1:$C$107,3,FALSE)</f>
        <v>1310</v>
      </c>
      <c r="P13" s="40" t="s">
        <v>347</v>
      </c>
      <c r="S13" s="101">
        <f t="shared" ref="S13:S28" si="0">0.9*T13</f>
        <v>7920</v>
      </c>
      <c r="T13" s="54">
        <v>8800</v>
      </c>
      <c r="U13" s="103">
        <f>T13</f>
        <v>8800</v>
      </c>
      <c r="V13" s="104">
        <f>U13*1.266</f>
        <v>11140.8</v>
      </c>
      <c r="X13" s="40">
        <v>0</v>
      </c>
    </row>
    <row r="14" spans="1:29" s="40" customFormat="1" ht="14.45" customHeight="1" x14ac:dyDescent="0.25">
      <c r="A14" s="133" t="s">
        <v>55</v>
      </c>
      <c r="B14" s="51" t="s">
        <v>338</v>
      </c>
      <c r="C14" s="94" t="s">
        <v>54</v>
      </c>
      <c r="D14" s="95" t="s">
        <v>308</v>
      </c>
      <c r="E14" s="96" t="s">
        <v>114</v>
      </c>
      <c r="F14" s="97" t="s">
        <v>270</v>
      </c>
      <c r="G14" s="98">
        <f t="shared" ref="G14:G19" si="1">CEILING(S14+W14+X14+O14+N14+Y14,10)</f>
        <v>9230</v>
      </c>
      <c r="H14" s="99">
        <f t="shared" ref="H14:H19" si="2">CEILING(T14+W14+X14+O14+N14+Z14,10)</f>
        <v>10110</v>
      </c>
      <c r="I14" s="99">
        <f t="shared" ref="I14:I19" si="3">CEILING(U14+W14+X14+O14+N14+AA14,10)</f>
        <v>10110</v>
      </c>
      <c r="J14" s="99">
        <f t="shared" ref="J14:J19" si="4">CEILING(V14+W14+X14+O14+N14+AB14,10)</f>
        <v>12460</v>
      </c>
      <c r="K14" s="57"/>
      <c r="L14" s="100" t="s">
        <v>272</v>
      </c>
      <c r="M14" s="52" t="s">
        <v>292</v>
      </c>
      <c r="N14" s="40">
        <v>0</v>
      </c>
      <c r="O14" s="53">
        <f>VLOOKUP(B14,DRAYAGE!$A$1:$C$107,3,FALSE)</f>
        <v>1310</v>
      </c>
      <c r="P14" s="40" t="s">
        <v>347</v>
      </c>
      <c r="S14" s="101">
        <f t="shared" si="0"/>
        <v>7920</v>
      </c>
      <c r="T14" s="54">
        <v>8800</v>
      </c>
      <c r="U14" s="103">
        <f t="shared" ref="U14:U60" si="5">T14</f>
        <v>8800</v>
      </c>
      <c r="V14" s="104">
        <f t="shared" ref="V14:V19" si="6">U14*1.266</f>
        <v>11140.8</v>
      </c>
      <c r="X14" s="40">
        <v>0</v>
      </c>
    </row>
    <row r="15" spans="1:29" s="40" customFormat="1" ht="14.45" customHeight="1" x14ac:dyDescent="0.25">
      <c r="A15" s="133" t="s">
        <v>56</v>
      </c>
      <c r="B15" s="51" t="s">
        <v>338</v>
      </c>
      <c r="C15" s="94" t="s">
        <v>54</v>
      </c>
      <c r="D15" s="95" t="s">
        <v>308</v>
      </c>
      <c r="E15" s="96" t="s">
        <v>114</v>
      </c>
      <c r="F15" s="97" t="s">
        <v>270</v>
      </c>
      <c r="G15" s="98">
        <f t="shared" si="1"/>
        <v>11660</v>
      </c>
      <c r="H15" s="99">
        <f t="shared" si="2"/>
        <v>12810</v>
      </c>
      <c r="I15" s="99">
        <f t="shared" si="3"/>
        <v>12810</v>
      </c>
      <c r="J15" s="99">
        <f t="shared" si="4"/>
        <v>15870</v>
      </c>
      <c r="K15" s="57"/>
      <c r="L15" s="100" t="s">
        <v>272</v>
      </c>
      <c r="M15" s="52" t="s">
        <v>292</v>
      </c>
      <c r="N15" s="40">
        <v>0</v>
      </c>
      <c r="O15" s="53">
        <f>VLOOKUP(B15,DRAYAGE!$A$1:$C$107,3,FALSE)</f>
        <v>1310</v>
      </c>
      <c r="P15" s="40" t="s">
        <v>347</v>
      </c>
      <c r="S15" s="101">
        <f t="shared" si="0"/>
        <v>10350</v>
      </c>
      <c r="T15" s="54">
        <v>11500</v>
      </c>
      <c r="U15" s="103">
        <f t="shared" si="5"/>
        <v>11500</v>
      </c>
      <c r="V15" s="104">
        <f t="shared" si="6"/>
        <v>14559</v>
      </c>
      <c r="X15" s="40">
        <v>0</v>
      </c>
    </row>
    <row r="16" spans="1:29" s="40" customFormat="1" ht="14.45" customHeight="1" x14ac:dyDescent="0.25">
      <c r="A16" s="133" t="s">
        <v>57</v>
      </c>
      <c r="B16" s="51" t="s">
        <v>338</v>
      </c>
      <c r="C16" s="94" t="s">
        <v>54</v>
      </c>
      <c r="D16" s="95" t="s">
        <v>308</v>
      </c>
      <c r="E16" s="96" t="s">
        <v>114</v>
      </c>
      <c r="F16" s="97" t="s">
        <v>270</v>
      </c>
      <c r="G16" s="98">
        <f t="shared" si="1"/>
        <v>13910</v>
      </c>
      <c r="H16" s="99">
        <f t="shared" si="2"/>
        <v>15310</v>
      </c>
      <c r="I16" s="99">
        <f t="shared" si="3"/>
        <v>15310</v>
      </c>
      <c r="J16" s="99">
        <f t="shared" si="4"/>
        <v>19040</v>
      </c>
      <c r="K16" s="57"/>
      <c r="L16" s="100" t="s">
        <v>272</v>
      </c>
      <c r="M16" s="52" t="s">
        <v>292</v>
      </c>
      <c r="N16" s="40">
        <v>0</v>
      </c>
      <c r="O16" s="53">
        <f>VLOOKUP(B16,DRAYAGE!$A$1:$C$107,3,FALSE)</f>
        <v>1310</v>
      </c>
      <c r="P16" s="40" t="s">
        <v>347</v>
      </c>
      <c r="S16" s="101">
        <f t="shared" si="0"/>
        <v>12600</v>
      </c>
      <c r="T16" s="54">
        <v>14000</v>
      </c>
      <c r="U16" s="103">
        <f t="shared" si="5"/>
        <v>14000</v>
      </c>
      <c r="V16" s="104">
        <f t="shared" si="6"/>
        <v>17724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308</v>
      </c>
      <c r="E17" s="96" t="s">
        <v>114</v>
      </c>
      <c r="F17" s="97" t="s">
        <v>270</v>
      </c>
      <c r="G17" s="98">
        <f>CEILING(S17+W17+X17+O17+N17+Y17,10)</f>
        <v>13910</v>
      </c>
      <c r="H17" s="99">
        <f>CEILING(T17+W17+X17+O17+N17+Z17,10)</f>
        <v>15310</v>
      </c>
      <c r="I17" s="99">
        <f>CEILING(U17+W17+X17+O17+N17+AA17,10)</f>
        <v>15310</v>
      </c>
      <c r="J17" s="99">
        <f>CEILING(V17+W17+X17+O17+N17+AB17,10)</f>
        <v>19040</v>
      </c>
      <c r="K17" s="57"/>
      <c r="L17" s="100" t="s">
        <v>272</v>
      </c>
      <c r="M17" s="52" t="s">
        <v>292</v>
      </c>
      <c r="N17" s="40">
        <v>0</v>
      </c>
      <c r="O17" s="53">
        <f>VLOOKUP(B17,DRAYAGE!$A$1:$C$107,3,FALSE)</f>
        <v>1310</v>
      </c>
      <c r="P17" s="40" t="s">
        <v>347</v>
      </c>
      <c r="S17" s="101">
        <f>0.9*T17</f>
        <v>12600</v>
      </c>
      <c r="T17" s="54">
        <v>14000</v>
      </c>
      <c r="U17" s="103">
        <f>T17</f>
        <v>14000</v>
      </c>
      <c r="V17" s="104">
        <f>U17*1.266</f>
        <v>17724</v>
      </c>
      <c r="X17" s="40">
        <v>0</v>
      </c>
    </row>
    <row r="18" spans="1:29" s="40" customFormat="1" ht="18.75" x14ac:dyDescent="0.25">
      <c r="A18" s="144" t="s">
        <v>366</v>
      </c>
      <c r="B18" s="51" t="s">
        <v>338</v>
      </c>
      <c r="C18" s="94" t="s">
        <v>54</v>
      </c>
      <c r="D18" s="95" t="s">
        <v>308</v>
      </c>
      <c r="E18" s="96" t="s">
        <v>114</v>
      </c>
      <c r="F18" s="97" t="s">
        <v>270</v>
      </c>
      <c r="G18" s="98">
        <f>CEILING(S18+W18+X18+O18+N18+Y18,10)</f>
        <v>14680</v>
      </c>
      <c r="H18" s="99">
        <f>CEILING(T18+W18+X18+O18+N18+Z18,10)</f>
        <v>16160</v>
      </c>
      <c r="I18" s="99">
        <f>CEILING(U18+W18+X18+O18+N18+AA18,10)</f>
        <v>16160</v>
      </c>
      <c r="J18" s="99">
        <f>CEILING(V18+W18+X18+O18+N18+AB18,10)</f>
        <v>20120</v>
      </c>
      <c r="K18" s="57"/>
      <c r="L18" s="100" t="s">
        <v>272</v>
      </c>
      <c r="M18" s="52" t="s">
        <v>292</v>
      </c>
      <c r="N18" s="40">
        <v>0</v>
      </c>
      <c r="O18" s="53">
        <f>VLOOKUP(B18,DRAYAGE!$A$1:$C$107,3,FALSE)</f>
        <v>1310</v>
      </c>
      <c r="P18" s="40" t="s">
        <v>347</v>
      </c>
      <c r="S18" s="101">
        <f>0.9*T18</f>
        <v>13365</v>
      </c>
      <c r="T18" s="54">
        <f>T16+850</f>
        <v>14850</v>
      </c>
      <c r="U18" s="103">
        <f>T18</f>
        <v>14850</v>
      </c>
      <c r="V18" s="104">
        <f>U18*1.266</f>
        <v>18800.099999999999</v>
      </c>
      <c r="X18" s="40">
        <v>0</v>
      </c>
    </row>
    <row r="19" spans="1:29" s="40" customFormat="1" ht="14.45" customHeight="1" x14ac:dyDescent="0.25">
      <c r="A19" s="133" t="s">
        <v>59</v>
      </c>
      <c r="B19" s="51" t="s">
        <v>338</v>
      </c>
      <c r="C19" s="94" t="s">
        <v>54</v>
      </c>
      <c r="D19" s="95" t="s">
        <v>308</v>
      </c>
      <c r="E19" s="96" t="s">
        <v>114</v>
      </c>
      <c r="F19" s="97" t="s">
        <v>270</v>
      </c>
      <c r="G19" s="98">
        <f t="shared" si="1"/>
        <v>9410</v>
      </c>
      <c r="H19" s="99">
        <f t="shared" si="2"/>
        <v>10310</v>
      </c>
      <c r="I19" s="99">
        <f t="shared" si="3"/>
        <v>10310</v>
      </c>
      <c r="J19" s="99">
        <f t="shared" si="4"/>
        <v>12710</v>
      </c>
      <c r="K19" s="57"/>
      <c r="L19" s="100" t="s">
        <v>272</v>
      </c>
      <c r="M19" s="52" t="s">
        <v>292</v>
      </c>
      <c r="N19" s="40">
        <v>0</v>
      </c>
      <c r="O19" s="53">
        <f>VLOOKUP(B19,DRAYAGE!$A$1:$C$107,3,FALSE)</f>
        <v>1310</v>
      </c>
      <c r="P19" s="40" t="s">
        <v>347</v>
      </c>
      <c r="S19" s="101">
        <f t="shared" si="0"/>
        <v>8100</v>
      </c>
      <c r="T19" s="54">
        <v>9000</v>
      </c>
      <c r="U19" s="103">
        <f t="shared" si="5"/>
        <v>9000</v>
      </c>
      <c r="V19" s="104">
        <f t="shared" si="6"/>
        <v>11394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308</v>
      </c>
      <c r="E20" s="96" t="s">
        <v>114</v>
      </c>
      <c r="F20" s="97" t="s">
        <v>270</v>
      </c>
      <c r="G20" s="98">
        <f>CEILING(S20+W20+X20+O20+N20+Y20,10)</f>
        <v>9410</v>
      </c>
      <c r="H20" s="99">
        <f>CEILING(T20+W20+X20+O20+N20+Z20,10)</f>
        <v>10310</v>
      </c>
      <c r="I20" s="99">
        <f>CEILING(U20+W20+X20+O20+N20+AA20,10)</f>
        <v>10310</v>
      </c>
      <c r="J20" s="99">
        <f>CEILING(V20+W20+X20+O20+N20+AB20,10)</f>
        <v>12710</v>
      </c>
      <c r="K20" s="57"/>
      <c r="L20" s="100" t="s">
        <v>272</v>
      </c>
      <c r="M20" s="52" t="s">
        <v>292</v>
      </c>
      <c r="N20" s="40">
        <v>0</v>
      </c>
      <c r="O20" s="53">
        <f>VLOOKUP(B20,DRAYAGE!$A$1:$C$107,3,FALSE)</f>
        <v>1310</v>
      </c>
      <c r="P20" s="40" t="s">
        <v>347</v>
      </c>
      <c r="S20" s="101">
        <f t="shared" si="0"/>
        <v>8100</v>
      </c>
      <c r="T20" s="54">
        <v>9000</v>
      </c>
      <c r="U20" s="103">
        <f t="shared" si="5"/>
        <v>9000</v>
      </c>
      <c r="V20" s="104">
        <f>U20*1.266</f>
        <v>11394</v>
      </c>
      <c r="X20" s="40">
        <v>0</v>
      </c>
    </row>
    <row r="21" spans="1:29" s="40" customFormat="1" ht="14.45" customHeight="1" x14ac:dyDescent="0.25">
      <c r="A21" s="133" t="s">
        <v>61</v>
      </c>
      <c r="B21" s="51" t="s">
        <v>338</v>
      </c>
      <c r="C21" s="94" t="s">
        <v>54</v>
      </c>
      <c r="D21" s="95" t="s">
        <v>308</v>
      </c>
      <c r="E21" s="96" t="s">
        <v>114</v>
      </c>
      <c r="F21" s="97" t="s">
        <v>270</v>
      </c>
      <c r="G21" s="98">
        <f t="shared" ref="G21:G28" si="7">CEILING(S21+W21+X21+O21+N21+Y21,10)</f>
        <v>9230</v>
      </c>
      <c r="H21" s="99">
        <f t="shared" ref="H21:H28" si="8">CEILING(T21+W21+X21+O21+N21+Z21,10)</f>
        <v>10110</v>
      </c>
      <c r="I21" s="99">
        <f t="shared" ref="I21:I28" si="9">CEILING(U21+W21+X21+O21+N21+AA21,10)</f>
        <v>10110</v>
      </c>
      <c r="J21" s="99">
        <f t="shared" ref="J21:J28" si="10">CEILING(V21+W21+X21+O21+N21+AB21,10)</f>
        <v>12460</v>
      </c>
      <c r="K21" s="57"/>
      <c r="L21" s="100" t="s">
        <v>272</v>
      </c>
      <c r="M21" s="52" t="s">
        <v>292</v>
      </c>
      <c r="N21" s="40">
        <v>0</v>
      </c>
      <c r="O21" s="53">
        <f>VLOOKUP(B21,DRAYAGE!$A$1:$C$107,3,FALSE)</f>
        <v>1310</v>
      </c>
      <c r="P21" s="40" t="s">
        <v>347</v>
      </c>
      <c r="S21" s="101">
        <f t="shared" si="0"/>
        <v>7920</v>
      </c>
      <c r="T21" s="54">
        <v>8800</v>
      </c>
      <c r="U21" s="103">
        <f t="shared" si="5"/>
        <v>8800</v>
      </c>
      <c r="V21" s="104">
        <f t="shared" ref="V21:V28" si="11">U21*1.266</f>
        <v>11140.8</v>
      </c>
      <c r="X21" s="40">
        <v>0</v>
      </c>
    </row>
    <row r="22" spans="1:29" s="45" customFormat="1" ht="14.45" customHeight="1" x14ac:dyDescent="0.25">
      <c r="A22" s="133" t="s">
        <v>276</v>
      </c>
      <c r="B22" s="51" t="s">
        <v>338</v>
      </c>
      <c r="C22" s="106" t="s">
        <v>54</v>
      </c>
      <c r="D22" s="95" t="s">
        <v>308</v>
      </c>
      <c r="E22" s="107" t="s">
        <v>114</v>
      </c>
      <c r="F22" s="108" t="s">
        <v>270</v>
      </c>
      <c r="G22" s="109">
        <f t="shared" si="7"/>
        <v>9410</v>
      </c>
      <c r="H22" s="110">
        <f t="shared" si="8"/>
        <v>10310</v>
      </c>
      <c r="I22" s="110">
        <f t="shared" si="9"/>
        <v>10310</v>
      </c>
      <c r="J22" s="110">
        <f t="shared" si="10"/>
        <v>12710</v>
      </c>
      <c r="K22" s="111"/>
      <c r="L22" s="112" t="s">
        <v>272</v>
      </c>
      <c r="M22" s="52" t="s">
        <v>292</v>
      </c>
      <c r="N22" s="45">
        <v>0</v>
      </c>
      <c r="O22" s="53">
        <f>VLOOKUP(B22,DRAYAGE!$A$1:$C$107,3,FALSE)</f>
        <v>1310</v>
      </c>
      <c r="P22" s="40" t="s">
        <v>347</v>
      </c>
      <c r="S22" s="113">
        <f t="shared" si="0"/>
        <v>8100</v>
      </c>
      <c r="T22" s="54">
        <v>9000</v>
      </c>
      <c r="U22" s="103">
        <f t="shared" si="5"/>
        <v>9000</v>
      </c>
      <c r="V22" s="114">
        <f t="shared" si="11"/>
        <v>11394</v>
      </c>
      <c r="X22" s="45">
        <v>0</v>
      </c>
      <c r="Y22" s="40">
        <f t="shared" ref="Y22:Y28" si="12">0.9*Z22</f>
        <v>0</v>
      </c>
      <c r="AA22" s="40">
        <f t="shared" ref="AA22:AA28" si="13">Z22</f>
        <v>0</v>
      </c>
      <c r="AB22" s="40">
        <f t="shared" ref="AB22:AB28" si="14">Z22*1.266</f>
        <v>0</v>
      </c>
    </row>
    <row r="23" spans="1:29" s="40" customFormat="1" ht="14.45" customHeight="1" x14ac:dyDescent="0.25">
      <c r="A23" s="133" t="s">
        <v>108</v>
      </c>
      <c r="B23" s="51" t="s">
        <v>338</v>
      </c>
      <c r="C23" s="94" t="s">
        <v>54</v>
      </c>
      <c r="D23" s="95" t="s">
        <v>308</v>
      </c>
      <c r="E23" s="96" t="s">
        <v>114</v>
      </c>
      <c r="F23" s="97" t="s">
        <v>270</v>
      </c>
      <c r="G23" s="98">
        <f t="shared" si="7"/>
        <v>9410</v>
      </c>
      <c r="H23" s="99">
        <f t="shared" si="8"/>
        <v>10310</v>
      </c>
      <c r="I23" s="99">
        <f t="shared" si="9"/>
        <v>10310</v>
      </c>
      <c r="J23" s="99">
        <f t="shared" si="10"/>
        <v>12710</v>
      </c>
      <c r="K23" s="57"/>
      <c r="L23" s="100" t="s">
        <v>272</v>
      </c>
      <c r="M23" s="52" t="s">
        <v>292</v>
      </c>
      <c r="N23" s="40">
        <v>0</v>
      </c>
      <c r="O23" s="53">
        <f>VLOOKUP(B23,DRAYAGE!$A$1:$C$107,3,FALSE)</f>
        <v>1310</v>
      </c>
      <c r="P23" s="40" t="s">
        <v>347</v>
      </c>
      <c r="S23" s="101">
        <f t="shared" si="0"/>
        <v>8100</v>
      </c>
      <c r="T23" s="54">
        <v>9000</v>
      </c>
      <c r="U23" s="103">
        <f t="shared" si="5"/>
        <v>9000</v>
      </c>
      <c r="V23" s="104">
        <f t="shared" si="11"/>
        <v>11394</v>
      </c>
      <c r="X23" s="40">
        <v>0</v>
      </c>
    </row>
    <row r="24" spans="1:29" s="40" customFormat="1" ht="14.45" customHeight="1" x14ac:dyDescent="0.25">
      <c r="A24" s="133" t="s">
        <v>62</v>
      </c>
      <c r="B24" s="51" t="s">
        <v>338</v>
      </c>
      <c r="C24" s="94" t="s">
        <v>54</v>
      </c>
      <c r="D24" s="95" t="s">
        <v>308</v>
      </c>
      <c r="E24" s="96" t="s">
        <v>114</v>
      </c>
      <c r="F24" s="97" t="s">
        <v>270</v>
      </c>
      <c r="G24" s="98">
        <f t="shared" si="7"/>
        <v>11030</v>
      </c>
      <c r="H24" s="99">
        <f t="shared" si="8"/>
        <v>12110</v>
      </c>
      <c r="I24" s="99">
        <f t="shared" si="9"/>
        <v>12110</v>
      </c>
      <c r="J24" s="99">
        <f t="shared" si="10"/>
        <v>14990</v>
      </c>
      <c r="K24" s="57"/>
      <c r="L24" s="100" t="s">
        <v>272</v>
      </c>
      <c r="M24" s="52" t="s">
        <v>292</v>
      </c>
      <c r="N24" s="40">
        <v>0</v>
      </c>
      <c r="O24" s="53">
        <f>VLOOKUP(B24,DRAYAGE!$A$1:$C$107,3,FALSE)</f>
        <v>1310</v>
      </c>
      <c r="P24" s="40" t="s">
        <v>347</v>
      </c>
      <c r="S24" s="101">
        <f t="shared" si="0"/>
        <v>9720</v>
      </c>
      <c r="T24" s="54">
        <f>T14+2000</f>
        <v>10800</v>
      </c>
      <c r="U24" s="103">
        <f t="shared" si="5"/>
        <v>10800</v>
      </c>
      <c r="V24" s="104">
        <f t="shared" si="11"/>
        <v>13672.8</v>
      </c>
      <c r="X24" s="40">
        <v>0</v>
      </c>
      <c r="Y24" s="40">
        <f t="shared" si="12"/>
        <v>0</v>
      </c>
      <c r="AA24" s="40">
        <f t="shared" si="13"/>
        <v>0</v>
      </c>
      <c r="AB24" s="40">
        <f t="shared" si="14"/>
        <v>0</v>
      </c>
    </row>
    <row r="25" spans="1:29" s="40" customFormat="1" ht="14.45" customHeight="1" x14ac:dyDescent="0.25">
      <c r="A25" s="133" t="s">
        <v>66</v>
      </c>
      <c r="B25" s="51" t="s">
        <v>338</v>
      </c>
      <c r="C25" s="94" t="s">
        <v>54</v>
      </c>
      <c r="D25" s="95" t="s">
        <v>308</v>
      </c>
      <c r="E25" s="96" t="s">
        <v>114</v>
      </c>
      <c r="F25" s="97" t="s">
        <v>270</v>
      </c>
      <c r="G25" s="98">
        <f t="shared" si="7"/>
        <v>11030</v>
      </c>
      <c r="H25" s="99">
        <f t="shared" si="8"/>
        <v>12110</v>
      </c>
      <c r="I25" s="99">
        <f t="shared" si="9"/>
        <v>12110</v>
      </c>
      <c r="J25" s="99">
        <f t="shared" si="10"/>
        <v>14990</v>
      </c>
      <c r="K25" s="57"/>
      <c r="L25" s="100" t="s">
        <v>272</v>
      </c>
      <c r="M25" s="52" t="s">
        <v>292</v>
      </c>
      <c r="N25" s="40">
        <v>0</v>
      </c>
      <c r="O25" s="53">
        <f>VLOOKUP(B25,DRAYAGE!$A$1:$C$107,3,FALSE)</f>
        <v>1310</v>
      </c>
      <c r="P25" s="40" t="s">
        <v>347</v>
      </c>
      <c r="S25" s="101">
        <f t="shared" si="0"/>
        <v>9720</v>
      </c>
      <c r="T25" s="54">
        <f>T14+2000</f>
        <v>10800</v>
      </c>
      <c r="U25" s="103">
        <f t="shared" si="5"/>
        <v>10800</v>
      </c>
      <c r="V25" s="104">
        <f t="shared" si="11"/>
        <v>13672.8</v>
      </c>
      <c r="X25" s="40">
        <v>0</v>
      </c>
    </row>
    <row r="26" spans="1:29" s="40" customFormat="1" ht="14.45" customHeight="1" x14ac:dyDescent="0.25">
      <c r="A26" s="133" t="s">
        <v>65</v>
      </c>
      <c r="B26" s="51" t="s">
        <v>338</v>
      </c>
      <c r="C26" s="94" t="s">
        <v>54</v>
      </c>
      <c r="D26" s="95" t="s">
        <v>308</v>
      </c>
      <c r="E26" s="96" t="s">
        <v>114</v>
      </c>
      <c r="F26" s="97" t="s">
        <v>270</v>
      </c>
      <c r="G26" s="98">
        <f t="shared" si="7"/>
        <v>11030</v>
      </c>
      <c r="H26" s="99">
        <f t="shared" si="8"/>
        <v>12110</v>
      </c>
      <c r="I26" s="99">
        <f t="shared" si="9"/>
        <v>12110</v>
      </c>
      <c r="J26" s="99">
        <f t="shared" si="10"/>
        <v>14990</v>
      </c>
      <c r="K26" s="57"/>
      <c r="L26" s="100" t="s">
        <v>272</v>
      </c>
      <c r="M26" s="52" t="s">
        <v>292</v>
      </c>
      <c r="N26" s="40">
        <v>0</v>
      </c>
      <c r="O26" s="53">
        <f>VLOOKUP(B26,DRAYAGE!$A$1:$C$107,3,FALSE)</f>
        <v>1310</v>
      </c>
      <c r="P26" s="40" t="s">
        <v>347</v>
      </c>
      <c r="S26" s="101">
        <f t="shared" si="0"/>
        <v>9720</v>
      </c>
      <c r="T26" s="54">
        <f>T14+2000</f>
        <v>10800</v>
      </c>
      <c r="U26" s="103">
        <f t="shared" si="5"/>
        <v>10800</v>
      </c>
      <c r="V26" s="104">
        <f t="shared" si="11"/>
        <v>13672.8</v>
      </c>
      <c r="X26" s="40">
        <v>0</v>
      </c>
      <c r="Y26" s="40">
        <f t="shared" si="12"/>
        <v>0</v>
      </c>
      <c r="AA26" s="40">
        <f t="shared" si="13"/>
        <v>0</v>
      </c>
      <c r="AB26" s="40">
        <f t="shared" si="14"/>
        <v>0</v>
      </c>
    </row>
    <row r="27" spans="1:29" s="40" customFormat="1" ht="14.45" customHeight="1" x14ac:dyDescent="0.25">
      <c r="A27" s="133" t="s">
        <v>63</v>
      </c>
      <c r="B27" s="51" t="s">
        <v>338</v>
      </c>
      <c r="C27" s="94" t="s">
        <v>54</v>
      </c>
      <c r="D27" s="95" t="s">
        <v>308</v>
      </c>
      <c r="E27" s="96" t="s">
        <v>114</v>
      </c>
      <c r="F27" s="97" t="s">
        <v>270</v>
      </c>
      <c r="G27" s="98">
        <f t="shared" si="7"/>
        <v>11030</v>
      </c>
      <c r="H27" s="99">
        <f t="shared" si="8"/>
        <v>12110</v>
      </c>
      <c r="I27" s="99">
        <f t="shared" si="9"/>
        <v>12110</v>
      </c>
      <c r="J27" s="99">
        <f t="shared" si="10"/>
        <v>14990</v>
      </c>
      <c r="K27" s="57"/>
      <c r="L27" s="100" t="s">
        <v>272</v>
      </c>
      <c r="M27" s="52" t="s">
        <v>292</v>
      </c>
      <c r="N27" s="40">
        <v>0</v>
      </c>
      <c r="O27" s="53">
        <f>VLOOKUP(B27,DRAYAGE!$A$1:$C$107,3,FALSE)</f>
        <v>1310</v>
      </c>
      <c r="P27" s="40" t="s">
        <v>347</v>
      </c>
      <c r="S27" s="101">
        <f t="shared" si="0"/>
        <v>9720</v>
      </c>
      <c r="T27" s="54">
        <f>T14+2000</f>
        <v>10800</v>
      </c>
      <c r="U27" s="103">
        <f t="shared" si="5"/>
        <v>10800</v>
      </c>
      <c r="V27" s="104">
        <f t="shared" si="11"/>
        <v>13672.8</v>
      </c>
      <c r="X27" s="40">
        <v>0</v>
      </c>
      <c r="Y27" s="40">
        <f t="shared" si="12"/>
        <v>0</v>
      </c>
      <c r="AA27" s="40">
        <f t="shared" si="13"/>
        <v>0</v>
      </c>
      <c r="AB27" s="40">
        <f t="shared" si="14"/>
        <v>0</v>
      </c>
    </row>
    <row r="28" spans="1:29" s="45" customFormat="1" ht="14.45" customHeight="1" x14ac:dyDescent="0.25">
      <c r="A28" s="133" t="s">
        <v>275</v>
      </c>
      <c r="B28" s="51" t="s">
        <v>338</v>
      </c>
      <c r="C28" s="106" t="s">
        <v>54</v>
      </c>
      <c r="D28" s="95" t="s">
        <v>308</v>
      </c>
      <c r="E28" s="107" t="s">
        <v>114</v>
      </c>
      <c r="F28" s="108" t="s">
        <v>270</v>
      </c>
      <c r="G28" s="98">
        <f t="shared" si="7"/>
        <v>11030</v>
      </c>
      <c r="H28" s="99">
        <f t="shared" si="8"/>
        <v>12110</v>
      </c>
      <c r="I28" s="99">
        <f t="shared" si="9"/>
        <v>12110</v>
      </c>
      <c r="J28" s="99">
        <f t="shared" si="10"/>
        <v>14990</v>
      </c>
      <c r="K28" s="111"/>
      <c r="L28" s="112" t="s">
        <v>272</v>
      </c>
      <c r="M28" s="52" t="s">
        <v>292</v>
      </c>
      <c r="N28" s="45">
        <v>0</v>
      </c>
      <c r="O28" s="53">
        <f>VLOOKUP(B28,DRAYAGE!$A$1:$C$107,3,FALSE)</f>
        <v>1310</v>
      </c>
      <c r="P28" s="40" t="s">
        <v>347</v>
      </c>
      <c r="R28" s="105"/>
      <c r="S28" s="113">
        <f t="shared" si="0"/>
        <v>9720</v>
      </c>
      <c r="T28" s="54">
        <f>T14+2000</f>
        <v>10800</v>
      </c>
      <c r="U28" s="103">
        <f t="shared" si="5"/>
        <v>10800</v>
      </c>
      <c r="V28" s="114">
        <f t="shared" si="11"/>
        <v>13672.8</v>
      </c>
      <c r="X28" s="45">
        <v>0</v>
      </c>
      <c r="Y28" s="40">
        <f t="shared" si="12"/>
        <v>0</v>
      </c>
      <c r="AA28" s="40">
        <f t="shared" si="13"/>
        <v>0</v>
      </c>
      <c r="AB28" s="40">
        <f t="shared" si="14"/>
        <v>0</v>
      </c>
    </row>
    <row r="29" spans="1:29" s="40" customFormat="1" ht="14.45" customHeight="1" x14ac:dyDescent="0.25">
      <c r="A29" s="134" t="s">
        <v>333</v>
      </c>
      <c r="B29" s="88"/>
      <c r="C29" s="88"/>
      <c r="D29" s="88"/>
      <c r="E29" s="210"/>
      <c r="F29" s="211"/>
      <c r="G29" s="88"/>
      <c r="H29" s="88"/>
      <c r="I29" s="88"/>
      <c r="J29" s="88"/>
      <c r="K29" s="57"/>
      <c r="L29" s="89" t="s">
        <v>48</v>
      </c>
      <c r="M29" s="89" t="s">
        <v>261</v>
      </c>
      <c r="N29" s="90" t="s">
        <v>51</v>
      </c>
      <c r="O29" s="91" t="s">
        <v>50</v>
      </c>
      <c r="P29" s="91" t="s">
        <v>262</v>
      </c>
      <c r="Q29" s="91" t="s">
        <v>263</v>
      </c>
      <c r="R29" s="91" t="s">
        <v>264</v>
      </c>
      <c r="S29" s="92" t="s">
        <v>52</v>
      </c>
      <c r="T29" s="92" t="s">
        <v>53</v>
      </c>
      <c r="U29" s="92" t="s">
        <v>265</v>
      </c>
      <c r="V29" s="92" t="s">
        <v>266</v>
      </c>
      <c r="W29" s="92" t="s">
        <v>267</v>
      </c>
      <c r="X29" s="92" t="s">
        <v>268</v>
      </c>
      <c r="Y29" s="92" t="s">
        <v>52</v>
      </c>
      <c r="Z29" s="92" t="s">
        <v>53</v>
      </c>
      <c r="AA29" s="92" t="s">
        <v>265</v>
      </c>
      <c r="AB29" s="92" t="s">
        <v>266</v>
      </c>
      <c r="AC29" s="93" t="s">
        <v>269</v>
      </c>
    </row>
    <row r="30" spans="1:29" s="40" customFormat="1" ht="14.45" customHeight="1" x14ac:dyDescent="0.25">
      <c r="A30" s="144" t="s">
        <v>58</v>
      </c>
      <c r="B30" s="51" t="s">
        <v>339</v>
      </c>
      <c r="C30" s="94" t="s">
        <v>54</v>
      </c>
      <c r="D30" s="95" t="s">
        <v>308</v>
      </c>
      <c r="E30" s="96" t="s">
        <v>114</v>
      </c>
      <c r="F30" s="97" t="s">
        <v>270</v>
      </c>
      <c r="G30" s="98">
        <f>CEILING(S30+W30+X30+O30+N30+Y30,10)</f>
        <v>18280</v>
      </c>
      <c r="H30" s="99">
        <f>CEILING(T30+W30+X30+O30+N30+Z30,10)</f>
        <v>20020</v>
      </c>
      <c r="I30" s="99">
        <f>CEILING(U30+W30+X30+O30+N30+AA30,10)</f>
        <v>20020</v>
      </c>
      <c r="J30" s="99">
        <f>CEILING(V30+W30+X30+O30+N30+AB30,10)</f>
        <v>24640</v>
      </c>
      <c r="K30" s="57"/>
      <c r="L30" s="100" t="s">
        <v>272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S30" s="101">
        <f>0.9*T30</f>
        <v>15615</v>
      </c>
      <c r="T30" s="54">
        <f>16500+850</f>
        <v>17350</v>
      </c>
      <c r="U30" s="103">
        <f t="shared" si="5"/>
        <v>17350</v>
      </c>
      <c r="V30" s="104">
        <f>U30*1.266</f>
        <v>21965.1</v>
      </c>
    </row>
    <row r="31" spans="1:29" s="40" customFormat="1" ht="14.45" customHeight="1" x14ac:dyDescent="0.25">
      <c r="A31" s="133" t="s">
        <v>55</v>
      </c>
      <c r="B31" s="51" t="s">
        <v>339</v>
      </c>
      <c r="C31" s="94" t="s">
        <v>54</v>
      </c>
      <c r="D31" s="95" t="s">
        <v>308</v>
      </c>
      <c r="E31" s="96" t="s">
        <v>114</v>
      </c>
      <c r="F31" s="97" t="s">
        <v>270</v>
      </c>
      <c r="G31" s="98">
        <f>CEILING(S31+W31+X31+O31+N31+Y31,10)</f>
        <v>13470</v>
      </c>
      <c r="H31" s="99">
        <f>CEILING(T31+W31+X31+O31+N31+Z31,10)</f>
        <v>14670</v>
      </c>
      <c r="I31" s="99">
        <f>CEILING(U31+W31+X31+O31+N31+AA31,10)</f>
        <v>14670</v>
      </c>
      <c r="J31" s="99">
        <f>CEILING(V31+W31+X31+O31+N31+AB31,10)</f>
        <v>17860</v>
      </c>
      <c r="K31" s="57"/>
      <c r="L31" s="100" t="s">
        <v>272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S31" s="101">
        <f>0.9*T31</f>
        <v>10800</v>
      </c>
      <c r="T31" s="54">
        <v>12000</v>
      </c>
      <c r="U31" s="103">
        <f t="shared" si="5"/>
        <v>12000</v>
      </c>
      <c r="V31" s="104">
        <f>U31*1.266</f>
        <v>15192</v>
      </c>
    </row>
    <row r="32" spans="1:29" s="40" customFormat="1" ht="14.45" customHeight="1" x14ac:dyDescent="0.25">
      <c r="A32" s="133" t="s">
        <v>61</v>
      </c>
      <c r="B32" s="51" t="s">
        <v>339</v>
      </c>
      <c r="C32" s="94" t="s">
        <v>54</v>
      </c>
      <c r="D32" s="95" t="s">
        <v>308</v>
      </c>
      <c r="E32" s="96" t="s">
        <v>114</v>
      </c>
      <c r="F32" s="97" t="s">
        <v>270</v>
      </c>
      <c r="G32" s="98">
        <f>CEILING(S32+W32+X32+O32+N32+Y32,10)</f>
        <v>14820</v>
      </c>
      <c r="H32" s="99">
        <f>CEILING(T32+W32+X32+O32+N32+Z32,10)</f>
        <v>16170</v>
      </c>
      <c r="I32" s="99">
        <f>CEILING(U32+W32+X32+O32+N32+AA32,10)</f>
        <v>16170</v>
      </c>
      <c r="J32" s="99">
        <f>CEILING(V32+W32+X32+O32+N32+AB32,10)</f>
        <v>19760</v>
      </c>
      <c r="K32" s="57"/>
      <c r="L32" s="100" t="s">
        <v>272</v>
      </c>
      <c r="M32" s="52" t="s">
        <v>293</v>
      </c>
      <c r="N32" s="40">
        <v>0</v>
      </c>
      <c r="O32" s="53">
        <f>VLOOKUP(B32,DRAYAGE!$A$1:$C$107,3,FALSE)</f>
        <v>2665</v>
      </c>
      <c r="P32" s="40" t="s">
        <v>299</v>
      </c>
      <c r="S32" s="101">
        <f>0.9*T32</f>
        <v>12150</v>
      </c>
      <c r="T32" s="54">
        <v>13500</v>
      </c>
      <c r="U32" s="103">
        <f t="shared" si="5"/>
        <v>13500</v>
      </c>
      <c r="V32" s="104">
        <f>U32*1.266</f>
        <v>17091</v>
      </c>
    </row>
    <row r="33" spans="1:29" s="40" customFormat="1" ht="14.45" customHeight="1" x14ac:dyDescent="0.25">
      <c r="A33" s="134" t="s">
        <v>334</v>
      </c>
      <c r="B33" s="88"/>
      <c r="C33" s="88"/>
      <c r="D33" s="88"/>
      <c r="E33" s="210"/>
      <c r="F33" s="211"/>
      <c r="G33" s="88"/>
      <c r="H33" s="88"/>
      <c r="I33" s="88"/>
      <c r="J33" s="88"/>
      <c r="K33" s="57"/>
      <c r="L33" s="89" t="s">
        <v>48</v>
      </c>
      <c r="M33" s="89" t="s">
        <v>261</v>
      </c>
      <c r="N33" s="90" t="s">
        <v>51</v>
      </c>
      <c r="O33" s="91" t="s">
        <v>50</v>
      </c>
      <c r="P33" s="91" t="s">
        <v>262</v>
      </c>
      <c r="Q33" s="91" t="s">
        <v>263</v>
      </c>
      <c r="R33" s="91" t="s">
        <v>264</v>
      </c>
      <c r="S33" s="92" t="s">
        <v>52</v>
      </c>
      <c r="T33" s="92" t="s">
        <v>53</v>
      </c>
      <c r="U33" s="92" t="s">
        <v>265</v>
      </c>
      <c r="V33" s="92" t="s">
        <v>266</v>
      </c>
      <c r="W33" s="92" t="s">
        <v>267</v>
      </c>
      <c r="X33" s="92" t="s">
        <v>268</v>
      </c>
      <c r="Y33" s="92" t="s">
        <v>52</v>
      </c>
      <c r="Z33" s="92" t="s">
        <v>53</v>
      </c>
      <c r="AA33" s="92" t="s">
        <v>265</v>
      </c>
      <c r="AB33" s="92" t="s">
        <v>266</v>
      </c>
      <c r="AC33" s="93" t="s">
        <v>269</v>
      </c>
    </row>
    <row r="34" spans="1:29" s="40" customFormat="1" ht="14.45" customHeight="1" x14ac:dyDescent="0.25">
      <c r="A34" s="144" t="s">
        <v>58</v>
      </c>
      <c r="B34" s="51" t="s">
        <v>341</v>
      </c>
      <c r="C34" s="94" t="s">
        <v>54</v>
      </c>
      <c r="D34" s="95" t="s">
        <v>308</v>
      </c>
      <c r="E34" s="96" t="s">
        <v>114</v>
      </c>
      <c r="F34" s="97" t="s">
        <v>270</v>
      </c>
      <c r="G34" s="98">
        <f>CEILING(S34+W34+X34+O34+N34+Y34,10)</f>
        <v>17310</v>
      </c>
      <c r="H34" s="99">
        <f>CEILING(T34+W34+X34+O34+N34+Z34,10)</f>
        <v>19040</v>
      </c>
      <c r="I34" s="99">
        <f>CEILING(U34+W34+X34+O34+N34+AA34,10)</f>
        <v>19040</v>
      </c>
      <c r="J34" s="99">
        <f>CEILING(V34+W34+X34+O34+N34+AB34,10)</f>
        <v>23660</v>
      </c>
      <c r="K34" s="57"/>
      <c r="L34" s="100" t="s">
        <v>272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S34" s="101">
        <f>0.9*T34</f>
        <v>15615</v>
      </c>
      <c r="T34" s="54">
        <f>T30</f>
        <v>17350</v>
      </c>
      <c r="U34" s="103">
        <f t="shared" si="5"/>
        <v>17350</v>
      </c>
      <c r="V34" s="104">
        <f>U34*1.266</f>
        <v>21965.1</v>
      </c>
      <c r="X34" s="40">
        <v>0</v>
      </c>
    </row>
    <row r="35" spans="1:29" s="40" customFormat="1" ht="14.45" customHeight="1" x14ac:dyDescent="0.25">
      <c r="A35" s="133" t="s">
        <v>55</v>
      </c>
      <c r="B35" s="51" t="s">
        <v>341</v>
      </c>
      <c r="C35" s="94" t="s">
        <v>54</v>
      </c>
      <c r="D35" s="95" t="s">
        <v>308</v>
      </c>
      <c r="E35" s="96" t="s">
        <v>114</v>
      </c>
      <c r="F35" s="97" t="s">
        <v>270</v>
      </c>
      <c r="G35" s="98">
        <f>CEILING(S35+W35+X35+O35+N35+Y35,10)</f>
        <v>12490</v>
      </c>
      <c r="H35" s="99">
        <f>CEILING(T35+W35+X35+O35+N35+Z35,10)</f>
        <v>13690</v>
      </c>
      <c r="I35" s="99">
        <f>CEILING(U35+W35+X35+O35+N35+AA35,10)</f>
        <v>13690</v>
      </c>
      <c r="J35" s="99">
        <f>CEILING(V35+W35+X35+O35+N35+AB35,10)</f>
        <v>16890</v>
      </c>
      <c r="K35" s="57"/>
      <c r="L35" s="100" t="s">
        <v>272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S35" s="101">
        <f>0.9*T35</f>
        <v>10800</v>
      </c>
      <c r="T35" s="54">
        <f>T31</f>
        <v>12000</v>
      </c>
      <c r="U35" s="103">
        <f t="shared" si="5"/>
        <v>12000</v>
      </c>
      <c r="V35" s="104">
        <f>U35*1.266</f>
        <v>15192</v>
      </c>
      <c r="X35" s="40">
        <v>0</v>
      </c>
    </row>
    <row r="36" spans="1:29" s="40" customFormat="1" ht="14.45" customHeight="1" x14ac:dyDescent="0.25">
      <c r="A36" s="133" t="s">
        <v>61</v>
      </c>
      <c r="B36" s="51" t="s">
        <v>341</v>
      </c>
      <c r="C36" s="94" t="s">
        <v>54</v>
      </c>
      <c r="D36" s="95" t="s">
        <v>308</v>
      </c>
      <c r="E36" s="96" t="s">
        <v>114</v>
      </c>
      <c r="F36" s="97" t="s">
        <v>270</v>
      </c>
      <c r="G36" s="98">
        <f>CEILING(S36+W36+X36+O36+N36+Y36,10)</f>
        <v>13840</v>
      </c>
      <c r="H36" s="99">
        <f>CEILING(T36+W36+X36+O36+N36+Z36,10)</f>
        <v>15190</v>
      </c>
      <c r="I36" s="99">
        <f>CEILING(U36+W36+X36+O36+N36+AA36,10)</f>
        <v>15190</v>
      </c>
      <c r="J36" s="99">
        <f>CEILING(V36+W36+X36+O36+N36+AB36,10)</f>
        <v>18790</v>
      </c>
      <c r="K36" s="57"/>
      <c r="L36" s="100" t="s">
        <v>272</v>
      </c>
      <c r="M36" s="52" t="s">
        <v>293</v>
      </c>
      <c r="N36" s="40">
        <v>0</v>
      </c>
      <c r="O36" s="53">
        <f>VLOOKUP(B36,DRAYAGE!$A$1:$C$107,3,FALSE)</f>
        <v>1690</v>
      </c>
      <c r="P36" s="40" t="s">
        <v>299</v>
      </c>
      <c r="S36" s="101">
        <f>0.9*T36</f>
        <v>12150</v>
      </c>
      <c r="T36" s="54">
        <f>T32</f>
        <v>13500</v>
      </c>
      <c r="U36" s="103">
        <f t="shared" si="5"/>
        <v>13500</v>
      </c>
      <c r="V36" s="104">
        <f>U36*1.266</f>
        <v>17091</v>
      </c>
      <c r="X36" s="40">
        <v>0</v>
      </c>
    </row>
    <row r="37" spans="1:29" s="40" customFormat="1" ht="14.45" customHeight="1" x14ac:dyDescent="0.25">
      <c r="A37" s="134" t="s">
        <v>335</v>
      </c>
      <c r="B37" s="88"/>
      <c r="C37" s="88"/>
      <c r="D37" s="88"/>
      <c r="E37" s="210"/>
      <c r="F37" s="211"/>
      <c r="G37" s="88"/>
      <c r="H37" s="88"/>
      <c r="I37" s="88"/>
      <c r="J37" s="88"/>
      <c r="K37" s="57"/>
      <c r="L37" s="89" t="s">
        <v>48</v>
      </c>
      <c r="M37" s="89" t="s">
        <v>261</v>
      </c>
      <c r="N37" s="90" t="s">
        <v>51</v>
      </c>
      <c r="O37" s="91" t="s">
        <v>50</v>
      </c>
      <c r="P37" s="91" t="s">
        <v>262</v>
      </c>
      <c r="Q37" s="91" t="s">
        <v>263</v>
      </c>
      <c r="R37" s="91" t="s">
        <v>264</v>
      </c>
      <c r="S37" s="92" t="s">
        <v>52</v>
      </c>
      <c r="T37" s="92" t="s">
        <v>53</v>
      </c>
      <c r="U37" s="92" t="s">
        <v>265</v>
      </c>
      <c r="V37" s="92" t="s">
        <v>266</v>
      </c>
      <c r="W37" s="92" t="s">
        <v>267</v>
      </c>
      <c r="X37" s="92" t="s">
        <v>268</v>
      </c>
      <c r="Y37" s="92" t="s">
        <v>52</v>
      </c>
      <c r="Z37" s="92" t="s">
        <v>53</v>
      </c>
      <c r="AA37" s="92" t="s">
        <v>265</v>
      </c>
      <c r="AB37" s="92" t="s">
        <v>266</v>
      </c>
      <c r="AC37" s="93" t="s">
        <v>269</v>
      </c>
    </row>
    <row r="38" spans="1:29" s="40" customFormat="1" ht="18.75" x14ac:dyDescent="0.25">
      <c r="A38" s="133" t="s">
        <v>81</v>
      </c>
      <c r="B38" s="51" t="s">
        <v>340</v>
      </c>
      <c r="C38" s="94" t="s">
        <v>54</v>
      </c>
      <c r="D38" s="95" t="s">
        <v>308</v>
      </c>
      <c r="E38" s="96" t="s">
        <v>114</v>
      </c>
      <c r="F38" s="97" t="s">
        <v>270</v>
      </c>
      <c r="G38" s="98">
        <f t="shared" ref="G38:G44" si="15">CEILING(S38+W38+X38+O38+N38+Y38,10)</f>
        <v>14410</v>
      </c>
      <c r="H38" s="99">
        <f t="shared" ref="H38:H44" si="16">CEILING(T38+W38+X38+O38+N38+Z38,10)</f>
        <v>15810</v>
      </c>
      <c r="I38" s="99">
        <f t="shared" ref="I38:I44" si="17">CEILING(U38+W38+X38+O38+N38+AA38,10)</f>
        <v>15810</v>
      </c>
      <c r="J38" s="99">
        <f t="shared" ref="J38:J44" si="18">CEILING(V38+W38+X38+O38+N38+AB38,10)</f>
        <v>19530</v>
      </c>
      <c r="K38" s="57"/>
      <c r="L38" s="100" t="s">
        <v>272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S38" s="101">
        <f t="shared" ref="S38:S44" si="19">0.9*T38</f>
        <v>12600</v>
      </c>
      <c r="T38" s="54">
        <v>14000</v>
      </c>
      <c r="U38" s="103">
        <f t="shared" si="5"/>
        <v>14000</v>
      </c>
      <c r="V38" s="104">
        <f t="shared" ref="V38:V44" si="20">U38*1.266</f>
        <v>17724</v>
      </c>
      <c r="X38" s="40">
        <v>0</v>
      </c>
    </row>
    <row r="39" spans="1:29" s="40" customFormat="1" ht="14.45" customHeight="1" x14ac:dyDescent="0.25">
      <c r="A39" s="133" t="s">
        <v>55</v>
      </c>
      <c r="B39" s="51" t="s">
        <v>340</v>
      </c>
      <c r="C39" s="94" t="s">
        <v>54</v>
      </c>
      <c r="D39" s="95" t="s">
        <v>308</v>
      </c>
      <c r="E39" s="96" t="s">
        <v>114</v>
      </c>
      <c r="F39" s="97" t="s">
        <v>270</v>
      </c>
      <c r="G39" s="98">
        <f t="shared" si="15"/>
        <v>12610</v>
      </c>
      <c r="H39" s="99">
        <f t="shared" si="16"/>
        <v>13810</v>
      </c>
      <c r="I39" s="99">
        <f t="shared" si="17"/>
        <v>13810</v>
      </c>
      <c r="J39" s="99">
        <f t="shared" si="18"/>
        <v>17000</v>
      </c>
      <c r="K39" s="57"/>
      <c r="L39" s="100" t="s">
        <v>272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S39" s="101">
        <f t="shared" si="19"/>
        <v>10800</v>
      </c>
      <c r="T39" s="54">
        <v>12000</v>
      </c>
      <c r="U39" s="103">
        <f t="shared" si="5"/>
        <v>12000</v>
      </c>
      <c r="V39" s="104">
        <f t="shared" si="20"/>
        <v>15192</v>
      </c>
      <c r="X39" s="40">
        <v>0</v>
      </c>
    </row>
    <row r="40" spans="1:29" s="40" customFormat="1" ht="14.45" customHeight="1" x14ac:dyDescent="0.25">
      <c r="A40" s="133" t="s">
        <v>59</v>
      </c>
      <c r="B40" s="51" t="s">
        <v>340</v>
      </c>
      <c r="C40" s="94" t="s">
        <v>54</v>
      </c>
      <c r="D40" s="95" t="s">
        <v>308</v>
      </c>
      <c r="E40" s="96" t="s">
        <v>114</v>
      </c>
      <c r="F40" s="97" t="s">
        <v>270</v>
      </c>
      <c r="G40" s="98">
        <f t="shared" si="15"/>
        <v>14410</v>
      </c>
      <c r="H40" s="99">
        <f t="shared" si="16"/>
        <v>15810</v>
      </c>
      <c r="I40" s="99">
        <f t="shared" si="17"/>
        <v>15810</v>
      </c>
      <c r="J40" s="99">
        <f t="shared" si="18"/>
        <v>19530</v>
      </c>
      <c r="K40" s="57"/>
      <c r="L40" s="100" t="s">
        <v>272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S40" s="101">
        <f t="shared" si="19"/>
        <v>12600</v>
      </c>
      <c r="T40" s="54">
        <v>14000</v>
      </c>
      <c r="U40" s="103">
        <f t="shared" si="5"/>
        <v>14000</v>
      </c>
      <c r="V40" s="104">
        <f t="shared" si="20"/>
        <v>17724</v>
      </c>
      <c r="X40" s="40">
        <v>0</v>
      </c>
    </row>
    <row r="41" spans="1:29" s="40" customFormat="1" ht="18.75" x14ac:dyDescent="0.25">
      <c r="A41" s="133" t="s">
        <v>60</v>
      </c>
      <c r="B41" s="51" t="s">
        <v>340</v>
      </c>
      <c r="C41" s="94" t="s">
        <v>54</v>
      </c>
      <c r="D41" s="95" t="s">
        <v>308</v>
      </c>
      <c r="E41" s="96" t="s">
        <v>114</v>
      </c>
      <c r="F41" s="97" t="s">
        <v>270</v>
      </c>
      <c r="G41" s="98">
        <f t="shared" si="15"/>
        <v>14860</v>
      </c>
      <c r="H41" s="99">
        <f t="shared" si="16"/>
        <v>16310</v>
      </c>
      <c r="I41" s="99">
        <f t="shared" si="17"/>
        <v>16310</v>
      </c>
      <c r="J41" s="99">
        <f t="shared" si="18"/>
        <v>20170</v>
      </c>
      <c r="K41" s="57"/>
      <c r="L41" s="100" t="s">
        <v>272</v>
      </c>
      <c r="M41" s="52" t="s">
        <v>294</v>
      </c>
      <c r="N41" s="40">
        <v>0</v>
      </c>
      <c r="O41" s="53">
        <f>VLOOKUP(B41,DRAYAGE!$A$1:$C$107,3,FALSE)</f>
        <v>1805</v>
      </c>
      <c r="P41" s="40" t="s">
        <v>300</v>
      </c>
      <c r="S41" s="101">
        <f t="shared" si="19"/>
        <v>13050</v>
      </c>
      <c r="T41" s="54">
        <v>14500</v>
      </c>
      <c r="U41" s="103">
        <f t="shared" si="5"/>
        <v>14500</v>
      </c>
      <c r="V41" s="104">
        <f t="shared" si="20"/>
        <v>18357</v>
      </c>
      <c r="X41" s="40">
        <v>0</v>
      </c>
    </row>
    <row r="42" spans="1:29" s="45" customFormat="1" ht="14.45" customHeight="1" x14ac:dyDescent="0.25">
      <c r="A42" s="133" t="s">
        <v>61</v>
      </c>
      <c r="B42" s="51" t="s">
        <v>340</v>
      </c>
      <c r="C42" s="106" t="s">
        <v>54</v>
      </c>
      <c r="D42" s="95" t="s">
        <v>308</v>
      </c>
      <c r="E42" s="107" t="s">
        <v>114</v>
      </c>
      <c r="F42" s="108" t="s">
        <v>270</v>
      </c>
      <c r="G42" s="109">
        <f t="shared" si="15"/>
        <v>14410</v>
      </c>
      <c r="H42" s="110">
        <f t="shared" si="16"/>
        <v>15810</v>
      </c>
      <c r="I42" s="110">
        <f t="shared" si="17"/>
        <v>15810</v>
      </c>
      <c r="J42" s="110">
        <f t="shared" si="18"/>
        <v>19530</v>
      </c>
      <c r="K42" s="111"/>
      <c r="L42" s="112" t="s">
        <v>272</v>
      </c>
      <c r="M42" s="52" t="s">
        <v>294</v>
      </c>
      <c r="N42" s="45">
        <v>0</v>
      </c>
      <c r="O42" s="53">
        <f>VLOOKUP(B42,DRAYAGE!$A$1:$C$107,3,FALSE)</f>
        <v>1805</v>
      </c>
      <c r="P42" s="40" t="s">
        <v>300</v>
      </c>
      <c r="R42" s="40"/>
      <c r="S42" s="113">
        <f t="shared" si="19"/>
        <v>12600</v>
      </c>
      <c r="T42" s="54">
        <v>14000</v>
      </c>
      <c r="U42" s="103">
        <f t="shared" si="5"/>
        <v>14000</v>
      </c>
      <c r="V42" s="114">
        <f t="shared" si="20"/>
        <v>17724</v>
      </c>
      <c r="X42" s="45">
        <v>0</v>
      </c>
      <c r="Y42" s="40"/>
      <c r="Z42" s="40"/>
      <c r="AA42" s="40"/>
      <c r="AB42" s="40"/>
    </row>
    <row r="43" spans="1:29" s="40" customFormat="1" ht="18.75" x14ac:dyDescent="0.25">
      <c r="A43" s="133" t="s">
        <v>273</v>
      </c>
      <c r="B43" s="51" t="s">
        <v>340</v>
      </c>
      <c r="C43" s="94" t="s">
        <v>54</v>
      </c>
      <c r="D43" s="95" t="s">
        <v>308</v>
      </c>
      <c r="E43" s="96" t="s">
        <v>114</v>
      </c>
      <c r="F43" s="97" t="s">
        <v>270</v>
      </c>
      <c r="G43" s="98">
        <f t="shared" si="15"/>
        <v>18910</v>
      </c>
      <c r="H43" s="99">
        <f t="shared" si="16"/>
        <v>20810</v>
      </c>
      <c r="I43" s="99">
        <f t="shared" si="17"/>
        <v>20810</v>
      </c>
      <c r="J43" s="99">
        <f t="shared" si="18"/>
        <v>25860</v>
      </c>
      <c r="K43" s="57"/>
      <c r="L43" s="100" t="s">
        <v>272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S43" s="101">
        <f t="shared" si="19"/>
        <v>17100</v>
      </c>
      <c r="T43" s="54">
        <v>19000</v>
      </c>
      <c r="U43" s="103">
        <f t="shared" si="5"/>
        <v>19000</v>
      </c>
      <c r="V43" s="104">
        <f t="shared" si="20"/>
        <v>24054</v>
      </c>
      <c r="X43" s="40">
        <v>0</v>
      </c>
    </row>
    <row r="44" spans="1:29" s="40" customFormat="1" ht="14.45" customHeight="1" x14ac:dyDescent="0.25">
      <c r="A44" s="144" t="s">
        <v>58</v>
      </c>
      <c r="B44" s="51" t="s">
        <v>340</v>
      </c>
      <c r="C44" s="94" t="s">
        <v>54</v>
      </c>
      <c r="D44" s="126" t="s">
        <v>290</v>
      </c>
      <c r="E44" s="96" t="s">
        <v>114</v>
      </c>
      <c r="F44" s="97" t="s">
        <v>270</v>
      </c>
      <c r="G44" s="98">
        <f t="shared" si="15"/>
        <v>24620</v>
      </c>
      <c r="H44" s="99">
        <f t="shared" si="16"/>
        <v>27160</v>
      </c>
      <c r="I44" s="99">
        <f t="shared" si="17"/>
        <v>27160</v>
      </c>
      <c r="J44" s="99">
        <f t="shared" si="18"/>
        <v>33900</v>
      </c>
      <c r="K44" s="57"/>
      <c r="L44" s="136" t="s">
        <v>290</v>
      </c>
      <c r="M44" s="52" t="s">
        <v>294</v>
      </c>
      <c r="N44" s="40">
        <v>0</v>
      </c>
      <c r="O44" s="53">
        <f>VLOOKUP(B44,DRAYAGE!$A$1:$C$107,3,FALSE)</f>
        <v>1805</v>
      </c>
      <c r="P44" s="40" t="s">
        <v>298</v>
      </c>
      <c r="S44" s="101">
        <f t="shared" si="19"/>
        <v>22815</v>
      </c>
      <c r="T44" s="54">
        <f>24500+850</f>
        <v>25350</v>
      </c>
      <c r="U44" s="103">
        <f t="shared" si="5"/>
        <v>25350</v>
      </c>
      <c r="V44" s="104">
        <f t="shared" si="20"/>
        <v>32093.1</v>
      </c>
      <c r="X44" s="40">
        <v>0</v>
      </c>
    </row>
    <row r="45" spans="1:29" s="40" customFormat="1" ht="14.45" customHeight="1" x14ac:dyDescent="0.25">
      <c r="A45" s="134" t="s">
        <v>98</v>
      </c>
      <c r="B45" s="88"/>
      <c r="C45" s="88"/>
      <c r="D45" s="88"/>
      <c r="E45" s="210"/>
      <c r="F45" s="211"/>
      <c r="G45" s="88"/>
      <c r="H45" s="88"/>
      <c r="I45" s="88"/>
      <c r="J45" s="88"/>
      <c r="K45" s="57"/>
      <c r="L45" s="89" t="s">
        <v>48</v>
      </c>
      <c r="M45" s="89" t="s">
        <v>261</v>
      </c>
      <c r="N45" s="90" t="s">
        <v>51</v>
      </c>
      <c r="O45" s="91" t="s">
        <v>50</v>
      </c>
      <c r="P45" s="91" t="s">
        <v>262</v>
      </c>
      <c r="Q45" s="91" t="s">
        <v>263</v>
      </c>
      <c r="R45" s="92" t="s">
        <v>52</v>
      </c>
      <c r="S45" s="92" t="s">
        <v>52</v>
      </c>
      <c r="T45" s="92" t="s">
        <v>53</v>
      </c>
      <c r="U45" s="92" t="s">
        <v>265</v>
      </c>
      <c r="V45" s="92" t="s">
        <v>266</v>
      </c>
      <c r="W45" s="92" t="s">
        <v>267</v>
      </c>
      <c r="X45" s="92" t="s">
        <v>268</v>
      </c>
      <c r="Y45" s="92" t="s">
        <v>52</v>
      </c>
      <c r="Z45" s="92" t="s">
        <v>53</v>
      </c>
      <c r="AA45" s="92" t="s">
        <v>265</v>
      </c>
      <c r="AB45" s="92" t="s">
        <v>266</v>
      </c>
      <c r="AC45" s="93" t="s">
        <v>269</v>
      </c>
    </row>
    <row r="46" spans="1:29" s="40" customFormat="1" ht="14.45" customHeight="1" x14ac:dyDescent="0.25">
      <c r="A46" s="133" t="s">
        <v>331</v>
      </c>
      <c r="B46" s="51" t="s">
        <v>342</v>
      </c>
      <c r="C46" s="94" t="s">
        <v>54</v>
      </c>
      <c r="D46" s="95" t="s">
        <v>308</v>
      </c>
      <c r="E46" s="96" t="s">
        <v>114</v>
      </c>
      <c r="F46" s="97" t="s">
        <v>270</v>
      </c>
      <c r="G46" s="98">
        <f>CEILING(S46+W46+X46+O46+N46+Y46,10)</f>
        <v>15150</v>
      </c>
      <c r="H46" s="99">
        <f>CEILING(T46+W46+X46+O46+N46+Z46,10)</f>
        <v>16500</v>
      </c>
      <c r="I46" s="99">
        <f>CEILING(U46+W46+X46+O46+N46+AA46,10)</f>
        <v>16500</v>
      </c>
      <c r="J46" s="99">
        <f>CEILING(V46+W46+X46+O46+N46+AB46,10)</f>
        <v>20090</v>
      </c>
      <c r="K46" s="57"/>
      <c r="L46" s="100" t="s">
        <v>272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R46" s="101">
        <v>19800</v>
      </c>
      <c r="S46" s="101">
        <f>0.9*T46</f>
        <v>12150</v>
      </c>
      <c r="T46" s="54">
        <v>13500</v>
      </c>
      <c r="U46" s="103">
        <f>T46</f>
        <v>13500</v>
      </c>
      <c r="V46" s="104">
        <f>U46*1.266</f>
        <v>17091</v>
      </c>
      <c r="W46" s="40">
        <v>0</v>
      </c>
    </row>
    <row r="47" spans="1:29" s="40" customFormat="1" ht="14.45" customHeight="1" x14ac:dyDescent="0.25">
      <c r="A47" s="133" t="s">
        <v>328</v>
      </c>
      <c r="B47" s="51" t="s">
        <v>342</v>
      </c>
      <c r="C47" s="94" t="s">
        <v>54</v>
      </c>
      <c r="D47" s="95" t="s">
        <v>308</v>
      </c>
      <c r="E47" s="96" t="s">
        <v>114</v>
      </c>
      <c r="F47" s="97" t="s">
        <v>270</v>
      </c>
      <c r="G47" s="98">
        <f>CEILING(S47+W47+X47+O47+N47+Y47,10)</f>
        <v>17400</v>
      </c>
      <c r="H47" s="99">
        <f>CEILING(T47+W47+X47+O47+N47+Z47,10)</f>
        <v>19000</v>
      </c>
      <c r="I47" s="99">
        <f>CEILING(U47+W47+X47+O47+N47+AA47,10)</f>
        <v>19000</v>
      </c>
      <c r="J47" s="99">
        <f>CEILING(V47+W47+X47+O47+N47+AB47,10)</f>
        <v>23260</v>
      </c>
      <c r="K47" s="57"/>
      <c r="L47" s="100" t="s">
        <v>272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R47" s="101">
        <v>19800</v>
      </c>
      <c r="S47" s="101">
        <f>0.9*T47</f>
        <v>14400</v>
      </c>
      <c r="T47" s="54">
        <v>16000</v>
      </c>
      <c r="U47" s="103">
        <f>T47</f>
        <v>16000</v>
      </c>
      <c r="V47" s="104">
        <f>U47*1.266</f>
        <v>20256</v>
      </c>
      <c r="W47" s="40">
        <v>0</v>
      </c>
    </row>
    <row r="48" spans="1:29" s="40" customFormat="1" ht="14.45" customHeight="1" x14ac:dyDescent="0.25">
      <c r="A48" s="144" t="s">
        <v>58</v>
      </c>
      <c r="B48" s="51" t="s">
        <v>342</v>
      </c>
      <c r="C48" s="94" t="s">
        <v>54</v>
      </c>
      <c r="D48" s="95" t="s">
        <v>308</v>
      </c>
      <c r="E48" s="96" t="s">
        <v>114</v>
      </c>
      <c r="F48" s="97" t="s">
        <v>270</v>
      </c>
      <c r="G48" s="98">
        <f>CEILING(S48+W48+X48+O48+N48+Y48,10)</f>
        <v>18610</v>
      </c>
      <c r="H48" s="99">
        <f>CEILING(T48+W48+X48+O48+N48+Z48,10)</f>
        <v>20350</v>
      </c>
      <c r="I48" s="99">
        <f>CEILING(U48+W48+X48+O48+N48+AA48,10)</f>
        <v>20350</v>
      </c>
      <c r="J48" s="99">
        <f>CEILING(V48+W48+X48+O48+N48+AB48,10)</f>
        <v>24970</v>
      </c>
      <c r="K48" s="57"/>
      <c r="L48" s="100" t="s">
        <v>272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R48" s="101">
        <v>19800</v>
      </c>
      <c r="S48" s="101">
        <f>0.9*T48</f>
        <v>15615</v>
      </c>
      <c r="T48" s="54">
        <f>16500+850</f>
        <v>17350</v>
      </c>
      <c r="U48" s="103">
        <f>T48</f>
        <v>17350</v>
      </c>
      <c r="V48" s="104">
        <f>U48*1.266</f>
        <v>21965.1</v>
      </c>
      <c r="W48" s="40">
        <v>0</v>
      </c>
    </row>
    <row r="49" spans="1:29" s="40" customFormat="1" ht="14.45" customHeight="1" x14ac:dyDescent="0.25">
      <c r="A49" s="133" t="s">
        <v>330</v>
      </c>
      <c r="B49" s="51" t="s">
        <v>342</v>
      </c>
      <c r="C49" s="94" t="s">
        <v>54</v>
      </c>
      <c r="D49" s="95" t="s">
        <v>308</v>
      </c>
      <c r="E49" s="96" t="s">
        <v>114</v>
      </c>
      <c r="F49" s="97" t="s">
        <v>270</v>
      </c>
      <c r="G49" s="98">
        <f>CEILING(S49+W49+X49+O49+N49+Y49,10)</f>
        <v>13800</v>
      </c>
      <c r="H49" s="99">
        <f>CEILING(T49+W49+X49+O49+N49+Z49,10)</f>
        <v>15000</v>
      </c>
      <c r="I49" s="99">
        <f>CEILING(U49+W49+X49+O49+N49+AA49,10)</f>
        <v>15000</v>
      </c>
      <c r="J49" s="99">
        <f>CEILING(V49+W49+X49+O49+N49+AB49,10)</f>
        <v>18190</v>
      </c>
      <c r="K49" s="57"/>
      <c r="L49" s="100" t="s">
        <v>272</v>
      </c>
      <c r="M49" s="52" t="s">
        <v>293</v>
      </c>
      <c r="N49" s="40">
        <v>0</v>
      </c>
      <c r="O49" s="53">
        <f>VLOOKUP(B49,DRAYAGE!$A$1:$C$107,3,FALSE)</f>
        <v>2995</v>
      </c>
      <c r="P49" s="40" t="s">
        <v>302</v>
      </c>
      <c r="R49" s="101">
        <v>19800</v>
      </c>
      <c r="S49" s="101">
        <f>0.9*T49</f>
        <v>10800</v>
      </c>
      <c r="T49" s="54">
        <v>12000</v>
      </c>
      <c r="U49" s="103">
        <f>T49</f>
        <v>12000</v>
      </c>
      <c r="V49" s="104">
        <f>U49*1.266</f>
        <v>15192</v>
      </c>
      <c r="W49" s="40">
        <v>0</v>
      </c>
    </row>
    <row r="50" spans="1:29" s="40" customFormat="1" ht="14.45" customHeight="1" x14ac:dyDescent="0.25">
      <c r="A50" s="134" t="s">
        <v>336</v>
      </c>
      <c r="B50" s="88"/>
      <c r="C50" s="88"/>
      <c r="D50" s="88"/>
      <c r="E50" s="210"/>
      <c r="F50" s="211"/>
      <c r="G50" s="88"/>
      <c r="H50" s="88"/>
      <c r="I50" s="88"/>
      <c r="J50" s="88"/>
      <c r="K50" s="57"/>
      <c r="L50" s="89" t="s">
        <v>48</v>
      </c>
      <c r="M50" s="89" t="s">
        <v>261</v>
      </c>
      <c r="N50" s="90" t="s">
        <v>51</v>
      </c>
      <c r="O50" s="91" t="s">
        <v>50</v>
      </c>
      <c r="P50" s="91" t="s">
        <v>262</v>
      </c>
      <c r="Q50" s="91" t="s">
        <v>263</v>
      </c>
      <c r="R50" s="92" t="s">
        <v>52</v>
      </c>
      <c r="S50" s="92" t="s">
        <v>52</v>
      </c>
      <c r="T50" s="92" t="s">
        <v>53</v>
      </c>
      <c r="U50" s="92" t="s">
        <v>265</v>
      </c>
      <c r="V50" s="92" t="s">
        <v>266</v>
      </c>
      <c r="W50" s="92" t="s">
        <v>267</v>
      </c>
      <c r="X50" s="92" t="s">
        <v>268</v>
      </c>
      <c r="Y50" s="92" t="s">
        <v>52</v>
      </c>
      <c r="Z50" s="92" t="s">
        <v>53</v>
      </c>
      <c r="AA50" s="92" t="s">
        <v>265</v>
      </c>
      <c r="AB50" s="92" t="s">
        <v>266</v>
      </c>
      <c r="AC50" s="93" t="s">
        <v>269</v>
      </c>
    </row>
    <row r="51" spans="1:29" s="40" customFormat="1" ht="14.45" customHeight="1" x14ac:dyDescent="0.25">
      <c r="A51" s="133" t="s">
        <v>326</v>
      </c>
      <c r="B51" s="51" t="s">
        <v>343</v>
      </c>
      <c r="C51" s="94" t="s">
        <v>54</v>
      </c>
      <c r="D51" s="95" t="s">
        <v>308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00" t="s">
        <v>272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R51" s="101">
        <v>18000</v>
      </c>
      <c r="S51" s="101">
        <f>0.9*T51</f>
        <v>14400</v>
      </c>
      <c r="T51" s="54">
        <v>16000</v>
      </c>
      <c r="U51" s="103">
        <f>T51</f>
        <v>16000</v>
      </c>
      <c r="V51" s="104">
        <f>U51*1.266</f>
        <v>20256</v>
      </c>
      <c r="W51" s="40">
        <v>0</v>
      </c>
    </row>
    <row r="52" spans="1:29" s="40" customFormat="1" ht="14.45" customHeight="1" x14ac:dyDescent="0.25">
      <c r="A52" s="133" t="s">
        <v>327</v>
      </c>
      <c r="B52" s="51" t="s">
        <v>343</v>
      </c>
      <c r="C52" s="94" t="s">
        <v>54</v>
      </c>
      <c r="D52" s="95" t="s">
        <v>308</v>
      </c>
      <c r="E52" s="96" t="s">
        <v>114</v>
      </c>
      <c r="F52" s="97" t="s">
        <v>270</v>
      </c>
      <c r="G52" s="98">
        <v>18510</v>
      </c>
      <c r="H52" s="99">
        <v>20510</v>
      </c>
      <c r="I52" s="99">
        <v>20510</v>
      </c>
      <c r="J52" s="99">
        <v>25830</v>
      </c>
      <c r="K52" s="57"/>
      <c r="L52" s="100" t="s">
        <v>272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R52" s="101">
        <v>18000</v>
      </c>
      <c r="S52" s="101">
        <f>0.9*T52</f>
        <v>13950</v>
      </c>
      <c r="T52" s="54">
        <v>15500</v>
      </c>
      <c r="U52" s="103">
        <f>T52</f>
        <v>15500</v>
      </c>
      <c r="V52" s="104">
        <f>U52*1.266</f>
        <v>19623</v>
      </c>
      <c r="W52" s="40">
        <v>0</v>
      </c>
    </row>
    <row r="53" spans="1:29" s="40" customFormat="1" ht="14.45" customHeight="1" x14ac:dyDescent="0.25">
      <c r="A53" s="133" t="s">
        <v>328</v>
      </c>
      <c r="B53" s="51" t="s">
        <v>343</v>
      </c>
      <c r="C53" s="94" t="s">
        <v>54</v>
      </c>
      <c r="D53" s="95" t="s">
        <v>308</v>
      </c>
      <c r="E53" s="96" t="s">
        <v>114</v>
      </c>
      <c r="F53" s="97" t="s">
        <v>270</v>
      </c>
      <c r="G53" s="98">
        <v>18510</v>
      </c>
      <c r="H53" s="99">
        <v>20510</v>
      </c>
      <c r="I53" s="99">
        <v>20510</v>
      </c>
      <c r="J53" s="99">
        <v>25830</v>
      </c>
      <c r="K53" s="57"/>
      <c r="L53" s="100" t="s">
        <v>272</v>
      </c>
      <c r="M53" s="52" t="s">
        <v>295</v>
      </c>
      <c r="N53" s="40">
        <v>0</v>
      </c>
      <c r="O53" s="53">
        <f>VLOOKUP(B53,DRAYAGE!$A$1:$C$107,3,FALSE)</f>
        <v>1185</v>
      </c>
      <c r="P53" s="40" t="s">
        <v>361</v>
      </c>
      <c r="R53" s="101">
        <v>18000</v>
      </c>
      <c r="S53" s="101">
        <f>0.9*T53</f>
        <v>14850</v>
      </c>
      <c r="T53" s="54">
        <v>16500</v>
      </c>
      <c r="U53" s="103">
        <f>T53</f>
        <v>16500</v>
      </c>
      <c r="V53" s="104">
        <f>U53*1.266</f>
        <v>20889</v>
      </c>
      <c r="W53" s="40">
        <v>0</v>
      </c>
    </row>
    <row r="54" spans="1:29" s="40" customFormat="1" ht="14.45" customHeight="1" x14ac:dyDescent="0.25">
      <c r="A54" s="134" t="s">
        <v>337</v>
      </c>
      <c r="B54" s="88"/>
      <c r="C54" s="88"/>
      <c r="D54" s="88"/>
      <c r="E54" s="210"/>
      <c r="F54" s="211"/>
      <c r="G54" s="88"/>
      <c r="H54" s="88"/>
      <c r="I54" s="88"/>
      <c r="J54" s="88"/>
      <c r="K54" s="57"/>
      <c r="L54" s="89" t="s">
        <v>48</v>
      </c>
      <c r="M54" s="89" t="s">
        <v>261</v>
      </c>
      <c r="N54" s="90" t="s">
        <v>51</v>
      </c>
      <c r="O54" s="91" t="s">
        <v>50</v>
      </c>
      <c r="P54" s="91" t="s">
        <v>262</v>
      </c>
      <c r="Q54" s="91" t="s">
        <v>263</v>
      </c>
      <c r="R54" s="91" t="s">
        <v>264</v>
      </c>
      <c r="S54" s="92" t="s">
        <v>52</v>
      </c>
      <c r="T54" s="92" t="s">
        <v>53</v>
      </c>
      <c r="U54" s="92" t="s">
        <v>265</v>
      </c>
      <c r="V54" s="92" t="s">
        <v>266</v>
      </c>
      <c r="W54" s="92" t="s">
        <v>267</v>
      </c>
      <c r="X54" s="92" t="s">
        <v>268</v>
      </c>
      <c r="Y54" s="92" t="s">
        <v>52</v>
      </c>
      <c r="Z54" s="92" t="s">
        <v>53</v>
      </c>
      <c r="AA54" s="92" t="s">
        <v>265</v>
      </c>
      <c r="AB54" s="92" t="s">
        <v>266</v>
      </c>
      <c r="AC54" s="93" t="s">
        <v>269</v>
      </c>
    </row>
    <row r="55" spans="1:29" s="40" customFormat="1" ht="18.75" x14ac:dyDescent="0.25">
      <c r="A55" s="133" t="s">
        <v>81</v>
      </c>
      <c r="B55" s="51" t="s">
        <v>344</v>
      </c>
      <c r="C55" s="94" t="s">
        <v>54</v>
      </c>
      <c r="D55" s="95" t="s">
        <v>308</v>
      </c>
      <c r="E55" s="96" t="s">
        <v>114</v>
      </c>
      <c r="F55" s="97" t="s">
        <v>270</v>
      </c>
      <c r="G55" s="98">
        <f t="shared" ref="G55:G60" si="21">CEILING(S55+W55+X55+O55+N55+Y55,10)</f>
        <v>13950</v>
      </c>
      <c r="H55" s="99">
        <f t="shared" ref="H55:H60" si="22">CEILING(T55+W55+X55+O55+N55+Z55,10)</f>
        <v>15350</v>
      </c>
      <c r="I55" s="99">
        <f t="shared" ref="I55:I60" si="23">CEILING(U55+W55+X55+O55+N55+AA55,10)</f>
        <v>15350</v>
      </c>
      <c r="J55" s="99">
        <f t="shared" ref="J55:J60" si="24">CEILING(V55+W55+X55+O55+N55+AB55,10)</f>
        <v>19070</v>
      </c>
      <c r="K55" s="57"/>
      <c r="L55" s="100" t="s">
        <v>272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S55" s="101">
        <f t="shared" ref="S55:S60" si="25">0.9*T55</f>
        <v>12600</v>
      </c>
      <c r="T55" s="54">
        <f t="shared" ref="T55:T60" si="26">T38</f>
        <v>14000</v>
      </c>
      <c r="U55" s="103">
        <f t="shared" si="5"/>
        <v>14000</v>
      </c>
      <c r="V55" s="104">
        <f t="shared" ref="V55:V60" si="27">U55*1.266</f>
        <v>17724</v>
      </c>
      <c r="X55" s="40">
        <v>0</v>
      </c>
    </row>
    <row r="56" spans="1:29" s="40" customFormat="1" ht="14.45" customHeight="1" x14ac:dyDescent="0.25">
      <c r="A56" s="133" t="s">
        <v>55</v>
      </c>
      <c r="B56" s="51" t="s">
        <v>344</v>
      </c>
      <c r="C56" s="94" t="s">
        <v>54</v>
      </c>
      <c r="D56" s="95" t="s">
        <v>308</v>
      </c>
      <c r="E56" s="96" t="s">
        <v>114</v>
      </c>
      <c r="F56" s="97" t="s">
        <v>270</v>
      </c>
      <c r="G56" s="98">
        <f t="shared" si="21"/>
        <v>12150</v>
      </c>
      <c r="H56" s="99">
        <f t="shared" si="22"/>
        <v>13350</v>
      </c>
      <c r="I56" s="99">
        <f t="shared" si="23"/>
        <v>13350</v>
      </c>
      <c r="J56" s="99">
        <f t="shared" si="24"/>
        <v>16540</v>
      </c>
      <c r="K56" s="57"/>
      <c r="L56" s="100" t="s">
        <v>272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S56" s="101">
        <f t="shared" si="25"/>
        <v>10800</v>
      </c>
      <c r="T56" s="54">
        <f t="shared" si="26"/>
        <v>12000</v>
      </c>
      <c r="U56" s="103">
        <f t="shared" si="5"/>
        <v>12000</v>
      </c>
      <c r="V56" s="104">
        <f t="shared" si="27"/>
        <v>15192</v>
      </c>
      <c r="X56" s="40">
        <v>0</v>
      </c>
    </row>
    <row r="57" spans="1:29" s="40" customFormat="1" ht="14.45" customHeight="1" x14ac:dyDescent="0.25">
      <c r="A57" s="133" t="s">
        <v>59</v>
      </c>
      <c r="B57" s="51" t="s">
        <v>344</v>
      </c>
      <c r="C57" s="94" t="s">
        <v>54</v>
      </c>
      <c r="D57" s="95" t="s">
        <v>308</v>
      </c>
      <c r="E57" s="96" t="s">
        <v>114</v>
      </c>
      <c r="F57" s="97" t="s">
        <v>270</v>
      </c>
      <c r="G57" s="98">
        <f t="shared" si="21"/>
        <v>13950</v>
      </c>
      <c r="H57" s="99">
        <f t="shared" si="22"/>
        <v>15350</v>
      </c>
      <c r="I57" s="99">
        <f t="shared" si="23"/>
        <v>15350</v>
      </c>
      <c r="J57" s="99">
        <f t="shared" si="24"/>
        <v>19070</v>
      </c>
      <c r="K57" s="57"/>
      <c r="L57" s="100" t="s">
        <v>272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S57" s="101">
        <f t="shared" si="25"/>
        <v>12600</v>
      </c>
      <c r="T57" s="54">
        <f t="shared" si="26"/>
        <v>14000</v>
      </c>
      <c r="U57" s="103">
        <f t="shared" si="5"/>
        <v>14000</v>
      </c>
      <c r="V57" s="104">
        <f t="shared" si="27"/>
        <v>17724</v>
      </c>
      <c r="X57" s="40">
        <v>0</v>
      </c>
    </row>
    <row r="58" spans="1:29" s="40" customFormat="1" ht="18.75" x14ac:dyDescent="0.25">
      <c r="A58" s="133" t="s">
        <v>60</v>
      </c>
      <c r="B58" s="51" t="s">
        <v>344</v>
      </c>
      <c r="C58" s="94" t="s">
        <v>54</v>
      </c>
      <c r="D58" s="95" t="s">
        <v>308</v>
      </c>
      <c r="E58" s="96" t="s">
        <v>114</v>
      </c>
      <c r="F58" s="97" t="s">
        <v>270</v>
      </c>
      <c r="G58" s="98">
        <f t="shared" si="21"/>
        <v>14400</v>
      </c>
      <c r="H58" s="99">
        <f t="shared" si="22"/>
        <v>15850</v>
      </c>
      <c r="I58" s="99">
        <f t="shared" si="23"/>
        <v>15850</v>
      </c>
      <c r="J58" s="99">
        <f t="shared" si="24"/>
        <v>19710</v>
      </c>
      <c r="K58" s="57"/>
      <c r="L58" s="100" t="s">
        <v>272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S58" s="101">
        <f t="shared" si="25"/>
        <v>13050</v>
      </c>
      <c r="T58" s="54">
        <f t="shared" si="26"/>
        <v>14500</v>
      </c>
      <c r="U58" s="103">
        <f t="shared" si="5"/>
        <v>14500</v>
      </c>
      <c r="V58" s="104">
        <f t="shared" si="27"/>
        <v>18357</v>
      </c>
      <c r="X58" s="40">
        <v>0</v>
      </c>
    </row>
    <row r="59" spans="1:29" s="40" customFormat="1" ht="14.45" customHeight="1" x14ac:dyDescent="0.25">
      <c r="A59" s="133" t="s">
        <v>61</v>
      </c>
      <c r="B59" s="51" t="s">
        <v>344</v>
      </c>
      <c r="C59" s="94" t="s">
        <v>54</v>
      </c>
      <c r="D59" s="95" t="s">
        <v>308</v>
      </c>
      <c r="E59" s="96" t="s">
        <v>114</v>
      </c>
      <c r="F59" s="97" t="s">
        <v>270</v>
      </c>
      <c r="G59" s="98">
        <f t="shared" si="21"/>
        <v>13950</v>
      </c>
      <c r="H59" s="99">
        <f t="shared" si="22"/>
        <v>15350</v>
      </c>
      <c r="I59" s="99">
        <f t="shared" si="23"/>
        <v>15350</v>
      </c>
      <c r="J59" s="99">
        <f t="shared" si="24"/>
        <v>19070</v>
      </c>
      <c r="K59" s="57"/>
      <c r="L59" s="100" t="s">
        <v>272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S59" s="101">
        <f t="shared" si="25"/>
        <v>12600</v>
      </c>
      <c r="T59" s="54">
        <f t="shared" si="26"/>
        <v>14000</v>
      </c>
      <c r="U59" s="103">
        <f t="shared" si="5"/>
        <v>14000</v>
      </c>
      <c r="V59" s="104">
        <f t="shared" si="27"/>
        <v>17724</v>
      </c>
      <c r="X59" s="40">
        <v>0</v>
      </c>
    </row>
    <row r="60" spans="1:29" s="40" customFormat="1" ht="18.75" x14ac:dyDescent="0.25">
      <c r="A60" s="133" t="s">
        <v>273</v>
      </c>
      <c r="B60" s="51" t="s">
        <v>344</v>
      </c>
      <c r="C60" s="94" t="s">
        <v>54</v>
      </c>
      <c r="D60" s="95" t="s">
        <v>308</v>
      </c>
      <c r="E60" s="96" t="s">
        <v>114</v>
      </c>
      <c r="F60" s="97" t="s">
        <v>270</v>
      </c>
      <c r="G60" s="98">
        <f t="shared" si="21"/>
        <v>18450</v>
      </c>
      <c r="H60" s="99">
        <f t="shared" si="22"/>
        <v>20350</v>
      </c>
      <c r="I60" s="99">
        <f t="shared" si="23"/>
        <v>20350</v>
      </c>
      <c r="J60" s="99">
        <f t="shared" si="24"/>
        <v>25400</v>
      </c>
      <c r="K60" s="57"/>
      <c r="L60" s="100" t="s">
        <v>272</v>
      </c>
      <c r="M60" s="52" t="s">
        <v>294</v>
      </c>
      <c r="N60" s="40">
        <v>0</v>
      </c>
      <c r="O60" s="53">
        <f>VLOOKUP(B60,DRAYAGE!$A$1:$C$107,3,FALSE)</f>
        <v>1345</v>
      </c>
      <c r="P60" s="40" t="s">
        <v>301</v>
      </c>
      <c r="S60" s="101">
        <f t="shared" si="25"/>
        <v>17100</v>
      </c>
      <c r="T60" s="54">
        <f t="shared" si="26"/>
        <v>19000</v>
      </c>
      <c r="U60" s="103">
        <f t="shared" si="5"/>
        <v>19000</v>
      </c>
      <c r="V60" s="104">
        <f t="shared" si="27"/>
        <v>24054</v>
      </c>
      <c r="X60" s="40">
        <v>0</v>
      </c>
    </row>
    <row r="61" spans="1:29" s="40" customFormat="1" ht="14.45" customHeight="1" x14ac:dyDescent="0.25">
      <c r="A61" s="212" t="s">
        <v>271</v>
      </c>
      <c r="B61" s="212"/>
      <c r="C61" s="212"/>
      <c r="D61" s="212"/>
      <c r="E61" s="212"/>
      <c r="F61" s="212"/>
      <c r="G61" s="212"/>
      <c r="H61" s="212"/>
      <c r="I61" s="212"/>
      <c r="J61" s="212"/>
      <c r="K61" s="57"/>
      <c r="L61" s="100"/>
      <c r="M61" s="100"/>
      <c r="S61" s="101"/>
      <c r="T61" s="102"/>
      <c r="U61" s="103"/>
      <c r="V61" s="104"/>
    </row>
    <row r="62" spans="1:29" s="32" customFormat="1" ht="12.75" x14ac:dyDescent="0.2">
      <c r="A62" s="31"/>
      <c r="B62" s="33"/>
      <c r="C62" s="33"/>
      <c r="D62" s="33"/>
      <c r="E62" s="33"/>
      <c r="F62" s="34"/>
      <c r="G62" s="34"/>
      <c r="H62" s="34"/>
      <c r="I62" s="35"/>
      <c r="J62" s="29"/>
      <c r="K62" s="29"/>
      <c r="L62" s="27"/>
      <c r="M62" s="27"/>
      <c r="N62" s="30"/>
      <c r="O62" s="30"/>
      <c r="P62" s="30"/>
      <c r="Q62" s="30"/>
      <c r="R62" s="30"/>
      <c r="S62" s="28"/>
      <c r="T62" s="28"/>
      <c r="U62" s="28"/>
      <c r="V62" s="28"/>
      <c r="W62" s="28"/>
    </row>
    <row r="63" spans="1:29" s="37" customFormat="1" ht="14.45" customHeight="1" x14ac:dyDescent="0.25">
      <c r="A63" s="180" t="s">
        <v>111</v>
      </c>
      <c r="B63" s="180"/>
      <c r="C63" s="180"/>
      <c r="D63" s="180"/>
      <c r="E63" s="180"/>
      <c r="F63" s="180"/>
      <c r="G63" s="180"/>
      <c r="H63" s="180"/>
      <c r="I63" s="180"/>
      <c r="J63" s="180"/>
      <c r="K63" s="57"/>
    </row>
    <row r="64" spans="1:29" s="37" customFormat="1" ht="14.45" customHeight="1" x14ac:dyDescent="0.25">
      <c r="A64" s="208" t="s">
        <v>112</v>
      </c>
      <c r="B64" s="208"/>
      <c r="C64" s="208"/>
      <c r="D64" s="208"/>
      <c r="E64" s="208"/>
      <c r="F64" s="208"/>
      <c r="G64" s="208"/>
      <c r="H64" s="208"/>
      <c r="I64" s="208"/>
      <c r="J64" s="208"/>
      <c r="K64" s="57"/>
    </row>
    <row r="65" spans="1:17" s="37" customFormat="1" ht="14.45" customHeight="1" x14ac:dyDescent="0.25">
      <c r="A65" s="186" t="s">
        <v>67</v>
      </c>
      <c r="B65" s="186"/>
      <c r="C65" s="186"/>
      <c r="D65" s="186"/>
      <c r="E65" s="186" t="s">
        <v>68</v>
      </c>
      <c r="F65" s="186"/>
      <c r="G65" s="186"/>
      <c r="H65" s="186"/>
      <c r="I65" s="186"/>
      <c r="J65" s="186"/>
      <c r="K65" s="57"/>
      <c r="L65" s="209" t="s">
        <v>113</v>
      </c>
      <c r="M65" s="209"/>
      <c r="N65" s="209"/>
      <c r="O65" s="209"/>
      <c r="P65" s="209"/>
      <c r="Q65" s="209"/>
    </row>
    <row r="66" spans="1:17" s="37" customFormat="1" ht="14.45" customHeight="1" x14ac:dyDescent="0.25">
      <c r="A66" s="196" t="s">
        <v>69</v>
      </c>
      <c r="B66" s="196"/>
      <c r="C66" s="196"/>
      <c r="D66" s="196"/>
      <c r="E66" s="58" t="s">
        <v>114</v>
      </c>
      <c r="F66" s="196" t="s">
        <v>70</v>
      </c>
      <c r="G66" s="196"/>
      <c r="H66" s="196"/>
      <c r="I66" s="196"/>
      <c r="J66" s="196"/>
      <c r="K66" s="57"/>
      <c r="L66" s="197" t="s">
        <v>115</v>
      </c>
      <c r="M66" s="197"/>
      <c r="N66" s="197"/>
      <c r="O66" s="197"/>
      <c r="P66" s="197"/>
      <c r="Q66" s="197"/>
    </row>
    <row r="67" spans="1:17" s="37" customFormat="1" ht="14.45" customHeight="1" x14ac:dyDescent="0.25">
      <c r="A67" s="196" t="s">
        <v>71</v>
      </c>
      <c r="B67" s="196"/>
      <c r="C67" s="196"/>
      <c r="D67" s="201"/>
      <c r="E67" s="58" t="s">
        <v>114</v>
      </c>
      <c r="F67" s="196" t="s">
        <v>116</v>
      </c>
      <c r="G67" s="196"/>
      <c r="H67" s="196"/>
      <c r="I67" s="196"/>
      <c r="J67" s="196"/>
      <c r="K67" s="57"/>
      <c r="L67" s="197"/>
      <c r="M67" s="197"/>
      <c r="N67" s="197"/>
      <c r="O67" s="197"/>
      <c r="P67" s="197"/>
      <c r="Q67" s="197"/>
    </row>
    <row r="68" spans="1:17" s="37" customFormat="1" ht="14.45" customHeight="1" x14ac:dyDescent="0.25">
      <c r="A68" s="196" t="s">
        <v>117</v>
      </c>
      <c r="B68" s="196"/>
      <c r="C68" s="196"/>
      <c r="D68" s="201"/>
      <c r="E68" s="58" t="s">
        <v>114</v>
      </c>
      <c r="F68" s="196" t="s">
        <v>306</v>
      </c>
      <c r="G68" s="196"/>
      <c r="H68" s="196"/>
      <c r="I68" s="196"/>
      <c r="J68" s="196"/>
      <c r="K68" s="57"/>
      <c r="L68" s="59" t="s">
        <v>118</v>
      </c>
      <c r="M68" s="129"/>
      <c r="N68" s="129"/>
      <c r="O68" s="129"/>
      <c r="P68" s="129"/>
      <c r="Q68" s="129"/>
    </row>
    <row r="69" spans="1:17" s="37" customFormat="1" ht="14.45" customHeight="1" x14ac:dyDescent="0.25">
      <c r="A69" s="196" t="s">
        <v>303</v>
      </c>
      <c r="B69" s="196"/>
      <c r="C69" s="196"/>
      <c r="D69" s="201"/>
      <c r="E69" s="58" t="s">
        <v>114</v>
      </c>
      <c r="F69" s="196" t="s">
        <v>304</v>
      </c>
      <c r="G69" s="196"/>
      <c r="H69" s="196"/>
      <c r="I69" s="196"/>
      <c r="J69" s="196"/>
      <c r="K69" s="57"/>
      <c r="L69" s="59" t="s">
        <v>118</v>
      </c>
      <c r="M69" s="129"/>
      <c r="N69" s="129"/>
      <c r="O69" s="129"/>
      <c r="P69" s="129"/>
      <c r="Q69" s="129"/>
    </row>
    <row r="70" spans="1:17" s="37" customFormat="1" ht="29.1" customHeight="1" x14ac:dyDescent="0.25">
      <c r="A70" s="231" t="s">
        <v>367</v>
      </c>
      <c r="B70" s="231"/>
      <c r="C70" s="231"/>
      <c r="D70" s="232"/>
      <c r="E70" s="145" t="s">
        <v>114</v>
      </c>
      <c r="F70" s="233" t="s">
        <v>368</v>
      </c>
      <c r="G70" s="233"/>
      <c r="H70" s="233"/>
      <c r="I70" s="233"/>
      <c r="J70" s="233"/>
      <c r="K70" s="57"/>
      <c r="L70" s="59" t="s">
        <v>118</v>
      </c>
      <c r="M70" s="129"/>
      <c r="N70" s="129"/>
      <c r="O70" s="129"/>
      <c r="P70" s="129"/>
      <c r="Q70" s="129"/>
    </row>
    <row r="71" spans="1:17" s="37" customFormat="1" ht="40.5" customHeight="1" x14ac:dyDescent="0.25">
      <c r="A71" s="229" t="s">
        <v>309</v>
      </c>
      <c r="B71" s="229"/>
      <c r="C71" s="229"/>
      <c r="D71" s="198"/>
      <c r="E71" s="131" t="s">
        <v>114</v>
      </c>
      <c r="F71" s="229" t="s">
        <v>310</v>
      </c>
      <c r="G71" s="229"/>
      <c r="H71" s="229"/>
      <c r="I71" s="229"/>
      <c r="J71" s="229"/>
      <c r="K71" s="132"/>
      <c r="L71" s="59" t="s">
        <v>118</v>
      </c>
      <c r="M71" s="129"/>
      <c r="N71" s="129"/>
      <c r="O71" s="129"/>
      <c r="P71" s="129"/>
      <c r="Q71" s="129"/>
    </row>
    <row r="72" spans="1:17" s="37" customFormat="1" ht="14.45" customHeight="1" x14ac:dyDescent="0.25">
      <c r="A72" s="196" t="s">
        <v>119</v>
      </c>
      <c r="B72" s="196"/>
      <c r="C72" s="196"/>
      <c r="D72" s="196"/>
      <c r="E72" s="58" t="s">
        <v>114</v>
      </c>
      <c r="F72" s="196" t="s">
        <v>120</v>
      </c>
      <c r="G72" s="196"/>
      <c r="H72" s="196"/>
      <c r="I72" s="196"/>
      <c r="J72" s="196"/>
      <c r="K72" s="132"/>
      <c r="L72" s="197" t="s">
        <v>121</v>
      </c>
      <c r="M72" s="197"/>
      <c r="N72" s="197"/>
      <c r="O72" s="197"/>
      <c r="P72" s="197"/>
      <c r="Q72" s="197"/>
    </row>
    <row r="73" spans="1:17" s="37" customFormat="1" ht="14.45" customHeight="1" x14ac:dyDescent="0.25">
      <c r="A73" s="196" t="s">
        <v>122</v>
      </c>
      <c r="B73" s="196"/>
      <c r="C73" s="196"/>
      <c r="D73" s="196"/>
      <c r="E73" s="58" t="s">
        <v>114</v>
      </c>
      <c r="F73" s="196" t="s">
        <v>123</v>
      </c>
      <c r="G73" s="196"/>
      <c r="H73" s="196"/>
      <c r="I73" s="196"/>
      <c r="J73" s="196"/>
      <c r="K73" s="132"/>
      <c r="L73" s="197"/>
      <c r="M73" s="197"/>
      <c r="N73" s="197"/>
      <c r="O73" s="197"/>
      <c r="P73" s="197"/>
      <c r="Q73" s="197"/>
    </row>
    <row r="74" spans="1:17" s="37" customFormat="1" ht="14.45" customHeight="1" x14ac:dyDescent="0.25">
      <c r="A74" s="196" t="s">
        <v>277</v>
      </c>
      <c r="B74" s="196"/>
      <c r="C74" s="196"/>
      <c r="D74" s="196"/>
      <c r="E74" s="58" t="s">
        <v>114</v>
      </c>
      <c r="F74" s="196" t="s">
        <v>278</v>
      </c>
      <c r="G74" s="196"/>
      <c r="H74" s="196"/>
      <c r="I74" s="196"/>
      <c r="J74" s="196"/>
      <c r="K74" s="132"/>
      <c r="L74" s="197"/>
      <c r="M74" s="197"/>
      <c r="N74" s="197"/>
      <c r="O74" s="197"/>
      <c r="P74" s="197"/>
      <c r="Q74" s="197"/>
    </row>
    <row r="75" spans="1:17" s="37" customFormat="1" ht="14.45" customHeight="1" x14ac:dyDescent="0.25">
      <c r="A75" s="196" t="s">
        <v>124</v>
      </c>
      <c r="B75" s="196"/>
      <c r="C75" s="196"/>
      <c r="D75" s="196"/>
      <c r="E75" s="58" t="s">
        <v>114</v>
      </c>
      <c r="F75" s="196" t="s">
        <v>125</v>
      </c>
      <c r="G75" s="196"/>
      <c r="H75" s="196"/>
      <c r="I75" s="196"/>
      <c r="J75" s="196"/>
      <c r="K75" s="132"/>
      <c r="L75" s="197"/>
      <c r="M75" s="197"/>
      <c r="N75" s="197"/>
      <c r="O75" s="197"/>
      <c r="P75" s="197"/>
      <c r="Q75" s="197"/>
    </row>
    <row r="76" spans="1:17" s="37" customFormat="1" ht="18.95" customHeight="1" x14ac:dyDescent="0.25">
      <c r="A76" s="196" t="s">
        <v>126</v>
      </c>
      <c r="B76" s="196"/>
      <c r="C76" s="196"/>
      <c r="D76" s="201"/>
      <c r="E76" s="58" t="s">
        <v>127</v>
      </c>
      <c r="F76" s="128" t="s">
        <v>128</v>
      </c>
      <c r="G76" s="185" t="s">
        <v>129</v>
      </c>
      <c r="H76" s="185"/>
      <c r="I76" s="185"/>
      <c r="J76" s="185"/>
      <c r="K76" s="132"/>
      <c r="L76" s="197" t="s">
        <v>130</v>
      </c>
      <c r="M76" s="197"/>
      <c r="N76" s="197"/>
      <c r="O76" s="197"/>
      <c r="P76" s="197"/>
      <c r="Q76" s="197"/>
    </row>
    <row r="77" spans="1:17" s="37" customFormat="1" ht="24.95" customHeight="1" x14ac:dyDescent="0.25">
      <c r="A77" s="196" t="s">
        <v>126</v>
      </c>
      <c r="B77" s="196"/>
      <c r="C77" s="196"/>
      <c r="D77" s="196"/>
      <c r="E77" s="58" t="s">
        <v>127</v>
      </c>
      <c r="F77" s="128" t="s">
        <v>131</v>
      </c>
      <c r="G77" s="185" t="s">
        <v>132</v>
      </c>
      <c r="H77" s="185"/>
      <c r="I77" s="185"/>
      <c r="J77" s="185"/>
      <c r="K77" s="132"/>
      <c r="L77" s="197" t="s">
        <v>130</v>
      </c>
      <c r="M77" s="197"/>
      <c r="N77" s="197"/>
      <c r="O77" s="197"/>
      <c r="P77" s="197"/>
      <c r="Q77" s="197"/>
    </row>
    <row r="78" spans="1:17" s="37" customFormat="1" ht="37.5" customHeight="1" x14ac:dyDescent="0.25">
      <c r="A78" s="198" t="s">
        <v>311</v>
      </c>
      <c r="B78" s="199"/>
      <c r="C78" s="199"/>
      <c r="D78" s="200"/>
      <c r="E78" s="198" t="s">
        <v>312</v>
      </c>
      <c r="F78" s="199"/>
      <c r="G78" s="199"/>
      <c r="H78" s="199"/>
      <c r="I78" s="199"/>
      <c r="J78" s="200"/>
      <c r="K78" s="132"/>
      <c r="L78" s="197"/>
      <c r="M78" s="197"/>
      <c r="N78" s="197"/>
      <c r="O78" s="197"/>
      <c r="P78" s="197"/>
      <c r="Q78" s="197"/>
    </row>
    <row r="79" spans="1:17" s="37" customFormat="1" ht="14.45" customHeight="1" x14ac:dyDescent="0.25">
      <c r="A79" s="180" t="s">
        <v>133</v>
      </c>
      <c r="B79" s="180"/>
      <c r="C79" s="180"/>
      <c r="D79" s="180"/>
      <c r="E79" s="180"/>
      <c r="F79" s="180"/>
      <c r="G79" s="180"/>
      <c r="H79" s="180"/>
      <c r="I79" s="180"/>
      <c r="J79" s="180"/>
      <c r="K79" s="57"/>
      <c r="L79" s="129"/>
      <c r="M79" s="129"/>
    </row>
    <row r="80" spans="1:17" s="37" customFormat="1" ht="14.45" customHeight="1" x14ac:dyDescent="0.2">
      <c r="A80" s="60" t="s">
        <v>134</v>
      </c>
      <c r="B80" s="60" t="s">
        <v>135</v>
      </c>
      <c r="C80" s="60" t="s">
        <v>136</v>
      </c>
      <c r="D80" s="193" t="s">
        <v>137</v>
      </c>
      <c r="E80" s="194"/>
      <c r="F80" s="195"/>
      <c r="G80" s="61" t="s">
        <v>138</v>
      </c>
      <c r="H80" s="60" t="s">
        <v>139</v>
      </c>
      <c r="I80" s="61" t="s">
        <v>140</v>
      </c>
      <c r="J80" s="61" t="s">
        <v>141</v>
      </c>
      <c r="K80" s="57"/>
      <c r="L80" s="129"/>
      <c r="M80" s="129"/>
    </row>
    <row r="81" spans="1:13" s="37" customFormat="1" ht="14.45" customHeight="1" x14ac:dyDescent="0.2">
      <c r="A81" s="62" t="s">
        <v>142</v>
      </c>
      <c r="B81" s="62" t="s">
        <v>49</v>
      </c>
      <c r="C81" s="62" t="s">
        <v>143</v>
      </c>
      <c r="D81" s="187" t="s">
        <v>144</v>
      </c>
      <c r="E81" s="188"/>
      <c r="F81" s="189"/>
      <c r="G81" s="63">
        <v>50</v>
      </c>
      <c r="H81" s="62" t="s">
        <v>145</v>
      </c>
      <c r="I81" s="63">
        <v>150</v>
      </c>
      <c r="J81" s="63" t="s">
        <v>110</v>
      </c>
      <c r="K81" s="57"/>
      <c r="L81" s="129"/>
      <c r="M81" s="129"/>
    </row>
    <row r="82" spans="1:13" s="37" customFormat="1" ht="14.45" customHeight="1" x14ac:dyDescent="0.2">
      <c r="A82" s="62" t="s">
        <v>142</v>
      </c>
      <c r="B82" s="62" t="s">
        <v>146</v>
      </c>
      <c r="C82" s="62" t="s">
        <v>147</v>
      </c>
      <c r="D82" s="187" t="s">
        <v>148</v>
      </c>
      <c r="E82" s="188"/>
      <c r="F82" s="189"/>
      <c r="G82" s="63">
        <v>3</v>
      </c>
      <c r="H82" s="62" t="s">
        <v>149</v>
      </c>
      <c r="I82" s="63">
        <v>3</v>
      </c>
      <c r="J82" s="63" t="s">
        <v>110</v>
      </c>
      <c r="K82" s="57"/>
      <c r="L82" s="129"/>
      <c r="M82" s="129"/>
    </row>
    <row r="83" spans="1:13" s="37" customFormat="1" ht="14.45" customHeight="1" x14ac:dyDescent="0.2">
      <c r="A83" s="62" t="s">
        <v>150</v>
      </c>
      <c r="B83" s="62" t="s">
        <v>146</v>
      </c>
      <c r="C83" s="62" t="s">
        <v>147</v>
      </c>
      <c r="D83" s="187" t="s">
        <v>151</v>
      </c>
      <c r="E83" s="188"/>
      <c r="F83" s="189"/>
      <c r="G83" s="63">
        <v>3</v>
      </c>
      <c r="H83" s="62" t="s">
        <v>152</v>
      </c>
      <c r="I83" s="63">
        <v>3</v>
      </c>
      <c r="J83" s="63" t="s">
        <v>110</v>
      </c>
      <c r="K83" s="57"/>
      <c r="L83" s="129"/>
      <c r="M83" s="129"/>
    </row>
    <row r="84" spans="1:13" s="37" customFormat="1" ht="14.45" customHeight="1" x14ac:dyDescent="0.2">
      <c r="A84" s="62" t="s">
        <v>173</v>
      </c>
      <c r="B84" s="62" t="s">
        <v>49</v>
      </c>
      <c r="C84" s="62" t="s">
        <v>143</v>
      </c>
      <c r="D84" s="187" t="s">
        <v>313</v>
      </c>
      <c r="E84" s="188"/>
      <c r="F84" s="189"/>
      <c r="G84" s="66">
        <v>75</v>
      </c>
      <c r="H84" s="62" t="s">
        <v>145</v>
      </c>
      <c r="I84" s="66">
        <f>75*3</f>
        <v>225</v>
      </c>
      <c r="J84" s="66" t="s">
        <v>314</v>
      </c>
      <c r="K84" s="132"/>
      <c r="L84" s="129"/>
      <c r="M84" s="129"/>
    </row>
    <row r="85" spans="1:13" s="37" customFormat="1" ht="14.45" customHeight="1" x14ac:dyDescent="0.2">
      <c r="A85" s="62" t="s">
        <v>142</v>
      </c>
      <c r="B85" s="62" t="s">
        <v>49</v>
      </c>
      <c r="C85" s="62" t="s">
        <v>143</v>
      </c>
      <c r="D85" s="187" t="s">
        <v>279</v>
      </c>
      <c r="E85" s="188"/>
      <c r="F85" s="189"/>
      <c r="G85" s="63">
        <v>150</v>
      </c>
      <c r="H85" s="62" t="s">
        <v>280</v>
      </c>
      <c r="I85" s="63" t="s">
        <v>153</v>
      </c>
      <c r="J85" s="63" t="s">
        <v>110</v>
      </c>
      <c r="K85" s="57"/>
      <c r="L85" s="129"/>
      <c r="M85" s="129"/>
    </row>
    <row r="86" spans="1:13" s="37" customFormat="1" ht="14.45" customHeight="1" x14ac:dyDescent="0.2">
      <c r="A86" s="62" t="s">
        <v>154</v>
      </c>
      <c r="B86" s="62" t="s">
        <v>49</v>
      </c>
      <c r="C86" s="62" t="s">
        <v>143</v>
      </c>
      <c r="D86" s="187" t="s">
        <v>155</v>
      </c>
      <c r="E86" s="188"/>
      <c r="F86" s="189"/>
      <c r="G86" s="63">
        <v>250</v>
      </c>
      <c r="H86" s="62" t="s">
        <v>49</v>
      </c>
      <c r="I86" s="63" t="s">
        <v>153</v>
      </c>
      <c r="J86" s="63" t="s">
        <v>110</v>
      </c>
      <c r="K86" s="57"/>
      <c r="L86" s="129"/>
      <c r="M86" s="129"/>
    </row>
    <row r="87" spans="1:13" s="37" customFormat="1" ht="14.45" customHeight="1" x14ac:dyDescent="0.2">
      <c r="A87" s="65" t="s">
        <v>156</v>
      </c>
      <c r="B87" s="65" t="s">
        <v>49</v>
      </c>
      <c r="C87" s="65" t="s">
        <v>143</v>
      </c>
      <c r="D87" s="187" t="s">
        <v>157</v>
      </c>
      <c r="E87" s="188"/>
      <c r="F87" s="189"/>
      <c r="G87" s="63">
        <v>250</v>
      </c>
      <c r="H87" s="62" t="s">
        <v>49</v>
      </c>
      <c r="I87" s="63" t="s">
        <v>153</v>
      </c>
      <c r="J87" s="63" t="s">
        <v>110</v>
      </c>
      <c r="K87" s="57"/>
      <c r="L87" s="129"/>
      <c r="M87" s="129"/>
    </row>
    <row r="88" spans="1:13" s="37" customFormat="1" ht="14.45" customHeight="1" x14ac:dyDescent="0.2">
      <c r="A88" s="62" t="s">
        <v>142</v>
      </c>
      <c r="B88" s="62" t="s">
        <v>49</v>
      </c>
      <c r="C88" s="62" t="s">
        <v>143</v>
      </c>
      <c r="D88" s="187" t="s">
        <v>281</v>
      </c>
      <c r="E88" s="188"/>
      <c r="F88" s="189"/>
      <c r="G88" s="63">
        <v>200</v>
      </c>
      <c r="H88" s="62" t="s">
        <v>280</v>
      </c>
      <c r="I88" s="63" t="s">
        <v>153</v>
      </c>
      <c r="J88" s="63" t="s">
        <v>110</v>
      </c>
      <c r="K88" s="57"/>
      <c r="L88" s="129"/>
      <c r="M88" s="129"/>
    </row>
    <row r="89" spans="1:13" s="37" customFormat="1" ht="14.45" customHeight="1" x14ac:dyDescent="0.2">
      <c r="A89" s="62" t="s">
        <v>142</v>
      </c>
      <c r="B89" s="62" t="s">
        <v>49</v>
      </c>
      <c r="C89" s="62" t="s">
        <v>143</v>
      </c>
      <c r="D89" s="187" t="s">
        <v>158</v>
      </c>
      <c r="E89" s="188"/>
      <c r="F89" s="189"/>
      <c r="G89" s="66">
        <v>150</v>
      </c>
      <c r="H89" s="62" t="s">
        <v>49</v>
      </c>
      <c r="I89" s="66" t="s">
        <v>153</v>
      </c>
      <c r="J89" s="63" t="s">
        <v>110</v>
      </c>
      <c r="K89" s="57"/>
      <c r="L89" s="129"/>
      <c r="M89" s="129"/>
    </row>
    <row r="90" spans="1:13" s="37" customFormat="1" ht="14.45" customHeight="1" x14ac:dyDescent="0.2">
      <c r="A90" s="62" t="s">
        <v>150</v>
      </c>
      <c r="B90" s="67" t="s">
        <v>49</v>
      </c>
      <c r="C90" s="62" t="s">
        <v>143</v>
      </c>
      <c r="D90" s="187" t="s">
        <v>159</v>
      </c>
      <c r="E90" s="188"/>
      <c r="F90" s="189"/>
      <c r="G90" s="68">
        <v>180</v>
      </c>
      <c r="H90" s="67" t="s">
        <v>49</v>
      </c>
      <c r="I90" s="68" t="s">
        <v>153</v>
      </c>
      <c r="J90" s="63" t="s">
        <v>110</v>
      </c>
      <c r="K90" s="57"/>
      <c r="L90" s="129"/>
      <c r="M90" s="129"/>
    </row>
    <row r="91" spans="1:13" s="37" customFormat="1" ht="14.45" customHeight="1" x14ac:dyDescent="0.2">
      <c r="A91" s="62" t="s">
        <v>160</v>
      </c>
      <c r="B91" s="67" t="s">
        <v>49</v>
      </c>
      <c r="C91" s="62" t="s">
        <v>143</v>
      </c>
      <c r="D91" s="187" t="s">
        <v>161</v>
      </c>
      <c r="E91" s="188"/>
      <c r="F91" s="189"/>
      <c r="G91" s="69">
        <v>47.9</v>
      </c>
      <c r="H91" s="67" t="s">
        <v>24</v>
      </c>
      <c r="I91" s="69">
        <v>47.9</v>
      </c>
      <c r="J91" s="63" t="s">
        <v>110</v>
      </c>
      <c r="K91" s="57"/>
      <c r="L91" s="129"/>
      <c r="M91" s="129"/>
    </row>
    <row r="92" spans="1:13" s="37" customFormat="1" ht="14.45" customHeight="1" x14ac:dyDescent="0.2">
      <c r="A92" s="62" t="s">
        <v>160</v>
      </c>
      <c r="B92" s="67" t="s">
        <v>49</v>
      </c>
      <c r="C92" s="62" t="s">
        <v>143</v>
      </c>
      <c r="D92" s="187" t="s">
        <v>161</v>
      </c>
      <c r="E92" s="188"/>
      <c r="F92" s="189"/>
      <c r="G92" s="69">
        <v>65.400000000000006</v>
      </c>
      <c r="H92" s="67" t="s">
        <v>162</v>
      </c>
      <c r="I92" s="69">
        <v>65.400000000000006</v>
      </c>
      <c r="J92" s="63" t="s">
        <v>110</v>
      </c>
      <c r="K92" s="57"/>
      <c r="L92" s="129"/>
      <c r="M92" s="129"/>
    </row>
    <row r="93" spans="1:13" s="37" customFormat="1" ht="14.1" customHeight="1" x14ac:dyDescent="0.2">
      <c r="A93" s="62" t="s">
        <v>163</v>
      </c>
      <c r="B93" s="67" t="s">
        <v>49</v>
      </c>
      <c r="C93" s="62" t="s">
        <v>143</v>
      </c>
      <c r="D93" s="187" t="s">
        <v>164</v>
      </c>
      <c r="E93" s="188"/>
      <c r="F93" s="189"/>
      <c r="G93" s="69">
        <v>48</v>
      </c>
      <c r="H93" s="67" t="s">
        <v>49</v>
      </c>
      <c r="I93" s="69">
        <v>48</v>
      </c>
      <c r="J93" s="63" t="s">
        <v>110</v>
      </c>
      <c r="K93" s="57"/>
      <c r="L93" s="129"/>
      <c r="M93" s="129"/>
    </row>
    <row r="94" spans="1:13" s="37" customFormat="1" ht="14.45" customHeight="1" x14ac:dyDescent="0.2">
      <c r="A94" s="62" t="s">
        <v>163</v>
      </c>
      <c r="B94" s="67" t="s">
        <v>49</v>
      </c>
      <c r="C94" s="62" t="s">
        <v>143</v>
      </c>
      <c r="D94" s="187" t="s">
        <v>165</v>
      </c>
      <c r="E94" s="188"/>
      <c r="F94" s="189"/>
      <c r="G94" s="69">
        <v>18</v>
      </c>
      <c r="H94" s="67" t="s">
        <v>49</v>
      </c>
      <c r="I94" s="69">
        <v>18</v>
      </c>
      <c r="J94" s="63" t="s">
        <v>110</v>
      </c>
      <c r="K94" s="57"/>
      <c r="L94" s="129"/>
      <c r="M94" s="129"/>
    </row>
    <row r="95" spans="1:13" s="37" customFormat="1" ht="14.45" customHeight="1" x14ac:dyDescent="0.2">
      <c r="A95" s="62" t="s">
        <v>163</v>
      </c>
      <c r="B95" s="67" t="s">
        <v>49</v>
      </c>
      <c r="C95" s="62" t="s">
        <v>143</v>
      </c>
      <c r="D95" s="187" t="s">
        <v>166</v>
      </c>
      <c r="E95" s="188"/>
      <c r="F95" s="189"/>
      <c r="G95" s="69">
        <v>42</v>
      </c>
      <c r="H95" s="67" t="s">
        <v>49</v>
      </c>
      <c r="I95" s="69">
        <v>42</v>
      </c>
      <c r="J95" s="63" t="s">
        <v>110</v>
      </c>
      <c r="K95" s="57"/>
      <c r="L95" s="129"/>
      <c r="M95" s="129"/>
    </row>
    <row r="96" spans="1:13" s="37" customFormat="1" ht="14.45" customHeight="1" x14ac:dyDescent="0.2">
      <c r="A96" s="62" t="s">
        <v>167</v>
      </c>
      <c r="B96" s="62" t="s">
        <v>49</v>
      </c>
      <c r="C96" s="62" t="s">
        <v>143</v>
      </c>
      <c r="D96" s="187" t="s">
        <v>168</v>
      </c>
      <c r="E96" s="188"/>
      <c r="F96" s="189"/>
      <c r="G96" s="66">
        <v>54</v>
      </c>
      <c r="H96" s="62" t="s">
        <v>49</v>
      </c>
      <c r="I96" s="66">
        <v>54</v>
      </c>
      <c r="J96" s="63" t="s">
        <v>110</v>
      </c>
      <c r="K96" s="57"/>
      <c r="L96" s="129"/>
      <c r="M96" s="129"/>
    </row>
    <row r="97" spans="1:13" s="37" customFormat="1" ht="14.45" customHeight="1" x14ac:dyDescent="0.2">
      <c r="A97" s="67" t="s">
        <v>169</v>
      </c>
      <c r="B97" s="67" t="s">
        <v>49</v>
      </c>
      <c r="C97" s="67" t="s">
        <v>147</v>
      </c>
      <c r="D97" s="187" t="s">
        <v>170</v>
      </c>
      <c r="E97" s="188"/>
      <c r="F97" s="189"/>
      <c r="G97" s="70">
        <v>35</v>
      </c>
      <c r="H97" s="70" t="s">
        <v>280</v>
      </c>
      <c r="I97" s="70">
        <v>35</v>
      </c>
      <c r="J97" s="63" t="s">
        <v>110</v>
      </c>
      <c r="K97" s="57"/>
      <c r="L97" s="129"/>
      <c r="M97" s="129"/>
    </row>
    <row r="98" spans="1:13" s="37" customFormat="1" ht="14.45" customHeight="1" x14ac:dyDescent="0.2">
      <c r="A98" s="62" t="s">
        <v>142</v>
      </c>
      <c r="B98" s="62" t="s">
        <v>49</v>
      </c>
      <c r="C98" s="62" t="s">
        <v>143</v>
      </c>
      <c r="D98" s="187" t="s">
        <v>171</v>
      </c>
      <c r="E98" s="188"/>
      <c r="F98" s="189"/>
      <c r="G98" s="63">
        <v>85</v>
      </c>
      <c r="H98" s="62" t="s">
        <v>172</v>
      </c>
      <c r="I98" s="63" t="s">
        <v>153</v>
      </c>
      <c r="J98" s="63" t="s">
        <v>110</v>
      </c>
      <c r="K98" s="57"/>
      <c r="L98" s="129"/>
      <c r="M98" s="129"/>
    </row>
    <row r="99" spans="1:13" s="37" customFormat="1" ht="14.45" customHeight="1" x14ac:dyDescent="0.2">
      <c r="A99" s="62" t="s">
        <v>173</v>
      </c>
      <c r="B99" s="62" t="s">
        <v>146</v>
      </c>
      <c r="C99" s="62" t="s">
        <v>147</v>
      </c>
      <c r="D99" s="187" t="s">
        <v>174</v>
      </c>
      <c r="E99" s="188"/>
      <c r="F99" s="189"/>
      <c r="G99" s="63">
        <v>4</v>
      </c>
      <c r="H99" s="62" t="s">
        <v>149</v>
      </c>
      <c r="I99" s="63">
        <v>4</v>
      </c>
      <c r="J99" s="63" t="s">
        <v>110</v>
      </c>
      <c r="K99" s="57"/>
      <c r="L99" s="129"/>
      <c r="M99" s="129"/>
    </row>
    <row r="100" spans="1:13" s="37" customFormat="1" ht="24" customHeight="1" x14ac:dyDescent="0.2">
      <c r="A100" s="62" t="s">
        <v>173</v>
      </c>
      <c r="B100" s="62" t="s">
        <v>49</v>
      </c>
      <c r="C100" s="62" t="s">
        <v>143</v>
      </c>
      <c r="D100" s="187" t="s">
        <v>175</v>
      </c>
      <c r="E100" s="188"/>
      <c r="F100" s="189"/>
      <c r="G100" s="137" t="s">
        <v>348</v>
      </c>
      <c r="H100" s="62" t="s">
        <v>24</v>
      </c>
      <c r="I100" s="66" t="s">
        <v>153</v>
      </c>
      <c r="J100" s="63" t="s">
        <v>282</v>
      </c>
      <c r="K100" s="57"/>
      <c r="L100" s="129"/>
      <c r="M100" s="129"/>
    </row>
    <row r="101" spans="1:13" s="37" customFormat="1" ht="27" customHeight="1" x14ac:dyDescent="0.2">
      <c r="A101" s="62" t="s">
        <v>173</v>
      </c>
      <c r="B101" s="62" t="s">
        <v>49</v>
      </c>
      <c r="C101" s="62" t="s">
        <v>143</v>
      </c>
      <c r="D101" s="187" t="s">
        <v>176</v>
      </c>
      <c r="E101" s="188"/>
      <c r="F101" s="189"/>
      <c r="G101" s="137" t="s">
        <v>348</v>
      </c>
      <c r="H101" s="62" t="s">
        <v>162</v>
      </c>
      <c r="I101" s="66" t="s">
        <v>153</v>
      </c>
      <c r="J101" s="63" t="s">
        <v>282</v>
      </c>
      <c r="K101" s="57"/>
      <c r="L101" s="129"/>
      <c r="M101" s="129"/>
    </row>
    <row r="102" spans="1:13" s="37" customFormat="1" ht="52.35" customHeight="1" x14ac:dyDescent="0.2">
      <c r="A102" s="124" t="s">
        <v>142</v>
      </c>
      <c r="B102" s="124" t="s">
        <v>49</v>
      </c>
      <c r="C102" s="140" t="s">
        <v>362</v>
      </c>
      <c r="D102" s="236" t="s">
        <v>363</v>
      </c>
      <c r="E102" s="237"/>
      <c r="F102" s="238"/>
      <c r="G102" s="141" t="s">
        <v>364</v>
      </c>
      <c r="H102" s="142" t="s">
        <v>280</v>
      </c>
      <c r="I102" s="125" t="s">
        <v>153</v>
      </c>
      <c r="J102" s="143" t="s">
        <v>365</v>
      </c>
      <c r="K102" s="57"/>
      <c r="L102" s="129"/>
      <c r="M102" s="129"/>
    </row>
    <row r="103" spans="1:13" s="37" customFormat="1" ht="14.45" customHeight="1" x14ac:dyDescent="0.2">
      <c r="A103" s="62" t="s">
        <v>173</v>
      </c>
      <c r="B103" s="62" t="s">
        <v>146</v>
      </c>
      <c r="C103" s="62" t="s">
        <v>147</v>
      </c>
      <c r="D103" s="187" t="s">
        <v>177</v>
      </c>
      <c r="E103" s="188"/>
      <c r="F103" s="189"/>
      <c r="G103" s="63">
        <v>2</v>
      </c>
      <c r="H103" s="62" t="s">
        <v>149</v>
      </c>
      <c r="I103" s="63">
        <v>2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2" t="s">
        <v>173</v>
      </c>
      <c r="B104" s="62" t="s">
        <v>146</v>
      </c>
      <c r="C104" s="62" t="s">
        <v>283</v>
      </c>
      <c r="D104" s="187" t="s">
        <v>284</v>
      </c>
      <c r="E104" s="188"/>
      <c r="F104" s="189"/>
      <c r="G104" s="63">
        <v>10</v>
      </c>
      <c r="H104" s="62" t="s">
        <v>285</v>
      </c>
      <c r="I104" s="63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142</v>
      </c>
      <c r="B105" s="62" t="s">
        <v>49</v>
      </c>
      <c r="C105" s="62" t="s">
        <v>143</v>
      </c>
      <c r="D105" s="187" t="s">
        <v>178</v>
      </c>
      <c r="E105" s="188"/>
      <c r="F105" s="189"/>
      <c r="G105" s="63">
        <v>50</v>
      </c>
      <c r="H105" s="62" t="s">
        <v>145</v>
      </c>
      <c r="I105" s="63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173</v>
      </c>
      <c r="B106" s="62" t="s">
        <v>49</v>
      </c>
      <c r="C106" s="62" t="s">
        <v>143</v>
      </c>
      <c r="D106" s="187" t="s">
        <v>179</v>
      </c>
      <c r="E106" s="188"/>
      <c r="F106" s="189"/>
      <c r="G106" s="63">
        <v>175</v>
      </c>
      <c r="H106" s="62" t="s">
        <v>49</v>
      </c>
      <c r="I106" s="63" t="s">
        <v>153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142</v>
      </c>
      <c r="B107" s="62" t="s">
        <v>49</v>
      </c>
      <c r="C107" s="62" t="s">
        <v>147</v>
      </c>
      <c r="D107" s="187" t="s">
        <v>180</v>
      </c>
      <c r="E107" s="188"/>
      <c r="F107" s="189"/>
      <c r="G107" s="63">
        <v>40</v>
      </c>
      <c r="H107" s="62" t="s">
        <v>181</v>
      </c>
      <c r="I107" s="63" t="s">
        <v>153</v>
      </c>
      <c r="J107" s="63" t="s">
        <v>110</v>
      </c>
      <c r="K107" s="57"/>
      <c r="L107" s="129"/>
      <c r="M107" s="129"/>
    </row>
    <row r="108" spans="1:13" s="37" customFormat="1" ht="14.45" customHeight="1" x14ac:dyDescent="0.2">
      <c r="A108" s="62" t="s">
        <v>173</v>
      </c>
      <c r="B108" s="62" t="s">
        <v>146</v>
      </c>
      <c r="C108" s="62" t="s">
        <v>147</v>
      </c>
      <c r="D108" s="187" t="s">
        <v>182</v>
      </c>
      <c r="E108" s="188"/>
      <c r="F108" s="189"/>
      <c r="G108" s="63">
        <v>7.5</v>
      </c>
      <c r="H108" s="62" t="s">
        <v>152</v>
      </c>
      <c r="I108" s="63">
        <v>75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142</v>
      </c>
      <c r="B109" s="62" t="s">
        <v>146</v>
      </c>
      <c r="C109" s="62" t="s">
        <v>147</v>
      </c>
      <c r="D109" s="187" t="s">
        <v>183</v>
      </c>
      <c r="E109" s="188"/>
      <c r="F109" s="189"/>
      <c r="G109" s="63">
        <v>20</v>
      </c>
      <c r="H109" s="62" t="s">
        <v>184</v>
      </c>
      <c r="I109" s="63" t="s">
        <v>153</v>
      </c>
      <c r="J109" s="63" t="s">
        <v>110</v>
      </c>
      <c r="K109" s="57"/>
      <c r="L109" s="129"/>
      <c r="M109" s="129"/>
    </row>
    <row r="110" spans="1:13" s="37" customFormat="1" ht="14.45" customHeight="1" x14ac:dyDescent="0.2">
      <c r="A110" s="62" t="s">
        <v>142</v>
      </c>
      <c r="B110" s="62" t="s">
        <v>146</v>
      </c>
      <c r="C110" s="62" t="s">
        <v>147</v>
      </c>
      <c r="D110" s="187" t="s">
        <v>185</v>
      </c>
      <c r="E110" s="188"/>
      <c r="F110" s="189"/>
      <c r="G110" s="63">
        <v>25</v>
      </c>
      <c r="H110" s="62" t="s">
        <v>184</v>
      </c>
      <c r="I110" s="63" t="s">
        <v>153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142</v>
      </c>
      <c r="B111" s="62" t="s">
        <v>142</v>
      </c>
      <c r="C111" s="62" t="s">
        <v>147</v>
      </c>
      <c r="D111" s="187" t="s">
        <v>186</v>
      </c>
      <c r="E111" s="188"/>
      <c r="F111" s="189"/>
      <c r="G111" s="68">
        <v>75</v>
      </c>
      <c r="H111" s="62" t="s">
        <v>181</v>
      </c>
      <c r="I111" s="63" t="s">
        <v>153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142</v>
      </c>
      <c r="B112" s="62" t="s">
        <v>142</v>
      </c>
      <c r="C112" s="62" t="s">
        <v>147</v>
      </c>
      <c r="D112" s="187" t="s">
        <v>187</v>
      </c>
      <c r="E112" s="188"/>
      <c r="F112" s="189"/>
      <c r="G112" s="63">
        <v>35</v>
      </c>
      <c r="H112" s="62" t="s">
        <v>181</v>
      </c>
      <c r="I112" s="63" t="s">
        <v>153</v>
      </c>
      <c r="J112" s="63" t="s">
        <v>110</v>
      </c>
      <c r="K112" s="57"/>
      <c r="L112" s="129"/>
      <c r="M112" s="129"/>
    </row>
    <row r="113" spans="1:29" s="37" customFormat="1" ht="14.45" customHeight="1" x14ac:dyDescent="0.2">
      <c r="A113" s="62" t="s">
        <v>142</v>
      </c>
      <c r="B113" s="62" t="s">
        <v>146</v>
      </c>
      <c r="C113" s="62" t="s">
        <v>143</v>
      </c>
      <c r="D113" s="187" t="s">
        <v>188</v>
      </c>
      <c r="E113" s="188"/>
      <c r="F113" s="189"/>
      <c r="G113" s="63">
        <v>100</v>
      </c>
      <c r="H113" s="62" t="s">
        <v>181</v>
      </c>
      <c r="I113" s="63" t="s">
        <v>153</v>
      </c>
      <c r="J113" s="63" t="s">
        <v>110</v>
      </c>
      <c r="K113" s="57"/>
      <c r="L113" s="129"/>
      <c r="M113" s="129"/>
    </row>
    <row r="114" spans="1:29" s="37" customFormat="1" ht="14.45" customHeight="1" x14ac:dyDescent="0.2">
      <c r="A114" s="62" t="s">
        <v>142</v>
      </c>
      <c r="B114" s="62" t="s">
        <v>146</v>
      </c>
      <c r="C114" s="62" t="s">
        <v>143</v>
      </c>
      <c r="D114" s="187" t="s">
        <v>189</v>
      </c>
      <c r="E114" s="188"/>
      <c r="F114" s="189"/>
      <c r="G114" s="63">
        <v>100</v>
      </c>
      <c r="H114" s="62" t="s">
        <v>190</v>
      </c>
      <c r="I114" s="63" t="s">
        <v>153</v>
      </c>
      <c r="J114" s="63" t="s">
        <v>110</v>
      </c>
      <c r="K114" s="57"/>
      <c r="O114" s="38"/>
      <c r="P114" s="38"/>
    </row>
    <row r="115" spans="1:29" s="37" customFormat="1" ht="14.45" customHeight="1" x14ac:dyDescent="0.2">
      <c r="A115" s="62" t="s">
        <v>142</v>
      </c>
      <c r="B115" s="62" t="s">
        <v>146</v>
      </c>
      <c r="C115" s="62" t="s">
        <v>143</v>
      </c>
      <c r="D115" s="187" t="s">
        <v>191</v>
      </c>
      <c r="E115" s="188"/>
      <c r="F115" s="189"/>
      <c r="G115" s="63">
        <v>100</v>
      </c>
      <c r="H115" s="62" t="s">
        <v>181</v>
      </c>
      <c r="I115" s="63" t="s">
        <v>153</v>
      </c>
      <c r="J115" s="63" t="s">
        <v>110</v>
      </c>
      <c r="K115" s="57"/>
      <c r="O115" s="39"/>
      <c r="P115" s="39"/>
    </row>
    <row r="116" spans="1:29" s="37" customFormat="1" ht="14.45" customHeight="1" x14ac:dyDescent="0.2">
      <c r="A116" s="62" t="s">
        <v>173</v>
      </c>
      <c r="B116" s="62" t="s">
        <v>146</v>
      </c>
      <c r="C116" s="62" t="s">
        <v>143</v>
      </c>
      <c r="D116" s="187" t="s">
        <v>189</v>
      </c>
      <c r="E116" s="188"/>
      <c r="F116" s="189"/>
      <c r="G116" s="63">
        <v>50</v>
      </c>
      <c r="H116" s="62" t="s">
        <v>192</v>
      </c>
      <c r="I116" s="63" t="s">
        <v>153</v>
      </c>
      <c r="J116" s="63" t="s">
        <v>110</v>
      </c>
      <c r="K116" s="57"/>
      <c r="O116" s="39"/>
      <c r="P116" s="39"/>
    </row>
    <row r="117" spans="1:29" s="37" customFormat="1" ht="14.45" customHeight="1" x14ac:dyDescent="0.2">
      <c r="A117" s="62" t="s">
        <v>173</v>
      </c>
      <c r="B117" s="62" t="s">
        <v>146</v>
      </c>
      <c r="C117" s="62" t="s">
        <v>143</v>
      </c>
      <c r="D117" s="187" t="s">
        <v>191</v>
      </c>
      <c r="E117" s="188"/>
      <c r="F117" s="189"/>
      <c r="G117" s="63">
        <v>50</v>
      </c>
      <c r="H117" s="62" t="s">
        <v>181</v>
      </c>
      <c r="I117" s="63" t="s">
        <v>153</v>
      </c>
      <c r="J117" s="63" t="s">
        <v>110</v>
      </c>
      <c r="K117" s="57"/>
      <c r="O117" s="38"/>
      <c r="P117" s="38"/>
    </row>
    <row r="118" spans="1:29" s="37" customFormat="1" ht="14.45" customHeight="1" x14ac:dyDescent="0.25">
      <c r="A118" s="62" t="s">
        <v>142</v>
      </c>
      <c r="B118" s="62" t="s">
        <v>146</v>
      </c>
      <c r="C118" s="62" t="s">
        <v>143</v>
      </c>
      <c r="D118" s="187" t="s">
        <v>193</v>
      </c>
      <c r="E118" s="188"/>
      <c r="F118" s="189"/>
      <c r="G118" s="63">
        <v>85</v>
      </c>
      <c r="H118" s="62" t="s">
        <v>194</v>
      </c>
      <c r="I118" s="63" t="s">
        <v>153</v>
      </c>
      <c r="J118" s="63" t="s">
        <v>110</v>
      </c>
      <c r="K118" s="57"/>
      <c r="O118" s="36"/>
      <c r="P118" s="36"/>
    </row>
    <row r="119" spans="1:29" s="37" customFormat="1" ht="14.45" customHeight="1" x14ac:dyDescent="0.25">
      <c r="A119" s="62" t="s">
        <v>173</v>
      </c>
      <c r="B119" s="62" t="s">
        <v>146</v>
      </c>
      <c r="C119" s="62" t="s">
        <v>195</v>
      </c>
      <c r="D119" s="187" t="s">
        <v>196</v>
      </c>
      <c r="E119" s="188"/>
      <c r="F119" s="189"/>
      <c r="G119" s="63">
        <v>0.1</v>
      </c>
      <c r="H119" s="62" t="s">
        <v>197</v>
      </c>
      <c r="I119" s="63">
        <v>150</v>
      </c>
      <c r="J119" s="63" t="s">
        <v>110</v>
      </c>
      <c r="K119" s="57"/>
      <c r="O119" s="36"/>
      <c r="P119" s="36"/>
    </row>
    <row r="120" spans="1:29" s="37" customFormat="1" ht="14.45" customHeight="1" x14ac:dyDescent="0.25">
      <c r="A120" s="62" t="s">
        <v>142</v>
      </c>
      <c r="B120" s="62" t="s">
        <v>49</v>
      </c>
      <c r="C120" s="62" t="s">
        <v>198</v>
      </c>
      <c r="D120" s="187" t="s">
        <v>199</v>
      </c>
      <c r="E120" s="188"/>
      <c r="F120" s="189"/>
      <c r="G120" s="63">
        <v>35</v>
      </c>
      <c r="H120" s="62" t="s">
        <v>181</v>
      </c>
      <c r="I120" s="63" t="s">
        <v>153</v>
      </c>
      <c r="J120" s="63" t="s">
        <v>110</v>
      </c>
      <c r="K120" s="57"/>
      <c r="O120" s="36"/>
      <c r="P120" s="36"/>
    </row>
    <row r="121" spans="1:29" s="37" customFormat="1" ht="14.45" customHeight="1" x14ac:dyDescent="0.25">
      <c r="A121" s="62" t="s">
        <v>142</v>
      </c>
      <c r="B121" s="62" t="s">
        <v>146</v>
      </c>
      <c r="C121" s="62" t="s">
        <v>198</v>
      </c>
      <c r="D121" s="187" t="s">
        <v>200</v>
      </c>
      <c r="E121" s="188"/>
      <c r="F121" s="189"/>
      <c r="G121" s="63">
        <v>7</v>
      </c>
      <c r="H121" s="62" t="s">
        <v>152</v>
      </c>
      <c r="I121" s="63">
        <v>7</v>
      </c>
      <c r="J121" s="63" t="s">
        <v>110</v>
      </c>
      <c r="K121" s="57"/>
      <c r="O121" s="36"/>
      <c r="P121" s="36"/>
    </row>
    <row r="122" spans="1:29" s="37" customFormat="1" ht="14.1" customHeight="1" x14ac:dyDescent="0.25">
      <c r="A122" s="62" t="s">
        <v>142</v>
      </c>
      <c r="B122" s="62" t="s">
        <v>142</v>
      </c>
      <c r="C122" s="62" t="s">
        <v>201</v>
      </c>
      <c r="D122" s="187" t="s">
        <v>202</v>
      </c>
      <c r="E122" s="188"/>
      <c r="F122" s="189"/>
      <c r="G122" s="63">
        <v>40</v>
      </c>
      <c r="H122" s="62" t="s">
        <v>203</v>
      </c>
      <c r="I122" s="63" t="s">
        <v>153</v>
      </c>
      <c r="J122" s="63" t="s">
        <v>110</v>
      </c>
      <c r="K122" s="57"/>
      <c r="O122" s="36"/>
      <c r="P122" s="36"/>
    </row>
    <row r="123" spans="1:29" s="37" customFormat="1" ht="14.1" customHeight="1" x14ac:dyDescent="0.25">
      <c r="A123" s="62" t="s">
        <v>142</v>
      </c>
      <c r="B123" s="62" t="s">
        <v>49</v>
      </c>
      <c r="C123" s="62" t="s">
        <v>143</v>
      </c>
      <c r="D123" s="187" t="s">
        <v>204</v>
      </c>
      <c r="E123" s="188"/>
      <c r="F123" s="189"/>
      <c r="G123" s="63">
        <v>50</v>
      </c>
      <c r="H123" s="62" t="s">
        <v>49</v>
      </c>
      <c r="I123" s="63" t="s">
        <v>153</v>
      </c>
      <c r="J123" s="63" t="s">
        <v>110</v>
      </c>
      <c r="K123" s="57"/>
      <c r="L123" s="38"/>
      <c r="M123" s="38"/>
      <c r="N123" s="38"/>
      <c r="O123" s="36"/>
      <c r="P123" s="36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 spans="1:29" s="39" customFormat="1" ht="14.1" customHeight="1" x14ac:dyDescent="0.25">
      <c r="A124" s="62" t="s">
        <v>142</v>
      </c>
      <c r="B124" s="62" t="s">
        <v>49</v>
      </c>
      <c r="C124" s="62" t="s">
        <v>143</v>
      </c>
      <c r="D124" s="187" t="s">
        <v>205</v>
      </c>
      <c r="E124" s="188"/>
      <c r="F124" s="189"/>
      <c r="G124" s="63">
        <v>200</v>
      </c>
      <c r="H124" s="62" t="s">
        <v>206</v>
      </c>
      <c r="I124" s="63" t="s">
        <v>153</v>
      </c>
      <c r="J124" s="63" t="s">
        <v>110</v>
      </c>
      <c r="K124" s="57"/>
      <c r="O124" s="36"/>
      <c r="P124" s="36"/>
    </row>
    <row r="125" spans="1:29" s="39" customFormat="1" ht="14.1" customHeight="1" x14ac:dyDescent="0.25">
      <c r="A125" s="62" t="s">
        <v>142</v>
      </c>
      <c r="B125" s="62" t="s">
        <v>49</v>
      </c>
      <c r="C125" s="62" t="s">
        <v>143</v>
      </c>
      <c r="D125" s="187" t="s">
        <v>207</v>
      </c>
      <c r="E125" s="188"/>
      <c r="F125" s="189"/>
      <c r="G125" s="63">
        <v>250</v>
      </c>
      <c r="H125" s="62" t="s">
        <v>208</v>
      </c>
      <c r="I125" s="63">
        <v>100</v>
      </c>
      <c r="J125" s="63" t="s">
        <v>110</v>
      </c>
      <c r="K125" s="57"/>
      <c r="L125" s="38"/>
      <c r="M125" s="38"/>
      <c r="N125" s="38"/>
      <c r="O125" s="36"/>
      <c r="P125" s="36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 spans="1:29" s="38" customFormat="1" ht="14.1" customHeight="1" x14ac:dyDescent="0.25">
      <c r="A126" s="62" t="s">
        <v>142</v>
      </c>
      <c r="B126" s="62" t="s">
        <v>49</v>
      </c>
      <c r="C126" s="62" t="s">
        <v>201</v>
      </c>
      <c r="D126" s="187" t="s">
        <v>209</v>
      </c>
      <c r="E126" s="188"/>
      <c r="F126" s="189"/>
      <c r="G126" s="63" t="s">
        <v>210</v>
      </c>
      <c r="H126" s="62"/>
      <c r="I126" s="63" t="s">
        <v>153</v>
      </c>
      <c r="J126" s="63" t="s">
        <v>110</v>
      </c>
      <c r="K126" s="57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:29" s="36" customFormat="1" x14ac:dyDescent="0.25">
      <c r="A127" s="62" t="s">
        <v>142</v>
      </c>
      <c r="B127" s="62" t="s">
        <v>49</v>
      </c>
      <c r="C127" s="62" t="s">
        <v>201</v>
      </c>
      <c r="D127" s="187" t="s">
        <v>211</v>
      </c>
      <c r="E127" s="188"/>
      <c r="F127" s="189"/>
      <c r="G127" s="63" t="s">
        <v>212</v>
      </c>
      <c r="H127" s="62"/>
      <c r="I127" s="63" t="s">
        <v>153</v>
      </c>
      <c r="J127" s="63" t="s">
        <v>110</v>
      </c>
      <c r="K127" s="72"/>
    </row>
    <row r="128" spans="1:29" s="36" customFormat="1" x14ac:dyDescent="0.25">
      <c r="A128" s="62" t="s">
        <v>213</v>
      </c>
      <c r="B128" s="62" t="s">
        <v>49</v>
      </c>
      <c r="C128" s="62" t="s">
        <v>214</v>
      </c>
      <c r="D128" s="187" t="s">
        <v>215</v>
      </c>
      <c r="E128" s="188"/>
      <c r="F128" s="189"/>
      <c r="G128" s="63">
        <v>100</v>
      </c>
      <c r="H128" s="62" t="s">
        <v>49</v>
      </c>
      <c r="I128" s="63">
        <v>100</v>
      </c>
      <c r="J128" s="63" t="s">
        <v>110</v>
      </c>
      <c r="K128" s="72"/>
    </row>
    <row r="129" spans="1:11" s="36" customFormat="1" x14ac:dyDescent="0.25">
      <c r="A129" s="62" t="s">
        <v>213</v>
      </c>
      <c r="B129" s="62" t="s">
        <v>216</v>
      </c>
      <c r="C129" s="62" t="s">
        <v>147</v>
      </c>
      <c r="D129" s="187" t="s">
        <v>217</v>
      </c>
      <c r="E129" s="188"/>
      <c r="F129" s="189"/>
      <c r="G129" s="63">
        <v>50</v>
      </c>
      <c r="H129" s="62"/>
      <c r="I129" s="63">
        <v>50</v>
      </c>
      <c r="J129" s="63" t="s">
        <v>110</v>
      </c>
      <c r="K129" s="72"/>
    </row>
    <row r="130" spans="1:11" s="36" customFormat="1" x14ac:dyDescent="0.25">
      <c r="A130" s="62" t="s">
        <v>150</v>
      </c>
      <c r="B130" s="62" t="s">
        <v>49</v>
      </c>
      <c r="C130" s="62" t="s">
        <v>218</v>
      </c>
      <c r="D130" s="187" t="s">
        <v>219</v>
      </c>
      <c r="E130" s="188"/>
      <c r="F130" s="189"/>
      <c r="G130" s="69" t="s">
        <v>220</v>
      </c>
      <c r="H130" s="67" t="s">
        <v>49</v>
      </c>
      <c r="I130" s="69" t="s">
        <v>153</v>
      </c>
      <c r="J130" s="63" t="s">
        <v>110</v>
      </c>
      <c r="K130" s="72"/>
    </row>
    <row r="131" spans="1:11" s="36" customFormat="1" x14ac:dyDescent="0.25">
      <c r="A131" s="62" t="s">
        <v>221</v>
      </c>
      <c r="B131" s="62" t="s">
        <v>49</v>
      </c>
      <c r="C131" s="62" t="s">
        <v>201</v>
      </c>
      <c r="D131" s="187" t="s">
        <v>222</v>
      </c>
      <c r="E131" s="188"/>
      <c r="F131" s="189"/>
      <c r="G131" s="69" t="s">
        <v>220</v>
      </c>
      <c r="H131" s="67" t="s">
        <v>49</v>
      </c>
      <c r="I131" s="69" t="s">
        <v>153</v>
      </c>
      <c r="J131" s="63" t="s">
        <v>110</v>
      </c>
      <c r="K131" s="72"/>
    </row>
    <row r="132" spans="1:11" s="36" customFormat="1" x14ac:dyDescent="0.25">
      <c r="A132" s="62" t="s">
        <v>142</v>
      </c>
      <c r="B132" s="62" t="s">
        <v>49</v>
      </c>
      <c r="C132" s="62" t="s">
        <v>223</v>
      </c>
      <c r="D132" s="187" t="s">
        <v>224</v>
      </c>
      <c r="E132" s="188"/>
      <c r="F132" s="189"/>
      <c r="G132" s="63" t="s">
        <v>225</v>
      </c>
      <c r="H132" s="62"/>
      <c r="I132" s="63" t="s">
        <v>153</v>
      </c>
      <c r="J132" s="63" t="s">
        <v>110</v>
      </c>
      <c r="K132" s="72"/>
    </row>
    <row r="133" spans="1:11" s="36" customFormat="1" x14ac:dyDescent="0.25">
      <c r="A133" s="62" t="s">
        <v>142</v>
      </c>
      <c r="B133" s="62" t="s">
        <v>49</v>
      </c>
      <c r="C133" s="62" t="s">
        <v>226</v>
      </c>
      <c r="D133" s="187" t="s">
        <v>227</v>
      </c>
      <c r="E133" s="188"/>
      <c r="F133" s="189"/>
      <c r="G133" s="66">
        <v>150</v>
      </c>
      <c r="H133" s="62" t="s">
        <v>49</v>
      </c>
      <c r="I133" s="66">
        <v>150</v>
      </c>
      <c r="J133" s="63" t="s">
        <v>110</v>
      </c>
      <c r="K133" s="72"/>
    </row>
    <row r="134" spans="1:11" s="36" customFormat="1" x14ac:dyDescent="0.25">
      <c r="A134" s="62" t="s">
        <v>142</v>
      </c>
      <c r="B134" s="62" t="s">
        <v>49</v>
      </c>
      <c r="C134" s="62" t="s">
        <v>228</v>
      </c>
      <c r="D134" s="187" t="s">
        <v>229</v>
      </c>
      <c r="E134" s="188"/>
      <c r="F134" s="189"/>
      <c r="G134" s="66">
        <v>25</v>
      </c>
      <c r="H134" s="62" t="s">
        <v>230</v>
      </c>
      <c r="I134" s="66">
        <v>25</v>
      </c>
      <c r="J134" s="63" t="s">
        <v>110</v>
      </c>
      <c r="K134" s="72"/>
    </row>
    <row r="135" spans="1:11" s="36" customFormat="1" x14ac:dyDescent="0.25">
      <c r="A135" s="62" t="s">
        <v>142</v>
      </c>
      <c r="B135" s="62" t="s">
        <v>146</v>
      </c>
      <c r="C135" s="62" t="s">
        <v>198</v>
      </c>
      <c r="D135" s="187" t="s">
        <v>231</v>
      </c>
      <c r="E135" s="188"/>
      <c r="F135" s="189"/>
      <c r="G135" s="66" t="s">
        <v>232</v>
      </c>
      <c r="H135" s="62" t="s">
        <v>149</v>
      </c>
      <c r="I135" s="66" t="s">
        <v>153</v>
      </c>
      <c r="J135" s="63" t="s">
        <v>110</v>
      </c>
      <c r="K135" s="72"/>
    </row>
    <row r="136" spans="1:11" s="36" customFormat="1" x14ac:dyDescent="0.25">
      <c r="A136" s="62" t="s">
        <v>173</v>
      </c>
      <c r="B136" s="62" t="s">
        <v>146</v>
      </c>
      <c r="C136" s="62" t="s">
        <v>233</v>
      </c>
      <c r="D136" s="187" t="s">
        <v>234</v>
      </c>
      <c r="E136" s="188"/>
      <c r="F136" s="189"/>
      <c r="G136" s="66">
        <v>0.5</v>
      </c>
      <c r="H136" s="62" t="s">
        <v>235</v>
      </c>
      <c r="I136" s="66">
        <v>50</v>
      </c>
      <c r="J136" s="63" t="s">
        <v>110</v>
      </c>
      <c r="K136" s="72"/>
    </row>
    <row r="137" spans="1:11" s="36" customFormat="1" x14ac:dyDescent="0.25">
      <c r="A137" s="64" t="s">
        <v>173</v>
      </c>
      <c r="B137" s="64" t="s">
        <v>146</v>
      </c>
      <c r="C137" s="64" t="s">
        <v>233</v>
      </c>
      <c r="D137" s="187" t="s">
        <v>236</v>
      </c>
      <c r="E137" s="188"/>
      <c r="F137" s="189"/>
      <c r="G137" s="73">
        <v>0.5</v>
      </c>
      <c r="H137" s="64" t="s">
        <v>235</v>
      </c>
      <c r="I137" s="73">
        <v>50</v>
      </c>
      <c r="J137" s="63" t="s">
        <v>110</v>
      </c>
      <c r="K137" s="72"/>
    </row>
    <row r="138" spans="1:11" s="36" customFormat="1" x14ac:dyDescent="0.25">
      <c r="A138" s="62" t="s">
        <v>173</v>
      </c>
      <c r="B138" s="62" t="s">
        <v>146</v>
      </c>
      <c r="C138" s="62" t="s">
        <v>201</v>
      </c>
      <c r="D138" s="187" t="s">
        <v>237</v>
      </c>
      <c r="E138" s="188"/>
      <c r="F138" s="189"/>
      <c r="G138" s="66" t="s">
        <v>238</v>
      </c>
      <c r="H138" s="62" t="s">
        <v>235</v>
      </c>
      <c r="I138" s="66">
        <v>50</v>
      </c>
      <c r="J138" s="63" t="s">
        <v>110</v>
      </c>
      <c r="K138" s="72"/>
    </row>
    <row r="139" spans="1:11" s="36" customFormat="1" x14ac:dyDescent="0.25">
      <c r="A139" s="62" t="s">
        <v>239</v>
      </c>
      <c r="B139" s="62" t="s">
        <v>49</v>
      </c>
      <c r="C139" s="62" t="s">
        <v>143</v>
      </c>
      <c r="D139" s="187" t="s">
        <v>240</v>
      </c>
      <c r="E139" s="188"/>
      <c r="F139" s="189"/>
      <c r="G139" s="69" t="s">
        <v>220</v>
      </c>
      <c r="H139" s="67" t="s">
        <v>49</v>
      </c>
      <c r="I139" s="69" t="s">
        <v>153</v>
      </c>
      <c r="J139" s="63" t="s">
        <v>110</v>
      </c>
      <c r="K139" s="72"/>
    </row>
    <row r="140" spans="1:11" s="36" customFormat="1" x14ac:dyDescent="0.25">
      <c r="A140" s="62" t="s">
        <v>142</v>
      </c>
      <c r="B140" s="62" t="s">
        <v>142</v>
      </c>
      <c r="C140" s="62" t="s">
        <v>147</v>
      </c>
      <c r="D140" s="187" t="s">
        <v>241</v>
      </c>
      <c r="E140" s="188"/>
      <c r="F140" s="189"/>
      <c r="G140" s="66" t="s">
        <v>242</v>
      </c>
      <c r="H140" s="62"/>
      <c r="I140" s="66">
        <v>15</v>
      </c>
      <c r="J140" s="63" t="s">
        <v>110</v>
      </c>
      <c r="K140" s="72"/>
    </row>
    <row r="141" spans="1:11" s="36" customFormat="1" x14ac:dyDescent="0.25">
      <c r="A141" s="62" t="s">
        <v>243</v>
      </c>
      <c r="B141" s="62" t="s">
        <v>49</v>
      </c>
      <c r="C141" s="62" t="s">
        <v>143</v>
      </c>
      <c r="D141" s="187" t="s">
        <v>244</v>
      </c>
      <c r="E141" s="188"/>
      <c r="F141" s="189"/>
      <c r="G141" s="66">
        <v>200</v>
      </c>
      <c r="H141" s="62" t="s">
        <v>49</v>
      </c>
      <c r="I141" s="63">
        <v>200</v>
      </c>
      <c r="J141" s="63" t="s">
        <v>110</v>
      </c>
      <c r="K141" s="72"/>
    </row>
    <row r="142" spans="1:11" s="36" customFormat="1" x14ac:dyDescent="0.25">
      <c r="A142" s="62" t="s">
        <v>245</v>
      </c>
      <c r="B142" s="62" t="s">
        <v>49</v>
      </c>
      <c r="C142" s="62" t="s">
        <v>143</v>
      </c>
      <c r="D142" s="187" t="s">
        <v>246</v>
      </c>
      <c r="E142" s="188"/>
      <c r="F142" s="189"/>
      <c r="G142" s="66">
        <v>250</v>
      </c>
      <c r="H142" s="62" t="s">
        <v>49</v>
      </c>
      <c r="I142" s="63">
        <v>100</v>
      </c>
      <c r="J142" s="63" t="s">
        <v>110</v>
      </c>
      <c r="K142" s="72"/>
    </row>
    <row r="143" spans="1:11" s="36" customFormat="1" x14ac:dyDescent="0.25">
      <c r="A143" s="62" t="s">
        <v>247</v>
      </c>
      <c r="B143" s="62" t="s">
        <v>49</v>
      </c>
      <c r="C143" s="62" t="s">
        <v>143</v>
      </c>
      <c r="D143" s="187" t="s">
        <v>248</v>
      </c>
      <c r="E143" s="188"/>
      <c r="F143" s="189"/>
      <c r="G143" s="63">
        <v>250</v>
      </c>
      <c r="H143" s="62" t="s">
        <v>49</v>
      </c>
      <c r="I143" s="63">
        <v>200</v>
      </c>
      <c r="J143" s="63" t="s">
        <v>110</v>
      </c>
      <c r="K143" s="72"/>
    </row>
    <row r="144" spans="1:11" s="36" customFormat="1" x14ac:dyDescent="0.25">
      <c r="A144" s="62" t="s">
        <v>142</v>
      </c>
      <c r="B144" s="62" t="s">
        <v>49</v>
      </c>
      <c r="C144" s="62" t="s">
        <v>143</v>
      </c>
      <c r="D144" s="187" t="s">
        <v>249</v>
      </c>
      <c r="E144" s="188"/>
      <c r="F144" s="189"/>
      <c r="G144" s="63"/>
      <c r="H144" s="62" t="s">
        <v>49</v>
      </c>
      <c r="I144" s="63" t="s">
        <v>153</v>
      </c>
      <c r="J144" s="63" t="s">
        <v>110</v>
      </c>
      <c r="K144" s="72"/>
    </row>
    <row r="145" spans="1:11" s="36" customFormat="1" x14ac:dyDescent="0.25">
      <c r="A145" s="62" t="s">
        <v>250</v>
      </c>
      <c r="B145" s="62" t="s">
        <v>49</v>
      </c>
      <c r="C145" s="62" t="s">
        <v>143</v>
      </c>
      <c r="D145" s="187" t="s">
        <v>251</v>
      </c>
      <c r="E145" s="188"/>
      <c r="F145" s="189"/>
      <c r="G145" s="66">
        <v>350</v>
      </c>
      <c r="H145" s="62" t="s">
        <v>49</v>
      </c>
      <c r="I145" s="63">
        <v>350</v>
      </c>
      <c r="J145" s="63" t="s">
        <v>110</v>
      </c>
      <c r="K145" s="72"/>
    </row>
    <row r="146" spans="1:11" s="36" customFormat="1" x14ac:dyDescent="0.25">
      <c r="A146" s="118"/>
      <c r="B146" s="118"/>
      <c r="C146" s="118"/>
      <c r="D146" s="119"/>
      <c r="E146" s="119"/>
      <c r="F146" s="119"/>
      <c r="G146" s="120"/>
      <c r="H146" s="118"/>
      <c r="I146" s="121"/>
      <c r="J146" s="121"/>
      <c r="K146" s="72"/>
    </row>
    <row r="147" spans="1:11" s="36" customFormat="1" x14ac:dyDescent="0.25">
      <c r="A147" s="180" t="s">
        <v>72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72"/>
    </row>
    <row r="148" spans="1:11" s="36" customFormat="1" x14ac:dyDescent="0.25">
      <c r="A148" s="186" t="s">
        <v>67</v>
      </c>
      <c r="B148" s="186"/>
      <c r="C148" s="186"/>
      <c r="D148" s="186"/>
      <c r="E148" s="186" t="s">
        <v>68</v>
      </c>
      <c r="F148" s="186"/>
      <c r="G148" s="186"/>
      <c r="H148" s="186"/>
      <c r="I148" s="186"/>
      <c r="J148" s="186"/>
      <c r="K148" s="72"/>
    </row>
    <row r="149" spans="1:11" s="36" customFormat="1" x14ac:dyDescent="0.25">
      <c r="A149" s="185" t="s">
        <v>73</v>
      </c>
      <c r="B149" s="185"/>
      <c r="C149" s="185"/>
      <c r="D149" s="185"/>
      <c r="E149" s="185" t="s">
        <v>254</v>
      </c>
      <c r="F149" s="185"/>
      <c r="G149" s="185"/>
      <c r="H149" s="185"/>
      <c r="I149" s="185"/>
      <c r="J149" s="185"/>
      <c r="K149" s="72"/>
    </row>
    <row r="150" spans="1:11" s="36" customFormat="1" ht="15" customHeight="1" x14ac:dyDescent="0.25">
      <c r="A150" s="185" t="s">
        <v>252</v>
      </c>
      <c r="B150" s="185"/>
      <c r="C150" s="185"/>
      <c r="D150" s="185"/>
      <c r="E150" s="185" t="s">
        <v>253</v>
      </c>
      <c r="F150" s="185"/>
      <c r="G150" s="185"/>
      <c r="H150" s="185"/>
      <c r="I150" s="185"/>
      <c r="J150" s="185"/>
      <c r="K150" s="72"/>
    </row>
    <row r="151" spans="1:11" s="36" customFormat="1" ht="15" customHeight="1" x14ac:dyDescent="0.25">
      <c r="A151" s="185" t="s">
        <v>74</v>
      </c>
      <c r="B151" s="185"/>
      <c r="C151" s="185"/>
      <c r="D151" s="185"/>
      <c r="E151" s="185" t="s">
        <v>75</v>
      </c>
      <c r="F151" s="185"/>
      <c r="G151" s="185"/>
      <c r="H151" s="185"/>
      <c r="I151" s="185"/>
      <c r="J151" s="185"/>
      <c r="K151" s="72"/>
    </row>
    <row r="152" spans="1:11" s="36" customFormat="1" x14ac:dyDescent="0.25">
      <c r="A152" s="185" t="s">
        <v>76</v>
      </c>
      <c r="B152" s="185"/>
      <c r="C152" s="185"/>
      <c r="D152" s="185"/>
      <c r="E152" s="185" t="s">
        <v>77</v>
      </c>
      <c r="F152" s="185"/>
      <c r="G152" s="185"/>
      <c r="H152" s="185"/>
      <c r="I152" s="185"/>
      <c r="J152" s="185"/>
      <c r="K152" s="72"/>
    </row>
    <row r="153" spans="1:11" s="36" customFormat="1" ht="15" customHeight="1" x14ac:dyDescent="0.25">
      <c r="A153" s="185" t="s">
        <v>78</v>
      </c>
      <c r="B153" s="185"/>
      <c r="C153" s="185"/>
      <c r="D153" s="185"/>
      <c r="E153" s="185" t="s">
        <v>79</v>
      </c>
      <c r="F153" s="185"/>
      <c r="G153" s="185"/>
      <c r="H153" s="185"/>
      <c r="I153" s="185"/>
      <c r="J153" s="185"/>
      <c r="K153" s="72"/>
    </row>
    <row r="154" spans="1:11" s="36" customFormat="1" ht="15" customHeight="1" x14ac:dyDescent="0.25">
      <c r="A154" s="180" t="s">
        <v>89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72"/>
    </row>
    <row r="155" spans="1:11" s="36" customFormat="1" x14ac:dyDescent="0.25">
      <c r="A155" s="181" t="s">
        <v>80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72"/>
    </row>
    <row r="156" spans="1:11" s="36" customFormat="1" ht="15" customHeight="1" x14ac:dyDescent="0.2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72"/>
    </row>
    <row r="157" spans="1:11" s="36" customFormat="1" x14ac:dyDescent="0.25">
      <c r="A157" s="182" t="s">
        <v>90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72"/>
    </row>
    <row r="158" spans="1:11" s="36" customFormat="1" ht="15" customHeight="1" x14ac:dyDescent="0.25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72"/>
    </row>
    <row r="159" spans="1:11" s="42" customFormat="1" ht="13.9" customHeight="1" x14ac:dyDescent="0.25">
      <c r="A159" s="183" t="s">
        <v>353</v>
      </c>
      <c r="B159" s="183"/>
      <c r="C159" s="183"/>
      <c r="D159" s="183"/>
      <c r="E159" s="183"/>
      <c r="F159" s="183"/>
      <c r="G159" s="183"/>
      <c r="H159" s="183"/>
      <c r="I159" s="183"/>
      <c r="J159" s="48"/>
    </row>
    <row r="160" spans="1:11" s="49" customFormat="1" ht="13.9" customHeight="1" x14ac:dyDescent="0.25">
      <c r="A160" s="184" t="s">
        <v>354</v>
      </c>
      <c r="B160" s="184"/>
      <c r="C160" s="184"/>
      <c r="D160" s="184"/>
      <c r="E160" s="184"/>
      <c r="F160" s="184"/>
      <c r="G160" s="184"/>
      <c r="H160" s="184"/>
      <c r="I160" s="184"/>
      <c r="J160" s="48"/>
    </row>
    <row r="161" spans="10:10" x14ac:dyDescent="0.25">
      <c r="J161" s="48"/>
    </row>
    <row r="162" spans="10:10" x14ac:dyDescent="0.25">
      <c r="J162" s="48"/>
    </row>
    <row r="163" spans="10:10" x14ac:dyDescent="0.25">
      <c r="J163" s="48"/>
    </row>
  </sheetData>
  <protectedRanges>
    <protectedRange algorithmName="SHA-512" hashValue="VF6HSW3Iy4xJ9rvYE/9xGHEoimGCygSu8D4FeqmdsD954MzAHwkkxLcwSP9Q5ui8KTGpWBzFAFpp2yGVfuii3Q==" saltValue="Ht0jMOW+8eakbuvlYpVr7Q==" spinCount="100000" sqref="G38:J43 G55:J61 G30:J32 G34:J36 G13:J28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4:J44 G46:J49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1:J53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80:WWE80" xr:uid="{FA694B6A-433F-4FA4-84BF-050781CB5F76}">
    <filterColumn colId="3" showButton="0"/>
    <filterColumn colId="4" showButton="0"/>
  </autoFilter>
  <mergeCells count="148">
    <mergeCell ref="A157:J158"/>
    <mergeCell ref="A159:I159"/>
    <mergeCell ref="A160:I160"/>
    <mergeCell ref="A70:D70"/>
    <mergeCell ref="F70:J70"/>
    <mergeCell ref="A152:D152"/>
    <mergeCell ref="E152:J152"/>
    <mergeCell ref="A153:D153"/>
    <mergeCell ref="E153:J153"/>
    <mergeCell ref="A154:J154"/>
    <mergeCell ref="A155:J156"/>
    <mergeCell ref="A149:D149"/>
    <mergeCell ref="E149:J149"/>
    <mergeCell ref="A150:D150"/>
    <mergeCell ref="E150:J150"/>
    <mergeCell ref="A151:D151"/>
    <mergeCell ref="E151:J151"/>
    <mergeCell ref="D142:F142"/>
    <mergeCell ref="D143:F143"/>
    <mergeCell ref="D144:F144"/>
    <mergeCell ref="D145:F145"/>
    <mergeCell ref="A147:J147"/>
    <mergeCell ref="A148:D148"/>
    <mergeCell ref="E148:J148"/>
    <mergeCell ref="D136:F136"/>
    <mergeCell ref="D137:F137"/>
    <mergeCell ref="D138:F138"/>
    <mergeCell ref="D139:F139"/>
    <mergeCell ref="D140:F140"/>
    <mergeCell ref="D141:F141"/>
    <mergeCell ref="D130:F130"/>
    <mergeCell ref="D131:F131"/>
    <mergeCell ref="D132:F132"/>
    <mergeCell ref="D133:F133"/>
    <mergeCell ref="D134:F134"/>
    <mergeCell ref="D135:F135"/>
    <mergeCell ref="D124:F124"/>
    <mergeCell ref="D125:F125"/>
    <mergeCell ref="D126:F126"/>
    <mergeCell ref="D127:F127"/>
    <mergeCell ref="D128:F128"/>
    <mergeCell ref="D129:F129"/>
    <mergeCell ref="D118:F118"/>
    <mergeCell ref="D119:F119"/>
    <mergeCell ref="D120:F120"/>
    <mergeCell ref="D121:F121"/>
    <mergeCell ref="D122:F122"/>
    <mergeCell ref="D123:F123"/>
    <mergeCell ref="D112:F112"/>
    <mergeCell ref="D113:F113"/>
    <mergeCell ref="D114:F114"/>
    <mergeCell ref="D115:F115"/>
    <mergeCell ref="D116:F116"/>
    <mergeCell ref="D117:F117"/>
    <mergeCell ref="D106:F106"/>
    <mergeCell ref="D107:F107"/>
    <mergeCell ref="D108:F108"/>
    <mergeCell ref="D109:F109"/>
    <mergeCell ref="D110:F110"/>
    <mergeCell ref="D111:F111"/>
    <mergeCell ref="D100:F100"/>
    <mergeCell ref="D101:F101"/>
    <mergeCell ref="D102:F102"/>
    <mergeCell ref="D103:F103"/>
    <mergeCell ref="D104:F104"/>
    <mergeCell ref="D105:F105"/>
    <mergeCell ref="D94:F94"/>
    <mergeCell ref="D95:F95"/>
    <mergeCell ref="D96:F96"/>
    <mergeCell ref="D97:F97"/>
    <mergeCell ref="D98:F98"/>
    <mergeCell ref="D99:F99"/>
    <mergeCell ref="D88:F88"/>
    <mergeCell ref="D89:F89"/>
    <mergeCell ref="D90:F90"/>
    <mergeCell ref="D91:F91"/>
    <mergeCell ref="D92:F92"/>
    <mergeCell ref="D93:F93"/>
    <mergeCell ref="D82:F82"/>
    <mergeCell ref="D83:F83"/>
    <mergeCell ref="D84:F84"/>
    <mergeCell ref="D85:F85"/>
    <mergeCell ref="D86:F86"/>
    <mergeCell ref="D87:F87"/>
    <mergeCell ref="A78:D78"/>
    <mergeCell ref="E78:J78"/>
    <mergeCell ref="L78:Q78"/>
    <mergeCell ref="A79:J79"/>
    <mergeCell ref="D80:F80"/>
    <mergeCell ref="D81:F81"/>
    <mergeCell ref="A76:D76"/>
    <mergeCell ref="G76:J76"/>
    <mergeCell ref="L76:Q76"/>
    <mergeCell ref="A77:D77"/>
    <mergeCell ref="G77:J77"/>
    <mergeCell ref="L77:Q77"/>
    <mergeCell ref="A74:D74"/>
    <mergeCell ref="F74:J74"/>
    <mergeCell ref="L74:Q74"/>
    <mergeCell ref="A75:D75"/>
    <mergeCell ref="F75:J75"/>
    <mergeCell ref="L75:Q75"/>
    <mergeCell ref="A71:D71"/>
    <mergeCell ref="F71:J71"/>
    <mergeCell ref="A72:D72"/>
    <mergeCell ref="F72:J72"/>
    <mergeCell ref="L72:Q72"/>
    <mergeCell ref="A73:D73"/>
    <mergeCell ref="F73:J73"/>
    <mergeCell ref="L73:Q73"/>
    <mergeCell ref="A67:D67"/>
    <mergeCell ref="F67:J67"/>
    <mergeCell ref="L67:Q67"/>
    <mergeCell ref="A68:D68"/>
    <mergeCell ref="F68:J68"/>
    <mergeCell ref="A69:D69"/>
    <mergeCell ref="F69:J69"/>
    <mergeCell ref="A65:D65"/>
    <mergeCell ref="E65:J65"/>
    <mergeCell ref="L65:Q65"/>
    <mergeCell ref="A66:D66"/>
    <mergeCell ref="F66:J66"/>
    <mergeCell ref="L66:Q66"/>
    <mergeCell ref="E45:F45"/>
    <mergeCell ref="E50:F50"/>
    <mergeCell ref="E54:F54"/>
    <mergeCell ref="A61:J61"/>
    <mergeCell ref="A63:J63"/>
    <mergeCell ref="A64:J64"/>
    <mergeCell ref="Y10:AB10"/>
    <mergeCell ref="E11:F11"/>
    <mergeCell ref="E12:F12"/>
    <mergeCell ref="E29:F29"/>
    <mergeCell ref="E33:F33"/>
    <mergeCell ref="E37:F37"/>
    <mergeCell ref="B6:C6"/>
    <mergeCell ref="G6:I6"/>
    <mergeCell ref="E8:I8"/>
    <mergeCell ref="A10:J10"/>
    <mergeCell ref="N10:R10"/>
    <mergeCell ref="S10:X10"/>
    <mergeCell ref="A1:B1"/>
    <mergeCell ref="C2:G2"/>
    <mergeCell ref="B3:H3"/>
    <mergeCell ref="B4:C4"/>
    <mergeCell ref="G4:I4"/>
    <mergeCell ref="B5:C5"/>
    <mergeCell ref="G5:I5"/>
  </mergeCells>
  <hyperlinks>
    <hyperlink ref="G6" r:id="rId1" xr:uid="{B32308C9-B1CF-4CED-935C-76B5082F5310}"/>
    <hyperlink ref="G4" r:id="rId2" display="jchang.lax@oecgroup.com" xr:uid="{6DF90D6A-CDB5-4155-86A6-479381E35C54}"/>
  </hyperlinks>
  <pageMargins left="0.35" right="0.35" top="0.35" bottom="0.35" header="0.3" footer="0.3"/>
  <pageSetup scale="49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1C0CC44-B475-463D-97FB-43A5B3077939}">
          <x14:formula1>
            <xm:f>'C:\Users\twang\AppData\Local\Microsoft\Windows\Temporary Internet Files\Content.Outlook\U7WJNCNV\[QUOTE TEMPLATE 05-01-21.xltx]Sheet1'!#REF!</xm:f>
          </x14:formula1>
          <xm:sqref>E72:E73 E75:E77 E46:E49 E30:E32 E13:E28 E38:E44 E55:E60 E34:E36 E66:E69</xm:sqref>
        </x14:dataValidation>
        <x14:dataValidation type="list" allowBlank="1" showInputMessage="1" showErrorMessage="1" xr:uid="{3A67B11E-F021-4A7C-BE79-B908E50E6476}">
          <x14:formula1>
            <xm:f>'C:\Users\twang\AppData\Local\Microsoft\Windows\Temporary Internet Files\Content.Outlook\U7WJNCNV\[QUOTE TEMPLATE 05-01-21.xltx]Sheet1'!#REF!</xm:f>
          </x14:formula1>
          <xm:sqref>C30:C32 C55:C60 Q13:Q14 C13:C28 C38:C44 C34:C36 C46:C49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4B6A-433F-4FA4-84BF-050781CB5F76}">
  <sheetPr>
    <pageSetUpPr fitToPage="1"/>
  </sheetPr>
  <dimension ref="A1:AC162"/>
  <sheetViews>
    <sheetView topLeftCell="A74" zoomScale="90" zoomScaleNormal="90" zoomScaleSheetLayoutView="82" workbookViewId="0">
      <pane xSplit="4" topLeftCell="E1" activePane="topRight" state="frozen"/>
      <selection activeCell="A19" sqref="A19"/>
      <selection pane="topRight" activeCell="F74" sqref="F74:J74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44652</v>
      </c>
      <c r="C8" s="45" t="s">
        <v>91</v>
      </c>
      <c r="D8" s="44">
        <v>44665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308</v>
      </c>
      <c r="E13" s="96" t="s">
        <v>114</v>
      </c>
      <c r="F13" s="97" t="s">
        <v>270</v>
      </c>
      <c r="G13" s="98">
        <f>CEILING(S13+W13+X13+O13+N13+Y13,10)</f>
        <v>9230</v>
      </c>
      <c r="H13" s="99">
        <f>CEILING(T13+W13+X13+O13+N13+Z13,10)</f>
        <v>10110</v>
      </c>
      <c r="I13" s="99">
        <f>CEILING(U13+W13+X13+O13+N13+AA13,10)</f>
        <v>10110</v>
      </c>
      <c r="J13" s="99">
        <f>CEILING(V13+W13+X13+O13+N13+AB13,10)</f>
        <v>12460</v>
      </c>
      <c r="K13" s="57"/>
      <c r="L13" s="100" t="s">
        <v>272</v>
      </c>
      <c r="M13" s="52" t="s">
        <v>292</v>
      </c>
      <c r="N13" s="40">
        <v>0</v>
      </c>
      <c r="O13" s="53">
        <f>VLOOKUP(B13,DRAYAGE!$A$1:$C$107,3,FALSE)</f>
        <v>1310</v>
      </c>
      <c r="P13" s="40" t="s">
        <v>347</v>
      </c>
      <c r="S13" s="101">
        <f t="shared" ref="S13:S28" si="0">0.9*T13</f>
        <v>7920</v>
      </c>
      <c r="T13" s="54">
        <v>8800</v>
      </c>
      <c r="U13" s="103">
        <f>T13</f>
        <v>8800</v>
      </c>
      <c r="V13" s="104">
        <f>U13*1.266</f>
        <v>11140.8</v>
      </c>
      <c r="X13" s="40">
        <v>0</v>
      </c>
    </row>
    <row r="14" spans="1:29" s="40" customFormat="1" ht="14.45" customHeight="1" x14ac:dyDescent="0.25">
      <c r="A14" s="133" t="s">
        <v>55</v>
      </c>
      <c r="B14" s="51" t="s">
        <v>338</v>
      </c>
      <c r="C14" s="94" t="s">
        <v>54</v>
      </c>
      <c r="D14" s="95" t="s">
        <v>308</v>
      </c>
      <c r="E14" s="96" t="s">
        <v>114</v>
      </c>
      <c r="F14" s="97" t="s">
        <v>270</v>
      </c>
      <c r="G14" s="98">
        <f t="shared" ref="G14:G19" si="1">CEILING(S14+W14+X14+O14+N14+Y14,10)</f>
        <v>9230</v>
      </c>
      <c r="H14" s="99">
        <f t="shared" ref="H14:H19" si="2">CEILING(T14+W14+X14+O14+N14+Z14,10)</f>
        <v>10110</v>
      </c>
      <c r="I14" s="99">
        <f t="shared" ref="I14:I19" si="3">CEILING(U14+W14+X14+O14+N14+AA14,10)</f>
        <v>10110</v>
      </c>
      <c r="J14" s="99">
        <f t="shared" ref="J14:J19" si="4">CEILING(V14+W14+X14+O14+N14+AB14,10)</f>
        <v>12460</v>
      </c>
      <c r="K14" s="57"/>
      <c r="L14" s="100" t="s">
        <v>272</v>
      </c>
      <c r="M14" s="52" t="s">
        <v>292</v>
      </c>
      <c r="N14" s="40">
        <v>0</v>
      </c>
      <c r="O14" s="53">
        <f>VLOOKUP(B14,DRAYAGE!$A$1:$C$107,3,FALSE)</f>
        <v>1310</v>
      </c>
      <c r="P14" s="40" t="s">
        <v>347</v>
      </c>
      <c r="S14" s="101">
        <f t="shared" si="0"/>
        <v>7920</v>
      </c>
      <c r="T14" s="54">
        <v>8800</v>
      </c>
      <c r="U14" s="103">
        <f t="shared" ref="U14:U60" si="5">T14</f>
        <v>8800</v>
      </c>
      <c r="V14" s="104">
        <f t="shared" ref="V14:V19" si="6">U14*1.266</f>
        <v>11140.8</v>
      </c>
      <c r="X14" s="40">
        <v>0</v>
      </c>
    </row>
    <row r="15" spans="1:29" s="40" customFormat="1" ht="14.45" customHeight="1" x14ac:dyDescent="0.25">
      <c r="A15" s="133" t="s">
        <v>56</v>
      </c>
      <c r="B15" s="51" t="s">
        <v>338</v>
      </c>
      <c r="C15" s="94" t="s">
        <v>54</v>
      </c>
      <c r="D15" s="95" t="s">
        <v>308</v>
      </c>
      <c r="E15" s="96" t="s">
        <v>114</v>
      </c>
      <c r="F15" s="97" t="s">
        <v>270</v>
      </c>
      <c r="G15" s="98">
        <f t="shared" si="1"/>
        <v>11660</v>
      </c>
      <c r="H15" s="99">
        <f t="shared" si="2"/>
        <v>12810</v>
      </c>
      <c r="I15" s="99">
        <f t="shared" si="3"/>
        <v>12810</v>
      </c>
      <c r="J15" s="99">
        <f t="shared" si="4"/>
        <v>15870</v>
      </c>
      <c r="K15" s="57"/>
      <c r="L15" s="100" t="s">
        <v>272</v>
      </c>
      <c r="M15" s="52" t="s">
        <v>292</v>
      </c>
      <c r="N15" s="40">
        <v>0</v>
      </c>
      <c r="O15" s="53">
        <f>VLOOKUP(B15,DRAYAGE!$A$1:$C$107,3,FALSE)</f>
        <v>1310</v>
      </c>
      <c r="P15" s="40" t="s">
        <v>347</v>
      </c>
      <c r="S15" s="101">
        <f t="shared" si="0"/>
        <v>10350</v>
      </c>
      <c r="T15" s="54">
        <v>11500</v>
      </c>
      <c r="U15" s="103">
        <f t="shared" si="5"/>
        <v>11500</v>
      </c>
      <c r="V15" s="104">
        <f t="shared" si="6"/>
        <v>14559</v>
      </c>
      <c r="X15" s="40">
        <v>0</v>
      </c>
    </row>
    <row r="16" spans="1:29" s="40" customFormat="1" ht="14.45" customHeight="1" x14ac:dyDescent="0.25">
      <c r="A16" s="133" t="s">
        <v>57</v>
      </c>
      <c r="B16" s="51" t="s">
        <v>338</v>
      </c>
      <c r="C16" s="94" t="s">
        <v>54</v>
      </c>
      <c r="D16" s="95" t="s">
        <v>308</v>
      </c>
      <c r="E16" s="96" t="s">
        <v>114</v>
      </c>
      <c r="F16" s="97" t="s">
        <v>270</v>
      </c>
      <c r="G16" s="98">
        <f t="shared" si="1"/>
        <v>13910</v>
      </c>
      <c r="H16" s="99">
        <f t="shared" si="2"/>
        <v>15310</v>
      </c>
      <c r="I16" s="99">
        <f t="shared" si="3"/>
        <v>15310</v>
      </c>
      <c r="J16" s="99">
        <f t="shared" si="4"/>
        <v>19040</v>
      </c>
      <c r="K16" s="57"/>
      <c r="L16" s="100" t="s">
        <v>272</v>
      </c>
      <c r="M16" s="52" t="s">
        <v>292</v>
      </c>
      <c r="N16" s="40">
        <v>0</v>
      </c>
      <c r="O16" s="53">
        <f>VLOOKUP(B16,DRAYAGE!$A$1:$C$107,3,FALSE)</f>
        <v>1310</v>
      </c>
      <c r="P16" s="40" t="s">
        <v>347</v>
      </c>
      <c r="S16" s="101">
        <f t="shared" si="0"/>
        <v>12600</v>
      </c>
      <c r="T16" s="54">
        <v>14000</v>
      </c>
      <c r="U16" s="103">
        <f t="shared" si="5"/>
        <v>14000</v>
      </c>
      <c r="V16" s="104">
        <f t="shared" si="6"/>
        <v>17724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308</v>
      </c>
      <c r="E17" s="96" t="s">
        <v>114</v>
      </c>
      <c r="F17" s="97" t="s">
        <v>270</v>
      </c>
      <c r="G17" s="98">
        <f>CEILING(S17+W17+X17+O17+N17+Y17,10)</f>
        <v>13910</v>
      </c>
      <c r="H17" s="99">
        <f>CEILING(T17+W17+X17+O17+N17+Z17,10)</f>
        <v>15310</v>
      </c>
      <c r="I17" s="99">
        <f>CEILING(U17+W17+X17+O17+N17+AA17,10)</f>
        <v>15310</v>
      </c>
      <c r="J17" s="99">
        <f>CEILING(V17+W17+X17+O17+N17+AB17,10)</f>
        <v>19040</v>
      </c>
      <c r="K17" s="57"/>
      <c r="L17" s="100" t="s">
        <v>272</v>
      </c>
      <c r="M17" s="52" t="s">
        <v>292</v>
      </c>
      <c r="N17" s="40">
        <v>0</v>
      </c>
      <c r="O17" s="53">
        <f>VLOOKUP(B17,DRAYAGE!$A$1:$C$107,3,FALSE)</f>
        <v>1310</v>
      </c>
      <c r="P17" s="40" t="s">
        <v>347</v>
      </c>
      <c r="S17" s="101">
        <f>0.9*T17</f>
        <v>12600</v>
      </c>
      <c r="T17" s="54">
        <v>14000</v>
      </c>
      <c r="U17" s="103">
        <f>T17</f>
        <v>14000</v>
      </c>
      <c r="V17" s="104">
        <f>U17*1.266</f>
        <v>17724</v>
      </c>
      <c r="X17" s="40">
        <v>0</v>
      </c>
    </row>
    <row r="18" spans="1:29" s="40" customFormat="1" ht="18.75" x14ac:dyDescent="0.25">
      <c r="A18" s="144" t="s">
        <v>366</v>
      </c>
      <c r="B18" s="51" t="s">
        <v>338</v>
      </c>
      <c r="C18" s="94" t="s">
        <v>54</v>
      </c>
      <c r="D18" s="95" t="s">
        <v>308</v>
      </c>
      <c r="E18" s="96" t="s">
        <v>114</v>
      </c>
      <c r="F18" s="97" t="s">
        <v>270</v>
      </c>
      <c r="G18" s="98">
        <f>CEILING(S18+W18+X18+O18+N18+Y18,10)</f>
        <v>14140</v>
      </c>
      <c r="H18" s="99">
        <f>CEILING(T18+W18+X18+O18+N18+Z18,10)</f>
        <v>15560</v>
      </c>
      <c r="I18" s="99">
        <f>CEILING(U18+W18+X18+O18+N18+AA18,10)</f>
        <v>15560</v>
      </c>
      <c r="J18" s="99">
        <f>CEILING(V18+W18+X18+O18+N18+AB18,10)</f>
        <v>19360</v>
      </c>
      <c r="K18" s="57"/>
      <c r="L18" s="100" t="s">
        <v>272</v>
      </c>
      <c r="M18" s="52" t="s">
        <v>292</v>
      </c>
      <c r="N18" s="40">
        <v>0</v>
      </c>
      <c r="O18" s="53">
        <f>VLOOKUP(B18,DRAYAGE!$A$1:$C$107,3,FALSE)</f>
        <v>1310</v>
      </c>
      <c r="P18" s="40" t="s">
        <v>347</v>
      </c>
      <c r="S18" s="101">
        <f>0.9*T18</f>
        <v>12825</v>
      </c>
      <c r="T18" s="54">
        <f>T16+250</f>
        <v>14250</v>
      </c>
      <c r="U18" s="103">
        <f>T18</f>
        <v>14250</v>
      </c>
      <c r="V18" s="104">
        <f>U18*1.266</f>
        <v>18040.5</v>
      </c>
      <c r="X18" s="40">
        <v>0</v>
      </c>
    </row>
    <row r="19" spans="1:29" s="40" customFormat="1" ht="14.45" customHeight="1" x14ac:dyDescent="0.25">
      <c r="A19" s="133" t="s">
        <v>59</v>
      </c>
      <c r="B19" s="51" t="s">
        <v>338</v>
      </c>
      <c r="C19" s="94" t="s">
        <v>54</v>
      </c>
      <c r="D19" s="95" t="s">
        <v>308</v>
      </c>
      <c r="E19" s="96" t="s">
        <v>114</v>
      </c>
      <c r="F19" s="97" t="s">
        <v>270</v>
      </c>
      <c r="G19" s="98">
        <f t="shared" si="1"/>
        <v>9410</v>
      </c>
      <c r="H19" s="99">
        <f t="shared" si="2"/>
        <v>10310</v>
      </c>
      <c r="I19" s="99">
        <f t="shared" si="3"/>
        <v>10310</v>
      </c>
      <c r="J19" s="99">
        <f t="shared" si="4"/>
        <v>12710</v>
      </c>
      <c r="K19" s="57"/>
      <c r="L19" s="100" t="s">
        <v>272</v>
      </c>
      <c r="M19" s="52" t="s">
        <v>292</v>
      </c>
      <c r="N19" s="40">
        <v>0</v>
      </c>
      <c r="O19" s="53">
        <f>VLOOKUP(B19,DRAYAGE!$A$1:$C$107,3,FALSE)</f>
        <v>1310</v>
      </c>
      <c r="P19" s="40" t="s">
        <v>347</v>
      </c>
      <c r="S19" s="101">
        <f t="shared" si="0"/>
        <v>8100</v>
      </c>
      <c r="T19" s="54">
        <v>9000</v>
      </c>
      <c r="U19" s="103">
        <f t="shared" si="5"/>
        <v>9000</v>
      </c>
      <c r="V19" s="104">
        <f t="shared" si="6"/>
        <v>11394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308</v>
      </c>
      <c r="E20" s="96" t="s">
        <v>114</v>
      </c>
      <c r="F20" s="97" t="s">
        <v>270</v>
      </c>
      <c r="G20" s="98">
        <f t="shared" ref="G20:G28" si="7">CEILING(S20+W20+X20+O20+N20+Y20,10)</f>
        <v>9410</v>
      </c>
      <c r="H20" s="99">
        <f t="shared" ref="H20:H28" si="8">CEILING(T20+W20+X20+O20+N20+Z20,10)</f>
        <v>10310</v>
      </c>
      <c r="I20" s="99">
        <f t="shared" ref="I20:I28" si="9">CEILING(U20+W20+X20+O20+N20+AA20,10)</f>
        <v>10310</v>
      </c>
      <c r="J20" s="99">
        <f t="shared" ref="J20:J28" si="10">CEILING(V20+W20+X20+O20+N20+AB20,10)</f>
        <v>12710</v>
      </c>
      <c r="K20" s="57"/>
      <c r="L20" s="100" t="s">
        <v>272</v>
      </c>
      <c r="M20" s="52" t="s">
        <v>292</v>
      </c>
      <c r="N20" s="40">
        <v>0</v>
      </c>
      <c r="O20" s="53">
        <f>VLOOKUP(B20,DRAYAGE!$A$1:$C$107,3,FALSE)</f>
        <v>1310</v>
      </c>
      <c r="P20" s="40" t="s">
        <v>347</v>
      </c>
      <c r="S20" s="101">
        <f t="shared" si="0"/>
        <v>8100</v>
      </c>
      <c r="T20" s="54">
        <v>9000</v>
      </c>
      <c r="U20" s="103">
        <f t="shared" si="5"/>
        <v>9000</v>
      </c>
      <c r="V20" s="104">
        <f t="shared" ref="V20:V28" si="11">U20*1.266</f>
        <v>11394</v>
      </c>
      <c r="X20" s="40">
        <v>0</v>
      </c>
    </row>
    <row r="21" spans="1:29" s="40" customFormat="1" ht="14.45" customHeight="1" x14ac:dyDescent="0.25">
      <c r="A21" s="133" t="s">
        <v>61</v>
      </c>
      <c r="B21" s="51" t="s">
        <v>338</v>
      </c>
      <c r="C21" s="94" t="s">
        <v>54</v>
      </c>
      <c r="D21" s="95" t="s">
        <v>308</v>
      </c>
      <c r="E21" s="96" t="s">
        <v>114</v>
      </c>
      <c r="F21" s="97" t="s">
        <v>270</v>
      </c>
      <c r="G21" s="98">
        <f t="shared" si="7"/>
        <v>9230</v>
      </c>
      <c r="H21" s="99">
        <f t="shared" si="8"/>
        <v>10110</v>
      </c>
      <c r="I21" s="99">
        <f t="shared" si="9"/>
        <v>10110</v>
      </c>
      <c r="J21" s="99">
        <f t="shared" si="10"/>
        <v>12460</v>
      </c>
      <c r="K21" s="57"/>
      <c r="L21" s="100" t="s">
        <v>272</v>
      </c>
      <c r="M21" s="52" t="s">
        <v>292</v>
      </c>
      <c r="N21" s="40">
        <v>0</v>
      </c>
      <c r="O21" s="53">
        <f>VLOOKUP(B21,DRAYAGE!$A$1:$C$107,3,FALSE)</f>
        <v>1310</v>
      </c>
      <c r="P21" s="40" t="s">
        <v>347</v>
      </c>
      <c r="S21" s="101">
        <f t="shared" si="0"/>
        <v>7920</v>
      </c>
      <c r="T21" s="54">
        <v>8800</v>
      </c>
      <c r="U21" s="103">
        <f t="shared" si="5"/>
        <v>8800</v>
      </c>
      <c r="V21" s="104">
        <f t="shared" si="11"/>
        <v>11140.8</v>
      </c>
      <c r="X21" s="40">
        <v>0</v>
      </c>
    </row>
    <row r="22" spans="1:29" s="45" customFormat="1" ht="14.45" customHeight="1" x14ac:dyDescent="0.25">
      <c r="A22" s="133" t="s">
        <v>276</v>
      </c>
      <c r="B22" s="51" t="s">
        <v>338</v>
      </c>
      <c r="C22" s="106" t="s">
        <v>54</v>
      </c>
      <c r="D22" s="95" t="s">
        <v>308</v>
      </c>
      <c r="E22" s="107" t="s">
        <v>114</v>
      </c>
      <c r="F22" s="108" t="s">
        <v>270</v>
      </c>
      <c r="G22" s="109">
        <f t="shared" si="7"/>
        <v>9410</v>
      </c>
      <c r="H22" s="110">
        <f t="shared" si="8"/>
        <v>10310</v>
      </c>
      <c r="I22" s="110">
        <f t="shared" si="9"/>
        <v>10310</v>
      </c>
      <c r="J22" s="110">
        <f t="shared" si="10"/>
        <v>12710</v>
      </c>
      <c r="K22" s="111"/>
      <c r="L22" s="112" t="s">
        <v>272</v>
      </c>
      <c r="M22" s="52" t="s">
        <v>292</v>
      </c>
      <c r="N22" s="45">
        <v>0</v>
      </c>
      <c r="O22" s="53">
        <f>VLOOKUP(B22,DRAYAGE!$A$1:$C$107,3,FALSE)</f>
        <v>1310</v>
      </c>
      <c r="P22" s="40" t="s">
        <v>347</v>
      </c>
      <c r="S22" s="113">
        <f t="shared" si="0"/>
        <v>8100</v>
      </c>
      <c r="T22" s="54">
        <v>9000</v>
      </c>
      <c r="U22" s="103">
        <f t="shared" si="5"/>
        <v>9000</v>
      </c>
      <c r="V22" s="114">
        <f t="shared" si="11"/>
        <v>11394</v>
      </c>
      <c r="X22" s="45">
        <v>0</v>
      </c>
      <c r="Y22" s="40">
        <f t="shared" ref="Y22:Y28" si="12">0.9*Z22</f>
        <v>0</v>
      </c>
      <c r="AA22" s="40">
        <f t="shared" ref="AA22:AA28" si="13">Z22</f>
        <v>0</v>
      </c>
      <c r="AB22" s="40">
        <f t="shared" ref="AB22:AB28" si="14">Z22*1.266</f>
        <v>0</v>
      </c>
    </row>
    <row r="23" spans="1:29" s="40" customFormat="1" ht="14.45" customHeight="1" x14ac:dyDescent="0.25">
      <c r="A23" s="133" t="s">
        <v>108</v>
      </c>
      <c r="B23" s="51" t="s">
        <v>338</v>
      </c>
      <c r="C23" s="94" t="s">
        <v>54</v>
      </c>
      <c r="D23" s="95" t="s">
        <v>308</v>
      </c>
      <c r="E23" s="96" t="s">
        <v>114</v>
      </c>
      <c r="F23" s="97" t="s">
        <v>270</v>
      </c>
      <c r="G23" s="98">
        <f t="shared" si="7"/>
        <v>9410</v>
      </c>
      <c r="H23" s="99">
        <f t="shared" si="8"/>
        <v>10310</v>
      </c>
      <c r="I23" s="99">
        <f t="shared" si="9"/>
        <v>10310</v>
      </c>
      <c r="J23" s="99">
        <f t="shared" si="10"/>
        <v>12710</v>
      </c>
      <c r="K23" s="57"/>
      <c r="L23" s="100" t="s">
        <v>272</v>
      </c>
      <c r="M23" s="52" t="s">
        <v>292</v>
      </c>
      <c r="N23" s="40">
        <v>0</v>
      </c>
      <c r="O23" s="53">
        <f>VLOOKUP(B23,DRAYAGE!$A$1:$C$107,3,FALSE)</f>
        <v>1310</v>
      </c>
      <c r="P23" s="40" t="s">
        <v>347</v>
      </c>
      <c r="S23" s="101">
        <f t="shared" si="0"/>
        <v>8100</v>
      </c>
      <c r="T23" s="54">
        <v>9000</v>
      </c>
      <c r="U23" s="103">
        <f t="shared" si="5"/>
        <v>9000</v>
      </c>
      <c r="V23" s="104">
        <f t="shared" si="11"/>
        <v>11394</v>
      </c>
      <c r="X23" s="40">
        <v>0</v>
      </c>
    </row>
    <row r="24" spans="1:29" s="40" customFormat="1" ht="14.45" customHeight="1" x14ac:dyDescent="0.25">
      <c r="A24" s="133" t="s">
        <v>62</v>
      </c>
      <c r="B24" s="51" t="s">
        <v>338</v>
      </c>
      <c r="C24" s="94" t="s">
        <v>54</v>
      </c>
      <c r="D24" s="95" t="s">
        <v>308</v>
      </c>
      <c r="E24" s="96" t="s">
        <v>114</v>
      </c>
      <c r="F24" s="97" t="s">
        <v>270</v>
      </c>
      <c r="G24" s="98">
        <f t="shared" si="7"/>
        <v>11030</v>
      </c>
      <c r="H24" s="99">
        <f t="shared" si="8"/>
        <v>12110</v>
      </c>
      <c r="I24" s="99">
        <f t="shared" si="9"/>
        <v>12110</v>
      </c>
      <c r="J24" s="99">
        <f t="shared" si="10"/>
        <v>14990</v>
      </c>
      <c r="K24" s="57"/>
      <c r="L24" s="100" t="s">
        <v>272</v>
      </c>
      <c r="M24" s="52" t="s">
        <v>292</v>
      </c>
      <c r="N24" s="40">
        <v>0</v>
      </c>
      <c r="O24" s="53">
        <f>VLOOKUP(B24,DRAYAGE!$A$1:$C$107,3,FALSE)</f>
        <v>1310</v>
      </c>
      <c r="P24" s="40" t="s">
        <v>347</v>
      </c>
      <c r="S24" s="101">
        <f t="shared" si="0"/>
        <v>9720</v>
      </c>
      <c r="T24" s="54">
        <f>T14+2000</f>
        <v>10800</v>
      </c>
      <c r="U24" s="103">
        <f t="shared" si="5"/>
        <v>10800</v>
      </c>
      <c r="V24" s="104">
        <f t="shared" si="11"/>
        <v>13672.8</v>
      </c>
      <c r="X24" s="40">
        <v>0</v>
      </c>
      <c r="Y24" s="40">
        <f t="shared" si="12"/>
        <v>0</v>
      </c>
      <c r="AA24" s="40">
        <f t="shared" si="13"/>
        <v>0</v>
      </c>
      <c r="AB24" s="40">
        <f t="shared" si="14"/>
        <v>0</v>
      </c>
    </row>
    <row r="25" spans="1:29" s="40" customFormat="1" ht="14.45" customHeight="1" x14ac:dyDescent="0.25">
      <c r="A25" s="133" t="s">
        <v>66</v>
      </c>
      <c r="B25" s="51" t="s">
        <v>338</v>
      </c>
      <c r="C25" s="94" t="s">
        <v>54</v>
      </c>
      <c r="D25" s="95" t="s">
        <v>308</v>
      </c>
      <c r="E25" s="96" t="s">
        <v>114</v>
      </c>
      <c r="F25" s="97" t="s">
        <v>270</v>
      </c>
      <c r="G25" s="98">
        <f t="shared" si="7"/>
        <v>11030</v>
      </c>
      <c r="H25" s="99">
        <f t="shared" si="8"/>
        <v>12110</v>
      </c>
      <c r="I25" s="99">
        <f t="shared" si="9"/>
        <v>12110</v>
      </c>
      <c r="J25" s="99">
        <f t="shared" si="10"/>
        <v>14990</v>
      </c>
      <c r="K25" s="57"/>
      <c r="L25" s="100" t="s">
        <v>272</v>
      </c>
      <c r="M25" s="52" t="s">
        <v>292</v>
      </c>
      <c r="N25" s="40">
        <v>0</v>
      </c>
      <c r="O25" s="53">
        <f>VLOOKUP(B25,DRAYAGE!$A$1:$C$107,3,FALSE)</f>
        <v>1310</v>
      </c>
      <c r="P25" s="40" t="s">
        <v>347</v>
      </c>
      <c r="S25" s="101">
        <f t="shared" si="0"/>
        <v>9720</v>
      </c>
      <c r="T25" s="54">
        <f>T14+2000</f>
        <v>10800</v>
      </c>
      <c r="U25" s="103">
        <f t="shared" si="5"/>
        <v>10800</v>
      </c>
      <c r="V25" s="104">
        <f t="shared" si="11"/>
        <v>13672.8</v>
      </c>
      <c r="X25" s="40">
        <v>0</v>
      </c>
    </row>
    <row r="26" spans="1:29" s="40" customFormat="1" ht="14.45" customHeight="1" x14ac:dyDescent="0.25">
      <c r="A26" s="133" t="s">
        <v>65</v>
      </c>
      <c r="B26" s="51" t="s">
        <v>338</v>
      </c>
      <c r="C26" s="94" t="s">
        <v>54</v>
      </c>
      <c r="D26" s="95" t="s">
        <v>308</v>
      </c>
      <c r="E26" s="96" t="s">
        <v>114</v>
      </c>
      <c r="F26" s="97" t="s">
        <v>270</v>
      </c>
      <c r="G26" s="98">
        <f t="shared" si="7"/>
        <v>11030</v>
      </c>
      <c r="H26" s="99">
        <f t="shared" si="8"/>
        <v>12110</v>
      </c>
      <c r="I26" s="99">
        <f t="shared" si="9"/>
        <v>12110</v>
      </c>
      <c r="J26" s="99">
        <f t="shared" si="10"/>
        <v>14990</v>
      </c>
      <c r="K26" s="57"/>
      <c r="L26" s="100" t="s">
        <v>272</v>
      </c>
      <c r="M26" s="52" t="s">
        <v>292</v>
      </c>
      <c r="N26" s="40">
        <v>0</v>
      </c>
      <c r="O26" s="53">
        <f>VLOOKUP(B26,DRAYAGE!$A$1:$C$107,3,FALSE)</f>
        <v>1310</v>
      </c>
      <c r="P26" s="40" t="s">
        <v>347</v>
      </c>
      <c r="S26" s="101">
        <f t="shared" si="0"/>
        <v>9720</v>
      </c>
      <c r="T26" s="54">
        <f>T14+2000</f>
        <v>10800</v>
      </c>
      <c r="U26" s="103">
        <f t="shared" si="5"/>
        <v>10800</v>
      </c>
      <c r="V26" s="104">
        <f t="shared" si="11"/>
        <v>13672.8</v>
      </c>
      <c r="X26" s="40">
        <v>0</v>
      </c>
      <c r="Y26" s="40">
        <f t="shared" si="12"/>
        <v>0</v>
      </c>
      <c r="AA26" s="40">
        <f t="shared" si="13"/>
        <v>0</v>
      </c>
      <c r="AB26" s="40">
        <f t="shared" si="14"/>
        <v>0</v>
      </c>
    </row>
    <row r="27" spans="1:29" s="40" customFormat="1" ht="14.45" customHeight="1" x14ac:dyDescent="0.25">
      <c r="A27" s="133" t="s">
        <v>63</v>
      </c>
      <c r="B27" s="51" t="s">
        <v>338</v>
      </c>
      <c r="C27" s="94" t="s">
        <v>54</v>
      </c>
      <c r="D27" s="95" t="s">
        <v>308</v>
      </c>
      <c r="E27" s="96" t="s">
        <v>114</v>
      </c>
      <c r="F27" s="97" t="s">
        <v>270</v>
      </c>
      <c r="G27" s="98">
        <f t="shared" si="7"/>
        <v>11030</v>
      </c>
      <c r="H27" s="99">
        <f t="shared" si="8"/>
        <v>12110</v>
      </c>
      <c r="I27" s="99">
        <f t="shared" si="9"/>
        <v>12110</v>
      </c>
      <c r="J27" s="99">
        <f t="shared" si="10"/>
        <v>14990</v>
      </c>
      <c r="K27" s="57"/>
      <c r="L27" s="100" t="s">
        <v>272</v>
      </c>
      <c r="M27" s="52" t="s">
        <v>292</v>
      </c>
      <c r="N27" s="40">
        <v>0</v>
      </c>
      <c r="O27" s="53">
        <f>VLOOKUP(B27,DRAYAGE!$A$1:$C$107,3,FALSE)</f>
        <v>1310</v>
      </c>
      <c r="P27" s="40" t="s">
        <v>347</v>
      </c>
      <c r="S27" s="101">
        <f t="shared" si="0"/>
        <v>9720</v>
      </c>
      <c r="T27" s="54">
        <f>T14+2000</f>
        <v>10800</v>
      </c>
      <c r="U27" s="103">
        <f t="shared" si="5"/>
        <v>10800</v>
      </c>
      <c r="V27" s="104">
        <f t="shared" si="11"/>
        <v>13672.8</v>
      </c>
      <c r="X27" s="40">
        <v>0</v>
      </c>
      <c r="Y27" s="40">
        <f t="shared" si="12"/>
        <v>0</v>
      </c>
      <c r="AA27" s="40">
        <f t="shared" si="13"/>
        <v>0</v>
      </c>
      <c r="AB27" s="40">
        <f t="shared" si="14"/>
        <v>0</v>
      </c>
    </row>
    <row r="28" spans="1:29" s="45" customFormat="1" ht="14.45" customHeight="1" x14ac:dyDescent="0.25">
      <c r="A28" s="133" t="s">
        <v>275</v>
      </c>
      <c r="B28" s="51" t="s">
        <v>338</v>
      </c>
      <c r="C28" s="106" t="s">
        <v>54</v>
      </c>
      <c r="D28" s="95" t="s">
        <v>308</v>
      </c>
      <c r="E28" s="107" t="s">
        <v>114</v>
      </c>
      <c r="F28" s="108" t="s">
        <v>270</v>
      </c>
      <c r="G28" s="98">
        <f t="shared" si="7"/>
        <v>11030</v>
      </c>
      <c r="H28" s="99">
        <f t="shared" si="8"/>
        <v>12110</v>
      </c>
      <c r="I28" s="99">
        <f t="shared" si="9"/>
        <v>12110</v>
      </c>
      <c r="J28" s="99">
        <f t="shared" si="10"/>
        <v>14990</v>
      </c>
      <c r="K28" s="111"/>
      <c r="L28" s="112" t="s">
        <v>272</v>
      </c>
      <c r="M28" s="52" t="s">
        <v>292</v>
      </c>
      <c r="N28" s="45">
        <v>0</v>
      </c>
      <c r="O28" s="53">
        <f>VLOOKUP(B28,DRAYAGE!$A$1:$C$107,3,FALSE)</f>
        <v>1310</v>
      </c>
      <c r="P28" s="40" t="s">
        <v>347</v>
      </c>
      <c r="R28" s="105"/>
      <c r="S28" s="113">
        <f t="shared" si="0"/>
        <v>9720</v>
      </c>
      <c r="T28" s="54">
        <f>T14+2000</f>
        <v>10800</v>
      </c>
      <c r="U28" s="103">
        <f t="shared" si="5"/>
        <v>10800</v>
      </c>
      <c r="V28" s="114">
        <f t="shared" si="11"/>
        <v>13672.8</v>
      </c>
      <c r="X28" s="45">
        <v>0</v>
      </c>
      <c r="Y28" s="40">
        <f t="shared" si="12"/>
        <v>0</v>
      </c>
      <c r="AA28" s="40">
        <f t="shared" si="13"/>
        <v>0</v>
      </c>
      <c r="AB28" s="40">
        <f t="shared" si="14"/>
        <v>0</v>
      </c>
    </row>
    <row r="29" spans="1:29" s="40" customFormat="1" ht="14.45" customHeight="1" x14ac:dyDescent="0.25">
      <c r="A29" s="134" t="s">
        <v>333</v>
      </c>
      <c r="B29" s="88"/>
      <c r="C29" s="88"/>
      <c r="D29" s="88"/>
      <c r="E29" s="210"/>
      <c r="F29" s="211"/>
      <c r="G29" s="88"/>
      <c r="H29" s="88"/>
      <c r="I29" s="88"/>
      <c r="J29" s="88"/>
      <c r="K29" s="57"/>
      <c r="L29" s="89" t="s">
        <v>48</v>
      </c>
      <c r="M29" s="89" t="s">
        <v>261</v>
      </c>
      <c r="N29" s="90" t="s">
        <v>51</v>
      </c>
      <c r="O29" s="91" t="s">
        <v>50</v>
      </c>
      <c r="P29" s="91" t="s">
        <v>262</v>
      </c>
      <c r="Q29" s="91" t="s">
        <v>263</v>
      </c>
      <c r="R29" s="91" t="s">
        <v>264</v>
      </c>
      <c r="S29" s="92" t="s">
        <v>52</v>
      </c>
      <c r="T29" s="92" t="s">
        <v>53</v>
      </c>
      <c r="U29" s="92" t="s">
        <v>265</v>
      </c>
      <c r="V29" s="92" t="s">
        <v>266</v>
      </c>
      <c r="W29" s="92" t="s">
        <v>267</v>
      </c>
      <c r="X29" s="92" t="s">
        <v>268</v>
      </c>
      <c r="Y29" s="92" t="s">
        <v>52</v>
      </c>
      <c r="Z29" s="92" t="s">
        <v>53</v>
      </c>
      <c r="AA29" s="92" t="s">
        <v>265</v>
      </c>
      <c r="AB29" s="92" t="s">
        <v>266</v>
      </c>
      <c r="AC29" s="93" t="s">
        <v>269</v>
      </c>
    </row>
    <row r="30" spans="1:29" s="40" customFormat="1" ht="14.45" customHeight="1" x14ac:dyDescent="0.25">
      <c r="A30" s="133" t="s">
        <v>58</v>
      </c>
      <c r="B30" s="51" t="s">
        <v>339</v>
      </c>
      <c r="C30" s="94" t="s">
        <v>54</v>
      </c>
      <c r="D30" s="95" t="s">
        <v>308</v>
      </c>
      <c r="E30" s="96" t="s">
        <v>114</v>
      </c>
      <c r="F30" s="97" t="s">
        <v>270</v>
      </c>
      <c r="G30" s="98">
        <f>CEILING(S30+W30+X30+O30+N30+Y30,10)</f>
        <v>17740</v>
      </c>
      <c r="H30" s="99">
        <f>CEILING(T30+W30+X30+O30+N30+Z30,10)</f>
        <v>19420</v>
      </c>
      <c r="I30" s="99">
        <f>CEILING(U30+W30+X30+O30+N30+AA30,10)</f>
        <v>19420</v>
      </c>
      <c r="J30" s="99">
        <f>CEILING(V30+W30+X30+O30+N30+AB30,10)</f>
        <v>23880</v>
      </c>
      <c r="K30" s="57"/>
      <c r="L30" s="100" t="s">
        <v>272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S30" s="101">
        <f>0.9*T30</f>
        <v>15075</v>
      </c>
      <c r="T30" s="54">
        <f>16500+250</f>
        <v>16750</v>
      </c>
      <c r="U30" s="103">
        <f t="shared" si="5"/>
        <v>16750</v>
      </c>
      <c r="V30" s="104">
        <f>U30*1.266</f>
        <v>21205.5</v>
      </c>
    </row>
    <row r="31" spans="1:29" s="40" customFormat="1" ht="14.45" customHeight="1" x14ac:dyDescent="0.25">
      <c r="A31" s="133" t="s">
        <v>55</v>
      </c>
      <c r="B31" s="51" t="s">
        <v>339</v>
      </c>
      <c r="C31" s="94" t="s">
        <v>54</v>
      </c>
      <c r="D31" s="95" t="s">
        <v>308</v>
      </c>
      <c r="E31" s="96" t="s">
        <v>114</v>
      </c>
      <c r="F31" s="97" t="s">
        <v>270</v>
      </c>
      <c r="G31" s="98">
        <f>CEILING(S31+W31+X31+O31+N31+Y31,10)</f>
        <v>13470</v>
      </c>
      <c r="H31" s="99">
        <f>CEILING(T31+W31+X31+O31+N31+Z31,10)</f>
        <v>14670</v>
      </c>
      <c r="I31" s="99">
        <f>CEILING(U31+W31+X31+O31+N31+AA31,10)</f>
        <v>14670</v>
      </c>
      <c r="J31" s="99">
        <f>CEILING(V31+W31+X31+O31+N31+AB31,10)</f>
        <v>17860</v>
      </c>
      <c r="K31" s="57"/>
      <c r="L31" s="100" t="s">
        <v>272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S31" s="101">
        <f>0.9*T31</f>
        <v>10800</v>
      </c>
      <c r="T31" s="54">
        <v>12000</v>
      </c>
      <c r="U31" s="103">
        <f t="shared" si="5"/>
        <v>12000</v>
      </c>
      <c r="V31" s="104">
        <f>U31*1.266</f>
        <v>15192</v>
      </c>
    </row>
    <row r="32" spans="1:29" s="40" customFormat="1" ht="14.45" customHeight="1" x14ac:dyDescent="0.25">
      <c r="A32" s="133" t="s">
        <v>61</v>
      </c>
      <c r="B32" s="51" t="s">
        <v>339</v>
      </c>
      <c r="C32" s="94" t="s">
        <v>54</v>
      </c>
      <c r="D32" s="95" t="s">
        <v>308</v>
      </c>
      <c r="E32" s="96" t="s">
        <v>114</v>
      </c>
      <c r="F32" s="97" t="s">
        <v>270</v>
      </c>
      <c r="G32" s="98">
        <f>CEILING(S32+W32+X32+O32+N32+Y32,10)</f>
        <v>14820</v>
      </c>
      <c r="H32" s="99">
        <f>CEILING(T32+W32+X32+O32+N32+Z32,10)</f>
        <v>16170</v>
      </c>
      <c r="I32" s="99">
        <f>CEILING(U32+W32+X32+O32+N32+AA32,10)</f>
        <v>16170</v>
      </c>
      <c r="J32" s="99">
        <f>CEILING(V32+W32+X32+O32+N32+AB32,10)</f>
        <v>19760</v>
      </c>
      <c r="K32" s="57"/>
      <c r="L32" s="100" t="s">
        <v>272</v>
      </c>
      <c r="M32" s="52" t="s">
        <v>293</v>
      </c>
      <c r="N32" s="40">
        <v>0</v>
      </c>
      <c r="O32" s="53">
        <f>VLOOKUP(B32,DRAYAGE!$A$1:$C$107,3,FALSE)</f>
        <v>2665</v>
      </c>
      <c r="P32" s="40" t="s">
        <v>299</v>
      </c>
      <c r="S32" s="101">
        <f>0.9*T32</f>
        <v>12150</v>
      </c>
      <c r="T32" s="54">
        <v>13500</v>
      </c>
      <c r="U32" s="103">
        <f t="shared" si="5"/>
        <v>13500</v>
      </c>
      <c r="V32" s="104">
        <f>U32*1.266</f>
        <v>17091</v>
      </c>
    </row>
    <row r="33" spans="1:29" s="40" customFormat="1" ht="14.45" customHeight="1" x14ac:dyDescent="0.25">
      <c r="A33" s="134" t="s">
        <v>334</v>
      </c>
      <c r="B33" s="88"/>
      <c r="C33" s="88"/>
      <c r="D33" s="88"/>
      <c r="E33" s="210"/>
      <c r="F33" s="211"/>
      <c r="G33" s="88"/>
      <c r="H33" s="88"/>
      <c r="I33" s="88"/>
      <c r="J33" s="88"/>
      <c r="K33" s="57"/>
      <c r="L33" s="89" t="s">
        <v>48</v>
      </c>
      <c r="M33" s="89" t="s">
        <v>261</v>
      </c>
      <c r="N33" s="90" t="s">
        <v>51</v>
      </c>
      <c r="O33" s="91" t="s">
        <v>50</v>
      </c>
      <c r="P33" s="91" t="s">
        <v>262</v>
      </c>
      <c r="Q33" s="91" t="s">
        <v>263</v>
      </c>
      <c r="R33" s="91" t="s">
        <v>264</v>
      </c>
      <c r="S33" s="92" t="s">
        <v>52</v>
      </c>
      <c r="T33" s="92" t="s">
        <v>53</v>
      </c>
      <c r="U33" s="92" t="s">
        <v>265</v>
      </c>
      <c r="V33" s="92" t="s">
        <v>266</v>
      </c>
      <c r="W33" s="92" t="s">
        <v>267</v>
      </c>
      <c r="X33" s="92" t="s">
        <v>268</v>
      </c>
      <c r="Y33" s="92" t="s">
        <v>52</v>
      </c>
      <c r="Z33" s="92" t="s">
        <v>53</v>
      </c>
      <c r="AA33" s="92" t="s">
        <v>265</v>
      </c>
      <c r="AB33" s="92" t="s">
        <v>266</v>
      </c>
      <c r="AC33" s="93" t="s">
        <v>269</v>
      </c>
    </row>
    <row r="34" spans="1:29" s="40" customFormat="1" ht="14.45" customHeight="1" x14ac:dyDescent="0.25">
      <c r="A34" s="133" t="s">
        <v>58</v>
      </c>
      <c r="B34" s="51" t="s">
        <v>341</v>
      </c>
      <c r="C34" s="94" t="s">
        <v>54</v>
      </c>
      <c r="D34" s="95" t="s">
        <v>308</v>
      </c>
      <c r="E34" s="96" t="s">
        <v>114</v>
      </c>
      <c r="F34" s="97" t="s">
        <v>270</v>
      </c>
      <c r="G34" s="98">
        <f>CEILING(S34+W34+X34+O34+N34+Y34,10)</f>
        <v>16770</v>
      </c>
      <c r="H34" s="99">
        <f>CEILING(T34+W34+X34+O34+N34+Z34,10)</f>
        <v>18440</v>
      </c>
      <c r="I34" s="99">
        <f>CEILING(U34+W34+X34+O34+N34+AA34,10)</f>
        <v>18440</v>
      </c>
      <c r="J34" s="99">
        <f>CEILING(V34+W34+X34+O34+N34+AB34,10)</f>
        <v>22900</v>
      </c>
      <c r="K34" s="57"/>
      <c r="L34" s="100" t="s">
        <v>272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S34" s="101">
        <f>0.9*T34</f>
        <v>15075</v>
      </c>
      <c r="T34" s="54">
        <f>T30</f>
        <v>16750</v>
      </c>
      <c r="U34" s="103">
        <f t="shared" si="5"/>
        <v>16750</v>
      </c>
      <c r="V34" s="104">
        <f>U34*1.266</f>
        <v>21205.5</v>
      </c>
      <c r="X34" s="40">
        <v>0</v>
      </c>
    </row>
    <row r="35" spans="1:29" s="40" customFormat="1" ht="14.45" customHeight="1" x14ac:dyDescent="0.25">
      <c r="A35" s="133" t="s">
        <v>55</v>
      </c>
      <c r="B35" s="51" t="s">
        <v>341</v>
      </c>
      <c r="C35" s="94" t="s">
        <v>54</v>
      </c>
      <c r="D35" s="95" t="s">
        <v>308</v>
      </c>
      <c r="E35" s="96" t="s">
        <v>114</v>
      </c>
      <c r="F35" s="97" t="s">
        <v>270</v>
      </c>
      <c r="G35" s="98">
        <f>CEILING(S35+W35+X35+O35+N35+Y35,10)</f>
        <v>12490</v>
      </c>
      <c r="H35" s="99">
        <f>CEILING(T35+W35+X35+O35+N35+Z35,10)</f>
        <v>13690</v>
      </c>
      <c r="I35" s="99">
        <f>CEILING(U35+W35+X35+O35+N35+AA35,10)</f>
        <v>13690</v>
      </c>
      <c r="J35" s="99">
        <f>CEILING(V35+W35+X35+O35+N35+AB35,10)</f>
        <v>16890</v>
      </c>
      <c r="K35" s="57"/>
      <c r="L35" s="100" t="s">
        <v>272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S35" s="101">
        <f>0.9*T35</f>
        <v>10800</v>
      </c>
      <c r="T35" s="54">
        <f>T31</f>
        <v>12000</v>
      </c>
      <c r="U35" s="103">
        <f t="shared" si="5"/>
        <v>12000</v>
      </c>
      <c r="V35" s="104">
        <f>U35*1.266</f>
        <v>15192</v>
      </c>
      <c r="X35" s="40">
        <v>0</v>
      </c>
    </row>
    <row r="36" spans="1:29" s="40" customFormat="1" ht="14.45" customHeight="1" x14ac:dyDescent="0.25">
      <c r="A36" s="133" t="s">
        <v>61</v>
      </c>
      <c r="B36" s="51" t="s">
        <v>341</v>
      </c>
      <c r="C36" s="94" t="s">
        <v>54</v>
      </c>
      <c r="D36" s="95" t="s">
        <v>308</v>
      </c>
      <c r="E36" s="96" t="s">
        <v>114</v>
      </c>
      <c r="F36" s="97" t="s">
        <v>270</v>
      </c>
      <c r="G36" s="98">
        <f>CEILING(S36+W36+X36+O36+N36+Y36,10)</f>
        <v>13840</v>
      </c>
      <c r="H36" s="99">
        <f>CEILING(T36+W36+X36+O36+N36+Z36,10)</f>
        <v>15190</v>
      </c>
      <c r="I36" s="99">
        <f>CEILING(U36+W36+X36+O36+N36+AA36,10)</f>
        <v>15190</v>
      </c>
      <c r="J36" s="99">
        <f>CEILING(V36+W36+X36+O36+N36+AB36,10)</f>
        <v>18790</v>
      </c>
      <c r="K36" s="57"/>
      <c r="L36" s="100" t="s">
        <v>272</v>
      </c>
      <c r="M36" s="52" t="s">
        <v>293</v>
      </c>
      <c r="N36" s="40">
        <v>0</v>
      </c>
      <c r="O36" s="53">
        <f>VLOOKUP(B36,DRAYAGE!$A$1:$C$107,3,FALSE)</f>
        <v>1690</v>
      </c>
      <c r="P36" s="40" t="s">
        <v>299</v>
      </c>
      <c r="S36" s="101">
        <f>0.9*T36</f>
        <v>12150</v>
      </c>
      <c r="T36" s="54">
        <f>T32</f>
        <v>13500</v>
      </c>
      <c r="U36" s="103">
        <f t="shared" si="5"/>
        <v>13500</v>
      </c>
      <c r="V36" s="104">
        <f>U36*1.266</f>
        <v>17091</v>
      </c>
      <c r="X36" s="40">
        <v>0</v>
      </c>
    </row>
    <row r="37" spans="1:29" s="40" customFormat="1" ht="14.45" customHeight="1" x14ac:dyDescent="0.25">
      <c r="A37" s="134" t="s">
        <v>335</v>
      </c>
      <c r="B37" s="88"/>
      <c r="C37" s="88"/>
      <c r="D37" s="88"/>
      <c r="E37" s="210"/>
      <c r="F37" s="211"/>
      <c r="G37" s="88"/>
      <c r="H37" s="88"/>
      <c r="I37" s="88"/>
      <c r="J37" s="88"/>
      <c r="K37" s="57"/>
      <c r="L37" s="89" t="s">
        <v>48</v>
      </c>
      <c r="M37" s="89" t="s">
        <v>261</v>
      </c>
      <c r="N37" s="90" t="s">
        <v>51</v>
      </c>
      <c r="O37" s="91" t="s">
        <v>50</v>
      </c>
      <c r="P37" s="91" t="s">
        <v>262</v>
      </c>
      <c r="Q37" s="91" t="s">
        <v>263</v>
      </c>
      <c r="R37" s="91" t="s">
        <v>264</v>
      </c>
      <c r="S37" s="92" t="s">
        <v>52</v>
      </c>
      <c r="T37" s="92" t="s">
        <v>53</v>
      </c>
      <c r="U37" s="92" t="s">
        <v>265</v>
      </c>
      <c r="V37" s="92" t="s">
        <v>266</v>
      </c>
      <c r="W37" s="92" t="s">
        <v>267</v>
      </c>
      <c r="X37" s="92" t="s">
        <v>268</v>
      </c>
      <c r="Y37" s="92" t="s">
        <v>52</v>
      </c>
      <c r="Z37" s="92" t="s">
        <v>53</v>
      </c>
      <c r="AA37" s="92" t="s">
        <v>265</v>
      </c>
      <c r="AB37" s="92" t="s">
        <v>266</v>
      </c>
      <c r="AC37" s="93" t="s">
        <v>269</v>
      </c>
    </row>
    <row r="38" spans="1:29" s="40" customFormat="1" ht="18.75" x14ac:dyDescent="0.25">
      <c r="A38" s="133" t="s">
        <v>81</v>
      </c>
      <c r="B38" s="51" t="s">
        <v>340</v>
      </c>
      <c r="C38" s="94" t="s">
        <v>54</v>
      </c>
      <c r="D38" s="95" t="s">
        <v>308</v>
      </c>
      <c r="E38" s="96" t="s">
        <v>114</v>
      </c>
      <c r="F38" s="97" t="s">
        <v>270</v>
      </c>
      <c r="G38" s="98">
        <f t="shared" ref="G38:G44" si="15">CEILING(S38+W38+X38+O38+N38+Y38,10)</f>
        <v>14410</v>
      </c>
      <c r="H38" s="99">
        <f t="shared" ref="H38:H44" si="16">CEILING(T38+W38+X38+O38+N38+Z38,10)</f>
        <v>15810</v>
      </c>
      <c r="I38" s="99">
        <f t="shared" ref="I38:I44" si="17">CEILING(U38+W38+X38+O38+N38+AA38,10)</f>
        <v>15810</v>
      </c>
      <c r="J38" s="99">
        <f t="shared" ref="J38:J44" si="18">CEILING(V38+W38+X38+O38+N38+AB38,10)</f>
        <v>19530</v>
      </c>
      <c r="K38" s="57"/>
      <c r="L38" s="100" t="s">
        <v>272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S38" s="101">
        <f t="shared" ref="S38:S44" si="19">0.9*T38</f>
        <v>12600</v>
      </c>
      <c r="T38" s="54">
        <v>14000</v>
      </c>
      <c r="U38" s="103">
        <f t="shared" si="5"/>
        <v>14000</v>
      </c>
      <c r="V38" s="104">
        <f t="shared" ref="V38:V44" si="20">U38*1.266</f>
        <v>17724</v>
      </c>
      <c r="X38" s="40">
        <v>0</v>
      </c>
    </row>
    <row r="39" spans="1:29" s="40" customFormat="1" ht="14.45" customHeight="1" x14ac:dyDescent="0.25">
      <c r="A39" s="133" t="s">
        <v>55</v>
      </c>
      <c r="B39" s="51" t="s">
        <v>340</v>
      </c>
      <c r="C39" s="94" t="s">
        <v>54</v>
      </c>
      <c r="D39" s="95" t="s">
        <v>308</v>
      </c>
      <c r="E39" s="96" t="s">
        <v>114</v>
      </c>
      <c r="F39" s="97" t="s">
        <v>270</v>
      </c>
      <c r="G39" s="98">
        <f t="shared" si="15"/>
        <v>12610</v>
      </c>
      <c r="H39" s="99">
        <f t="shared" si="16"/>
        <v>13810</v>
      </c>
      <c r="I39" s="99">
        <f t="shared" si="17"/>
        <v>13810</v>
      </c>
      <c r="J39" s="99">
        <f t="shared" si="18"/>
        <v>17000</v>
      </c>
      <c r="K39" s="57"/>
      <c r="L39" s="100" t="s">
        <v>272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S39" s="101">
        <f t="shared" si="19"/>
        <v>10800</v>
      </c>
      <c r="T39" s="54">
        <v>12000</v>
      </c>
      <c r="U39" s="103">
        <f t="shared" si="5"/>
        <v>12000</v>
      </c>
      <c r="V39" s="104">
        <f t="shared" si="20"/>
        <v>15192</v>
      </c>
      <c r="X39" s="40">
        <v>0</v>
      </c>
    </row>
    <row r="40" spans="1:29" s="40" customFormat="1" ht="14.45" customHeight="1" x14ac:dyDescent="0.25">
      <c r="A40" s="133" t="s">
        <v>59</v>
      </c>
      <c r="B40" s="51" t="s">
        <v>340</v>
      </c>
      <c r="C40" s="94" t="s">
        <v>54</v>
      </c>
      <c r="D40" s="95" t="s">
        <v>308</v>
      </c>
      <c r="E40" s="96" t="s">
        <v>114</v>
      </c>
      <c r="F40" s="97" t="s">
        <v>270</v>
      </c>
      <c r="G40" s="98">
        <f t="shared" si="15"/>
        <v>14410</v>
      </c>
      <c r="H40" s="99">
        <f t="shared" si="16"/>
        <v>15810</v>
      </c>
      <c r="I40" s="99">
        <f t="shared" si="17"/>
        <v>15810</v>
      </c>
      <c r="J40" s="99">
        <f t="shared" si="18"/>
        <v>19530</v>
      </c>
      <c r="K40" s="57"/>
      <c r="L40" s="100" t="s">
        <v>272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S40" s="101">
        <f t="shared" si="19"/>
        <v>12600</v>
      </c>
      <c r="T40" s="54">
        <v>14000</v>
      </c>
      <c r="U40" s="103">
        <f t="shared" si="5"/>
        <v>14000</v>
      </c>
      <c r="V40" s="104">
        <f t="shared" si="20"/>
        <v>17724</v>
      </c>
      <c r="X40" s="40">
        <v>0</v>
      </c>
    </row>
    <row r="41" spans="1:29" s="40" customFormat="1" ht="18.75" x14ac:dyDescent="0.25">
      <c r="A41" s="133" t="s">
        <v>60</v>
      </c>
      <c r="B41" s="51" t="s">
        <v>340</v>
      </c>
      <c r="C41" s="94" t="s">
        <v>54</v>
      </c>
      <c r="D41" s="95" t="s">
        <v>308</v>
      </c>
      <c r="E41" s="96" t="s">
        <v>114</v>
      </c>
      <c r="F41" s="97" t="s">
        <v>270</v>
      </c>
      <c r="G41" s="98">
        <f t="shared" si="15"/>
        <v>14860</v>
      </c>
      <c r="H41" s="99">
        <f t="shared" si="16"/>
        <v>16310</v>
      </c>
      <c r="I41" s="99">
        <f t="shared" si="17"/>
        <v>16310</v>
      </c>
      <c r="J41" s="99">
        <f t="shared" si="18"/>
        <v>20170</v>
      </c>
      <c r="K41" s="57"/>
      <c r="L41" s="100" t="s">
        <v>272</v>
      </c>
      <c r="M41" s="52" t="s">
        <v>294</v>
      </c>
      <c r="N41" s="40">
        <v>0</v>
      </c>
      <c r="O41" s="53">
        <f>VLOOKUP(B41,DRAYAGE!$A$1:$C$107,3,FALSE)</f>
        <v>1805</v>
      </c>
      <c r="P41" s="40" t="s">
        <v>300</v>
      </c>
      <c r="S41" s="101">
        <f t="shared" si="19"/>
        <v>13050</v>
      </c>
      <c r="T41" s="54">
        <v>14500</v>
      </c>
      <c r="U41" s="103">
        <f t="shared" si="5"/>
        <v>14500</v>
      </c>
      <c r="V41" s="104">
        <f t="shared" si="20"/>
        <v>18357</v>
      </c>
      <c r="X41" s="40">
        <v>0</v>
      </c>
    </row>
    <row r="42" spans="1:29" s="45" customFormat="1" ht="14.45" customHeight="1" x14ac:dyDescent="0.25">
      <c r="A42" s="133" t="s">
        <v>61</v>
      </c>
      <c r="B42" s="51" t="s">
        <v>340</v>
      </c>
      <c r="C42" s="106" t="s">
        <v>54</v>
      </c>
      <c r="D42" s="95" t="s">
        <v>308</v>
      </c>
      <c r="E42" s="107" t="s">
        <v>114</v>
      </c>
      <c r="F42" s="108" t="s">
        <v>270</v>
      </c>
      <c r="G42" s="109">
        <f t="shared" si="15"/>
        <v>14410</v>
      </c>
      <c r="H42" s="110">
        <f t="shared" si="16"/>
        <v>15810</v>
      </c>
      <c r="I42" s="110">
        <f t="shared" si="17"/>
        <v>15810</v>
      </c>
      <c r="J42" s="110">
        <f t="shared" si="18"/>
        <v>19530</v>
      </c>
      <c r="K42" s="111"/>
      <c r="L42" s="112" t="s">
        <v>272</v>
      </c>
      <c r="M42" s="52" t="s">
        <v>294</v>
      </c>
      <c r="N42" s="45">
        <v>0</v>
      </c>
      <c r="O42" s="53">
        <f>VLOOKUP(B42,DRAYAGE!$A$1:$C$107,3,FALSE)</f>
        <v>1805</v>
      </c>
      <c r="P42" s="40" t="s">
        <v>300</v>
      </c>
      <c r="R42" s="40"/>
      <c r="S42" s="113">
        <f t="shared" si="19"/>
        <v>12600</v>
      </c>
      <c r="T42" s="54">
        <v>14000</v>
      </c>
      <c r="U42" s="103">
        <f t="shared" si="5"/>
        <v>14000</v>
      </c>
      <c r="V42" s="114">
        <f t="shared" si="20"/>
        <v>17724</v>
      </c>
      <c r="X42" s="45">
        <v>0</v>
      </c>
      <c r="Y42" s="40"/>
      <c r="Z42" s="40"/>
      <c r="AA42" s="40"/>
      <c r="AB42" s="40"/>
    </row>
    <row r="43" spans="1:29" s="40" customFormat="1" ht="18.75" x14ac:dyDescent="0.25">
      <c r="A43" s="133" t="s">
        <v>273</v>
      </c>
      <c r="B43" s="51" t="s">
        <v>340</v>
      </c>
      <c r="C43" s="94" t="s">
        <v>54</v>
      </c>
      <c r="D43" s="95" t="s">
        <v>308</v>
      </c>
      <c r="E43" s="96" t="s">
        <v>114</v>
      </c>
      <c r="F43" s="97" t="s">
        <v>270</v>
      </c>
      <c r="G43" s="98">
        <f t="shared" si="15"/>
        <v>18910</v>
      </c>
      <c r="H43" s="99">
        <f t="shared" si="16"/>
        <v>20810</v>
      </c>
      <c r="I43" s="99">
        <f t="shared" si="17"/>
        <v>20810</v>
      </c>
      <c r="J43" s="99">
        <f t="shared" si="18"/>
        <v>25860</v>
      </c>
      <c r="K43" s="57"/>
      <c r="L43" s="100" t="s">
        <v>272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S43" s="101">
        <f t="shared" si="19"/>
        <v>17100</v>
      </c>
      <c r="T43" s="54">
        <v>19000</v>
      </c>
      <c r="U43" s="103">
        <f t="shared" si="5"/>
        <v>19000</v>
      </c>
      <c r="V43" s="104">
        <f t="shared" si="20"/>
        <v>24054</v>
      </c>
      <c r="X43" s="40">
        <v>0</v>
      </c>
    </row>
    <row r="44" spans="1:29" s="40" customFormat="1" ht="14.45" customHeight="1" x14ac:dyDescent="0.25">
      <c r="A44" s="133" t="s">
        <v>58</v>
      </c>
      <c r="B44" s="51" t="s">
        <v>340</v>
      </c>
      <c r="C44" s="94" t="s">
        <v>54</v>
      </c>
      <c r="D44" s="126" t="s">
        <v>290</v>
      </c>
      <c r="E44" s="96" t="s">
        <v>114</v>
      </c>
      <c r="F44" s="97" t="s">
        <v>270</v>
      </c>
      <c r="G44" s="98">
        <f t="shared" si="15"/>
        <v>23860</v>
      </c>
      <c r="H44" s="99">
        <f t="shared" si="16"/>
        <v>26310</v>
      </c>
      <c r="I44" s="99">
        <f t="shared" si="17"/>
        <v>26310</v>
      </c>
      <c r="J44" s="99">
        <f t="shared" si="18"/>
        <v>32830</v>
      </c>
      <c r="K44" s="57"/>
      <c r="L44" s="136" t="s">
        <v>290</v>
      </c>
      <c r="M44" s="52" t="s">
        <v>294</v>
      </c>
      <c r="N44" s="40">
        <v>0</v>
      </c>
      <c r="O44" s="53">
        <f>VLOOKUP(B44,DRAYAGE!$A$1:$C$107,3,FALSE)</f>
        <v>1805</v>
      </c>
      <c r="P44" s="40" t="s">
        <v>298</v>
      </c>
      <c r="S44" s="101">
        <f t="shared" si="19"/>
        <v>22050</v>
      </c>
      <c r="T44" s="54">
        <v>24500</v>
      </c>
      <c r="U44" s="103">
        <f t="shared" si="5"/>
        <v>24500</v>
      </c>
      <c r="V44" s="104">
        <f t="shared" si="20"/>
        <v>31017</v>
      </c>
      <c r="X44" s="40">
        <v>0</v>
      </c>
    </row>
    <row r="45" spans="1:29" s="40" customFormat="1" ht="14.45" customHeight="1" x14ac:dyDescent="0.25">
      <c r="A45" s="134" t="s">
        <v>98</v>
      </c>
      <c r="B45" s="88"/>
      <c r="C45" s="88"/>
      <c r="D45" s="88"/>
      <c r="E45" s="210"/>
      <c r="F45" s="211"/>
      <c r="G45" s="88"/>
      <c r="H45" s="88"/>
      <c r="I45" s="88"/>
      <c r="J45" s="88"/>
      <c r="K45" s="57"/>
      <c r="L45" s="89" t="s">
        <v>48</v>
      </c>
      <c r="M45" s="89" t="s">
        <v>261</v>
      </c>
      <c r="N45" s="90" t="s">
        <v>51</v>
      </c>
      <c r="O45" s="91" t="s">
        <v>50</v>
      </c>
      <c r="P45" s="91" t="s">
        <v>262</v>
      </c>
      <c r="Q45" s="91" t="s">
        <v>263</v>
      </c>
      <c r="R45" s="92" t="s">
        <v>52</v>
      </c>
      <c r="S45" s="92" t="s">
        <v>52</v>
      </c>
      <c r="T45" s="92" t="s">
        <v>53</v>
      </c>
      <c r="U45" s="92" t="s">
        <v>265</v>
      </c>
      <c r="V45" s="92" t="s">
        <v>266</v>
      </c>
      <c r="W45" s="92" t="s">
        <v>267</v>
      </c>
      <c r="X45" s="92" t="s">
        <v>268</v>
      </c>
      <c r="Y45" s="92" t="s">
        <v>52</v>
      </c>
      <c r="Z45" s="92" t="s">
        <v>53</v>
      </c>
      <c r="AA45" s="92" t="s">
        <v>265</v>
      </c>
      <c r="AB45" s="92" t="s">
        <v>266</v>
      </c>
      <c r="AC45" s="93" t="s">
        <v>269</v>
      </c>
    </row>
    <row r="46" spans="1:29" s="40" customFormat="1" ht="14.45" customHeight="1" x14ac:dyDescent="0.25">
      <c r="A46" s="133" t="s">
        <v>331</v>
      </c>
      <c r="B46" s="51" t="s">
        <v>342</v>
      </c>
      <c r="C46" s="94" t="s">
        <v>54</v>
      </c>
      <c r="D46" s="95" t="s">
        <v>308</v>
      </c>
      <c r="E46" s="96" t="s">
        <v>114</v>
      </c>
      <c r="F46" s="97" t="s">
        <v>270</v>
      </c>
      <c r="G46" s="98">
        <f>CEILING(S46+W46+X46+O46+N46+Y46,10)</f>
        <v>15150</v>
      </c>
      <c r="H46" s="99">
        <f>CEILING(T46+W46+X46+O46+N46+Z46,10)</f>
        <v>16500</v>
      </c>
      <c r="I46" s="99">
        <f>CEILING(U46+W46+X46+O46+N46+AA46,10)</f>
        <v>16500</v>
      </c>
      <c r="J46" s="99">
        <f>CEILING(V46+W46+X46+O46+N46+AB46,10)</f>
        <v>20090</v>
      </c>
      <c r="K46" s="57"/>
      <c r="L46" s="100" t="s">
        <v>272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R46" s="101">
        <v>19800</v>
      </c>
      <c r="S46" s="101">
        <f>0.9*T46</f>
        <v>12150</v>
      </c>
      <c r="T46" s="54">
        <v>13500</v>
      </c>
      <c r="U46" s="103">
        <f>T46</f>
        <v>13500</v>
      </c>
      <c r="V46" s="104">
        <f>U46*1.266</f>
        <v>17091</v>
      </c>
      <c r="W46" s="40">
        <v>0</v>
      </c>
    </row>
    <row r="47" spans="1:29" s="40" customFormat="1" ht="14.45" customHeight="1" x14ac:dyDescent="0.25">
      <c r="A47" s="133" t="s">
        <v>328</v>
      </c>
      <c r="B47" s="51" t="s">
        <v>342</v>
      </c>
      <c r="C47" s="94" t="s">
        <v>54</v>
      </c>
      <c r="D47" s="95" t="s">
        <v>308</v>
      </c>
      <c r="E47" s="96" t="s">
        <v>114</v>
      </c>
      <c r="F47" s="97" t="s">
        <v>270</v>
      </c>
      <c r="G47" s="98">
        <f>CEILING(S47+W47+X47+O47+N47+Y47,10)</f>
        <v>17400</v>
      </c>
      <c r="H47" s="99">
        <f>CEILING(T47+W47+X47+O47+N47+Z47,10)</f>
        <v>19000</v>
      </c>
      <c r="I47" s="99">
        <f>CEILING(U47+W47+X47+O47+N47+AA47,10)</f>
        <v>19000</v>
      </c>
      <c r="J47" s="99">
        <f>CEILING(V47+W47+X47+O47+N47+AB47,10)</f>
        <v>23260</v>
      </c>
      <c r="K47" s="57"/>
      <c r="L47" s="100" t="s">
        <v>272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R47" s="101">
        <v>19800</v>
      </c>
      <c r="S47" s="101">
        <f>0.9*T47</f>
        <v>14400</v>
      </c>
      <c r="T47" s="54">
        <v>16000</v>
      </c>
      <c r="U47" s="103">
        <f>T47</f>
        <v>16000</v>
      </c>
      <c r="V47" s="104">
        <f>U47*1.266</f>
        <v>20256</v>
      </c>
      <c r="W47" s="40">
        <v>0</v>
      </c>
    </row>
    <row r="48" spans="1:29" s="40" customFormat="1" ht="14.45" customHeight="1" x14ac:dyDescent="0.25">
      <c r="A48" s="133" t="s">
        <v>58</v>
      </c>
      <c r="B48" s="51" t="s">
        <v>342</v>
      </c>
      <c r="C48" s="94" t="s">
        <v>54</v>
      </c>
      <c r="D48" s="95" t="s">
        <v>308</v>
      </c>
      <c r="E48" s="96" t="s">
        <v>114</v>
      </c>
      <c r="F48" s="97" t="s">
        <v>270</v>
      </c>
      <c r="G48" s="98">
        <f>CEILING(S48+W48+X48+O48+N48+Y48,10)</f>
        <v>18070</v>
      </c>
      <c r="H48" s="99">
        <f>CEILING(T48+W48+X48+O48+N48+Z48,10)</f>
        <v>19750</v>
      </c>
      <c r="I48" s="99">
        <f>CEILING(U48+W48+X48+O48+N48+AA48,10)</f>
        <v>19750</v>
      </c>
      <c r="J48" s="99">
        <f>CEILING(V48+W48+X48+O48+N48+AB48,10)</f>
        <v>24210</v>
      </c>
      <c r="K48" s="57"/>
      <c r="L48" s="100" t="s">
        <v>272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R48" s="101">
        <v>19800</v>
      </c>
      <c r="S48" s="101">
        <f>0.9*T48</f>
        <v>15075</v>
      </c>
      <c r="T48" s="54">
        <f>16500+250</f>
        <v>16750</v>
      </c>
      <c r="U48" s="103">
        <f>T48</f>
        <v>16750</v>
      </c>
      <c r="V48" s="104">
        <f>U48*1.266</f>
        <v>21205.5</v>
      </c>
      <c r="W48" s="40">
        <v>0</v>
      </c>
    </row>
    <row r="49" spans="1:29" s="40" customFormat="1" ht="14.45" customHeight="1" x14ac:dyDescent="0.25">
      <c r="A49" s="133" t="s">
        <v>330</v>
      </c>
      <c r="B49" s="51" t="s">
        <v>342</v>
      </c>
      <c r="C49" s="94" t="s">
        <v>54</v>
      </c>
      <c r="D49" s="95" t="s">
        <v>308</v>
      </c>
      <c r="E49" s="96" t="s">
        <v>114</v>
      </c>
      <c r="F49" s="97" t="s">
        <v>270</v>
      </c>
      <c r="G49" s="98">
        <f>CEILING(S49+W49+X49+O49+N49+Y49,10)</f>
        <v>13800</v>
      </c>
      <c r="H49" s="99">
        <f>CEILING(T49+W49+X49+O49+N49+Z49,10)</f>
        <v>15000</v>
      </c>
      <c r="I49" s="99">
        <f>CEILING(U49+W49+X49+O49+N49+AA49,10)</f>
        <v>15000</v>
      </c>
      <c r="J49" s="99">
        <f>CEILING(V49+W49+X49+O49+N49+AB49,10)</f>
        <v>18190</v>
      </c>
      <c r="K49" s="57"/>
      <c r="L49" s="100" t="s">
        <v>272</v>
      </c>
      <c r="M49" s="52" t="s">
        <v>293</v>
      </c>
      <c r="N49" s="40">
        <v>0</v>
      </c>
      <c r="O49" s="53">
        <f>VLOOKUP(B49,DRAYAGE!$A$1:$C$107,3,FALSE)</f>
        <v>2995</v>
      </c>
      <c r="P49" s="40" t="s">
        <v>302</v>
      </c>
      <c r="R49" s="101">
        <v>19800</v>
      </c>
      <c r="S49" s="101">
        <f>0.9*T49</f>
        <v>10800</v>
      </c>
      <c r="T49" s="54">
        <v>12000</v>
      </c>
      <c r="U49" s="103">
        <f>T49</f>
        <v>12000</v>
      </c>
      <c r="V49" s="104">
        <f>U49*1.266</f>
        <v>15192</v>
      </c>
      <c r="W49" s="40">
        <v>0</v>
      </c>
    </row>
    <row r="50" spans="1:29" s="40" customFormat="1" ht="14.45" customHeight="1" x14ac:dyDescent="0.25">
      <c r="A50" s="134" t="s">
        <v>336</v>
      </c>
      <c r="B50" s="88"/>
      <c r="C50" s="88"/>
      <c r="D50" s="88"/>
      <c r="E50" s="210"/>
      <c r="F50" s="211"/>
      <c r="G50" s="88"/>
      <c r="H50" s="88"/>
      <c r="I50" s="88"/>
      <c r="J50" s="88"/>
      <c r="K50" s="57"/>
      <c r="L50" s="89" t="s">
        <v>48</v>
      </c>
      <c r="M50" s="89" t="s">
        <v>261</v>
      </c>
      <c r="N50" s="90" t="s">
        <v>51</v>
      </c>
      <c r="O50" s="91" t="s">
        <v>50</v>
      </c>
      <c r="P50" s="91" t="s">
        <v>262</v>
      </c>
      <c r="Q50" s="91" t="s">
        <v>263</v>
      </c>
      <c r="R50" s="92" t="s">
        <v>52</v>
      </c>
      <c r="S50" s="92" t="s">
        <v>52</v>
      </c>
      <c r="T50" s="92" t="s">
        <v>53</v>
      </c>
      <c r="U50" s="92" t="s">
        <v>265</v>
      </c>
      <c r="V50" s="92" t="s">
        <v>266</v>
      </c>
      <c r="W50" s="92" t="s">
        <v>267</v>
      </c>
      <c r="X50" s="92" t="s">
        <v>268</v>
      </c>
      <c r="Y50" s="92" t="s">
        <v>52</v>
      </c>
      <c r="Z50" s="92" t="s">
        <v>53</v>
      </c>
      <c r="AA50" s="92" t="s">
        <v>265</v>
      </c>
      <c r="AB50" s="92" t="s">
        <v>266</v>
      </c>
      <c r="AC50" s="93" t="s">
        <v>269</v>
      </c>
    </row>
    <row r="51" spans="1:29" s="40" customFormat="1" ht="14.45" customHeight="1" x14ac:dyDescent="0.25">
      <c r="A51" s="133" t="s">
        <v>326</v>
      </c>
      <c r="B51" s="51" t="s">
        <v>343</v>
      </c>
      <c r="C51" s="94" t="s">
        <v>54</v>
      </c>
      <c r="D51" s="95" t="s">
        <v>308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00" t="s">
        <v>272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R51" s="101">
        <v>18000</v>
      </c>
      <c r="S51" s="101">
        <f>0.9*T51</f>
        <v>14400</v>
      </c>
      <c r="T51" s="54">
        <v>16000</v>
      </c>
      <c r="U51" s="103">
        <f>T51</f>
        <v>16000</v>
      </c>
      <c r="V51" s="104">
        <f>U51*1.266</f>
        <v>20256</v>
      </c>
      <c r="W51" s="40">
        <v>0</v>
      </c>
    </row>
    <row r="52" spans="1:29" s="40" customFormat="1" ht="14.45" customHeight="1" x14ac:dyDescent="0.25">
      <c r="A52" s="133" t="s">
        <v>327</v>
      </c>
      <c r="B52" s="51" t="s">
        <v>343</v>
      </c>
      <c r="C52" s="94" t="s">
        <v>54</v>
      </c>
      <c r="D52" s="95" t="s">
        <v>308</v>
      </c>
      <c r="E52" s="96" t="s">
        <v>114</v>
      </c>
      <c r="F52" s="97" t="s">
        <v>270</v>
      </c>
      <c r="G52" s="98">
        <v>18510</v>
      </c>
      <c r="H52" s="99">
        <v>20510</v>
      </c>
      <c r="I52" s="99">
        <v>20510</v>
      </c>
      <c r="J52" s="99">
        <v>25830</v>
      </c>
      <c r="K52" s="57"/>
      <c r="L52" s="100" t="s">
        <v>272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R52" s="101">
        <v>18000</v>
      </c>
      <c r="S52" s="101">
        <f>0.9*T52</f>
        <v>13950</v>
      </c>
      <c r="T52" s="54">
        <v>15500</v>
      </c>
      <c r="U52" s="103">
        <f>T52</f>
        <v>15500</v>
      </c>
      <c r="V52" s="104">
        <f>U52*1.266</f>
        <v>19623</v>
      </c>
      <c r="W52" s="40">
        <v>0</v>
      </c>
    </row>
    <row r="53" spans="1:29" s="40" customFormat="1" ht="14.45" customHeight="1" x14ac:dyDescent="0.25">
      <c r="A53" s="133" t="s">
        <v>328</v>
      </c>
      <c r="B53" s="51" t="s">
        <v>343</v>
      </c>
      <c r="C53" s="94" t="s">
        <v>54</v>
      </c>
      <c r="D53" s="95" t="s">
        <v>308</v>
      </c>
      <c r="E53" s="96" t="s">
        <v>114</v>
      </c>
      <c r="F53" s="97" t="s">
        <v>270</v>
      </c>
      <c r="G53" s="98">
        <v>18510</v>
      </c>
      <c r="H53" s="99">
        <v>20510</v>
      </c>
      <c r="I53" s="99">
        <v>20510</v>
      </c>
      <c r="J53" s="99">
        <v>25830</v>
      </c>
      <c r="K53" s="57"/>
      <c r="L53" s="100" t="s">
        <v>272</v>
      </c>
      <c r="M53" s="52" t="s">
        <v>295</v>
      </c>
      <c r="N53" s="40">
        <v>0</v>
      </c>
      <c r="O53" s="53">
        <f>VLOOKUP(B53,DRAYAGE!$A$1:$C$107,3,FALSE)</f>
        <v>1185</v>
      </c>
      <c r="P53" s="40" t="s">
        <v>361</v>
      </c>
      <c r="R53" s="101">
        <v>18000</v>
      </c>
      <c r="S53" s="101">
        <f>0.9*T53</f>
        <v>14850</v>
      </c>
      <c r="T53" s="54">
        <v>16500</v>
      </c>
      <c r="U53" s="103">
        <f>T53</f>
        <v>16500</v>
      </c>
      <c r="V53" s="104">
        <f>U53*1.266</f>
        <v>20889</v>
      </c>
      <c r="W53" s="40">
        <v>0</v>
      </c>
    </row>
    <row r="54" spans="1:29" s="40" customFormat="1" ht="14.45" customHeight="1" x14ac:dyDescent="0.25">
      <c r="A54" s="134" t="s">
        <v>337</v>
      </c>
      <c r="B54" s="88"/>
      <c r="C54" s="88"/>
      <c r="D54" s="88"/>
      <c r="E54" s="210"/>
      <c r="F54" s="211"/>
      <c r="G54" s="88"/>
      <c r="H54" s="88"/>
      <c r="I54" s="88"/>
      <c r="J54" s="88"/>
      <c r="K54" s="57"/>
      <c r="L54" s="89" t="s">
        <v>48</v>
      </c>
      <c r="M54" s="89" t="s">
        <v>261</v>
      </c>
      <c r="N54" s="90" t="s">
        <v>51</v>
      </c>
      <c r="O54" s="91" t="s">
        <v>50</v>
      </c>
      <c r="P54" s="91" t="s">
        <v>262</v>
      </c>
      <c r="Q54" s="91" t="s">
        <v>263</v>
      </c>
      <c r="R54" s="91" t="s">
        <v>264</v>
      </c>
      <c r="S54" s="92" t="s">
        <v>52</v>
      </c>
      <c r="T54" s="92" t="s">
        <v>53</v>
      </c>
      <c r="U54" s="92" t="s">
        <v>265</v>
      </c>
      <c r="V54" s="92" t="s">
        <v>266</v>
      </c>
      <c r="W54" s="92" t="s">
        <v>267</v>
      </c>
      <c r="X54" s="92" t="s">
        <v>268</v>
      </c>
      <c r="Y54" s="92" t="s">
        <v>52</v>
      </c>
      <c r="Z54" s="92" t="s">
        <v>53</v>
      </c>
      <c r="AA54" s="92" t="s">
        <v>265</v>
      </c>
      <c r="AB54" s="92" t="s">
        <v>266</v>
      </c>
      <c r="AC54" s="93" t="s">
        <v>269</v>
      </c>
    </row>
    <row r="55" spans="1:29" s="40" customFormat="1" ht="18.75" x14ac:dyDescent="0.25">
      <c r="A55" s="133" t="s">
        <v>81</v>
      </c>
      <c r="B55" s="51" t="s">
        <v>344</v>
      </c>
      <c r="C55" s="94" t="s">
        <v>54</v>
      </c>
      <c r="D55" s="95" t="s">
        <v>308</v>
      </c>
      <c r="E55" s="96" t="s">
        <v>114</v>
      </c>
      <c r="F55" s="97" t="s">
        <v>270</v>
      </c>
      <c r="G55" s="98">
        <f t="shared" ref="G55:G60" si="21">CEILING(S55+W55+X55+O55+N55+Y55,10)</f>
        <v>13950</v>
      </c>
      <c r="H55" s="99">
        <f t="shared" ref="H55:H60" si="22">CEILING(T55+W55+X55+O55+N55+Z55,10)</f>
        <v>15350</v>
      </c>
      <c r="I55" s="99">
        <f t="shared" ref="I55:I60" si="23">CEILING(U55+W55+X55+O55+N55+AA55,10)</f>
        <v>15350</v>
      </c>
      <c r="J55" s="99">
        <f t="shared" ref="J55:J60" si="24">CEILING(V55+W55+X55+O55+N55+AB55,10)</f>
        <v>19070</v>
      </c>
      <c r="K55" s="57"/>
      <c r="L55" s="100" t="s">
        <v>272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S55" s="101">
        <f t="shared" ref="S55:S60" si="25">0.9*T55</f>
        <v>12600</v>
      </c>
      <c r="T55" s="54">
        <f t="shared" ref="T55:T60" si="26">T38</f>
        <v>14000</v>
      </c>
      <c r="U55" s="103">
        <f t="shared" si="5"/>
        <v>14000</v>
      </c>
      <c r="V55" s="104">
        <f t="shared" ref="V55:V60" si="27">U55*1.266</f>
        <v>17724</v>
      </c>
      <c r="X55" s="40">
        <v>0</v>
      </c>
    </row>
    <row r="56" spans="1:29" s="40" customFormat="1" ht="14.45" customHeight="1" x14ac:dyDescent="0.25">
      <c r="A56" s="133" t="s">
        <v>55</v>
      </c>
      <c r="B56" s="51" t="s">
        <v>344</v>
      </c>
      <c r="C56" s="94" t="s">
        <v>54</v>
      </c>
      <c r="D56" s="95" t="s">
        <v>308</v>
      </c>
      <c r="E56" s="96" t="s">
        <v>114</v>
      </c>
      <c r="F56" s="97" t="s">
        <v>270</v>
      </c>
      <c r="G56" s="98">
        <f t="shared" si="21"/>
        <v>12150</v>
      </c>
      <c r="H56" s="99">
        <f t="shared" si="22"/>
        <v>13350</v>
      </c>
      <c r="I56" s="99">
        <f t="shared" si="23"/>
        <v>13350</v>
      </c>
      <c r="J56" s="99">
        <f t="shared" si="24"/>
        <v>16540</v>
      </c>
      <c r="K56" s="57"/>
      <c r="L56" s="100" t="s">
        <v>272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S56" s="101">
        <f t="shared" si="25"/>
        <v>10800</v>
      </c>
      <c r="T56" s="54">
        <f t="shared" si="26"/>
        <v>12000</v>
      </c>
      <c r="U56" s="103">
        <f t="shared" si="5"/>
        <v>12000</v>
      </c>
      <c r="V56" s="104">
        <f t="shared" si="27"/>
        <v>15192</v>
      </c>
      <c r="X56" s="40">
        <v>0</v>
      </c>
    </row>
    <row r="57" spans="1:29" s="40" customFormat="1" ht="14.45" customHeight="1" x14ac:dyDescent="0.25">
      <c r="A57" s="133" t="s">
        <v>59</v>
      </c>
      <c r="B57" s="51" t="s">
        <v>344</v>
      </c>
      <c r="C57" s="94" t="s">
        <v>54</v>
      </c>
      <c r="D57" s="95" t="s">
        <v>308</v>
      </c>
      <c r="E57" s="96" t="s">
        <v>114</v>
      </c>
      <c r="F57" s="97" t="s">
        <v>270</v>
      </c>
      <c r="G57" s="98">
        <f t="shared" si="21"/>
        <v>13950</v>
      </c>
      <c r="H57" s="99">
        <f t="shared" si="22"/>
        <v>15350</v>
      </c>
      <c r="I57" s="99">
        <f t="shared" si="23"/>
        <v>15350</v>
      </c>
      <c r="J57" s="99">
        <f t="shared" si="24"/>
        <v>19070</v>
      </c>
      <c r="K57" s="57"/>
      <c r="L57" s="100" t="s">
        <v>272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S57" s="101">
        <f t="shared" si="25"/>
        <v>12600</v>
      </c>
      <c r="T57" s="54">
        <f t="shared" si="26"/>
        <v>14000</v>
      </c>
      <c r="U57" s="103">
        <f t="shared" si="5"/>
        <v>14000</v>
      </c>
      <c r="V57" s="104">
        <f t="shared" si="27"/>
        <v>17724</v>
      </c>
      <c r="X57" s="40">
        <v>0</v>
      </c>
    </row>
    <row r="58" spans="1:29" s="40" customFormat="1" ht="18.75" x14ac:dyDescent="0.25">
      <c r="A58" s="133" t="s">
        <v>60</v>
      </c>
      <c r="B58" s="51" t="s">
        <v>344</v>
      </c>
      <c r="C58" s="94" t="s">
        <v>54</v>
      </c>
      <c r="D58" s="95" t="s">
        <v>308</v>
      </c>
      <c r="E58" s="96" t="s">
        <v>114</v>
      </c>
      <c r="F58" s="97" t="s">
        <v>270</v>
      </c>
      <c r="G58" s="98">
        <f t="shared" si="21"/>
        <v>14400</v>
      </c>
      <c r="H58" s="99">
        <f t="shared" si="22"/>
        <v>15850</v>
      </c>
      <c r="I58" s="99">
        <f t="shared" si="23"/>
        <v>15850</v>
      </c>
      <c r="J58" s="99">
        <f t="shared" si="24"/>
        <v>19710</v>
      </c>
      <c r="K58" s="57"/>
      <c r="L58" s="100" t="s">
        <v>272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S58" s="101">
        <f t="shared" si="25"/>
        <v>13050</v>
      </c>
      <c r="T58" s="54">
        <f t="shared" si="26"/>
        <v>14500</v>
      </c>
      <c r="U58" s="103">
        <f t="shared" si="5"/>
        <v>14500</v>
      </c>
      <c r="V58" s="104">
        <f t="shared" si="27"/>
        <v>18357</v>
      </c>
      <c r="X58" s="40">
        <v>0</v>
      </c>
    </row>
    <row r="59" spans="1:29" s="40" customFormat="1" ht="14.45" customHeight="1" x14ac:dyDescent="0.25">
      <c r="A59" s="133" t="s">
        <v>61</v>
      </c>
      <c r="B59" s="51" t="s">
        <v>344</v>
      </c>
      <c r="C59" s="94" t="s">
        <v>54</v>
      </c>
      <c r="D59" s="95" t="s">
        <v>308</v>
      </c>
      <c r="E59" s="96" t="s">
        <v>114</v>
      </c>
      <c r="F59" s="97" t="s">
        <v>270</v>
      </c>
      <c r="G59" s="98">
        <f t="shared" si="21"/>
        <v>13950</v>
      </c>
      <c r="H59" s="99">
        <f t="shared" si="22"/>
        <v>15350</v>
      </c>
      <c r="I59" s="99">
        <f t="shared" si="23"/>
        <v>15350</v>
      </c>
      <c r="J59" s="99">
        <f t="shared" si="24"/>
        <v>19070</v>
      </c>
      <c r="K59" s="57"/>
      <c r="L59" s="100" t="s">
        <v>272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S59" s="101">
        <f t="shared" si="25"/>
        <v>12600</v>
      </c>
      <c r="T59" s="54">
        <f t="shared" si="26"/>
        <v>14000</v>
      </c>
      <c r="U59" s="103">
        <f t="shared" si="5"/>
        <v>14000</v>
      </c>
      <c r="V59" s="104">
        <f t="shared" si="27"/>
        <v>17724</v>
      </c>
      <c r="X59" s="40">
        <v>0</v>
      </c>
    </row>
    <row r="60" spans="1:29" s="40" customFormat="1" ht="18.75" x14ac:dyDescent="0.25">
      <c r="A60" s="133" t="s">
        <v>273</v>
      </c>
      <c r="B60" s="51" t="s">
        <v>344</v>
      </c>
      <c r="C60" s="94" t="s">
        <v>54</v>
      </c>
      <c r="D60" s="95" t="s">
        <v>308</v>
      </c>
      <c r="E60" s="96" t="s">
        <v>114</v>
      </c>
      <c r="F60" s="97" t="s">
        <v>270</v>
      </c>
      <c r="G60" s="98">
        <f t="shared" si="21"/>
        <v>18450</v>
      </c>
      <c r="H60" s="99">
        <f t="shared" si="22"/>
        <v>20350</v>
      </c>
      <c r="I60" s="99">
        <f t="shared" si="23"/>
        <v>20350</v>
      </c>
      <c r="J60" s="99">
        <f t="shared" si="24"/>
        <v>25400</v>
      </c>
      <c r="K60" s="57"/>
      <c r="L60" s="100" t="s">
        <v>272</v>
      </c>
      <c r="M60" s="52" t="s">
        <v>294</v>
      </c>
      <c r="N60" s="40">
        <v>0</v>
      </c>
      <c r="O60" s="53">
        <f>VLOOKUP(B60,DRAYAGE!$A$1:$C$107,3,FALSE)</f>
        <v>1345</v>
      </c>
      <c r="P60" s="40" t="s">
        <v>301</v>
      </c>
      <c r="S60" s="101">
        <f t="shared" si="25"/>
        <v>17100</v>
      </c>
      <c r="T60" s="54">
        <f t="shared" si="26"/>
        <v>19000</v>
      </c>
      <c r="U60" s="103">
        <f t="shared" si="5"/>
        <v>19000</v>
      </c>
      <c r="V60" s="104">
        <f t="shared" si="27"/>
        <v>24054</v>
      </c>
      <c r="X60" s="40">
        <v>0</v>
      </c>
    </row>
    <row r="61" spans="1:29" s="40" customFormat="1" ht="14.45" customHeight="1" x14ac:dyDescent="0.25">
      <c r="A61" s="212" t="s">
        <v>271</v>
      </c>
      <c r="B61" s="212"/>
      <c r="C61" s="212"/>
      <c r="D61" s="212"/>
      <c r="E61" s="212"/>
      <c r="F61" s="212"/>
      <c r="G61" s="212"/>
      <c r="H61" s="212"/>
      <c r="I61" s="212"/>
      <c r="J61" s="212"/>
      <c r="K61" s="57"/>
      <c r="L61" s="100"/>
      <c r="M61" s="100"/>
      <c r="S61" s="101"/>
      <c r="T61" s="102"/>
      <c r="U61" s="103"/>
      <c r="V61" s="104"/>
    </row>
    <row r="62" spans="1:29" s="32" customFormat="1" ht="12.75" x14ac:dyDescent="0.2">
      <c r="A62" s="31"/>
      <c r="B62" s="33"/>
      <c r="C62" s="33"/>
      <c r="D62" s="33"/>
      <c r="E62" s="33"/>
      <c r="F62" s="34"/>
      <c r="G62" s="34"/>
      <c r="H62" s="34"/>
      <c r="I62" s="35"/>
      <c r="J62" s="29"/>
      <c r="K62" s="29"/>
      <c r="L62" s="27"/>
      <c r="M62" s="27"/>
      <c r="N62" s="30"/>
      <c r="O62" s="30"/>
      <c r="P62" s="30"/>
      <c r="Q62" s="30"/>
      <c r="R62" s="30"/>
      <c r="S62" s="28"/>
      <c r="T62" s="28"/>
      <c r="U62" s="28"/>
      <c r="V62" s="28"/>
      <c r="W62" s="28"/>
    </row>
    <row r="63" spans="1:29" s="37" customFormat="1" ht="14.45" customHeight="1" x14ac:dyDescent="0.25">
      <c r="A63" s="180" t="s">
        <v>111</v>
      </c>
      <c r="B63" s="180"/>
      <c r="C63" s="180"/>
      <c r="D63" s="180"/>
      <c r="E63" s="180"/>
      <c r="F63" s="180"/>
      <c r="G63" s="180"/>
      <c r="H63" s="180"/>
      <c r="I63" s="180"/>
      <c r="J63" s="180"/>
      <c r="K63" s="57"/>
    </row>
    <row r="64" spans="1:29" s="37" customFormat="1" ht="14.45" customHeight="1" x14ac:dyDescent="0.25">
      <c r="A64" s="208" t="s">
        <v>112</v>
      </c>
      <c r="B64" s="208"/>
      <c r="C64" s="208"/>
      <c r="D64" s="208"/>
      <c r="E64" s="208"/>
      <c r="F64" s="208"/>
      <c r="G64" s="208"/>
      <c r="H64" s="208"/>
      <c r="I64" s="208"/>
      <c r="J64" s="208"/>
      <c r="K64" s="57"/>
    </row>
    <row r="65" spans="1:17" s="37" customFormat="1" ht="14.45" customHeight="1" x14ac:dyDescent="0.25">
      <c r="A65" s="186" t="s">
        <v>67</v>
      </c>
      <c r="B65" s="186"/>
      <c r="C65" s="186"/>
      <c r="D65" s="186"/>
      <c r="E65" s="186" t="s">
        <v>68</v>
      </c>
      <c r="F65" s="186"/>
      <c r="G65" s="186"/>
      <c r="H65" s="186"/>
      <c r="I65" s="186"/>
      <c r="J65" s="186"/>
      <c r="K65" s="57"/>
      <c r="L65" s="209" t="s">
        <v>113</v>
      </c>
      <c r="M65" s="209"/>
      <c r="N65" s="209"/>
      <c r="O65" s="209"/>
      <c r="P65" s="209"/>
      <c r="Q65" s="209"/>
    </row>
    <row r="66" spans="1:17" s="37" customFormat="1" ht="14.45" customHeight="1" x14ac:dyDescent="0.25">
      <c r="A66" s="196" t="s">
        <v>69</v>
      </c>
      <c r="B66" s="196"/>
      <c r="C66" s="196"/>
      <c r="D66" s="196"/>
      <c r="E66" s="58" t="s">
        <v>114</v>
      </c>
      <c r="F66" s="196" t="s">
        <v>70</v>
      </c>
      <c r="G66" s="196"/>
      <c r="H66" s="196"/>
      <c r="I66" s="196"/>
      <c r="J66" s="196"/>
      <c r="K66" s="57"/>
      <c r="L66" s="197" t="s">
        <v>115</v>
      </c>
      <c r="M66" s="197"/>
      <c r="N66" s="197"/>
      <c r="O66" s="197"/>
      <c r="P66" s="197"/>
      <c r="Q66" s="197"/>
    </row>
    <row r="67" spans="1:17" s="37" customFormat="1" ht="14.45" customHeight="1" x14ac:dyDescent="0.25">
      <c r="A67" s="196" t="s">
        <v>71</v>
      </c>
      <c r="B67" s="196"/>
      <c r="C67" s="196"/>
      <c r="D67" s="201"/>
      <c r="E67" s="58" t="s">
        <v>114</v>
      </c>
      <c r="F67" s="196" t="s">
        <v>116</v>
      </c>
      <c r="G67" s="196"/>
      <c r="H67" s="196"/>
      <c r="I67" s="196"/>
      <c r="J67" s="196"/>
      <c r="K67" s="57"/>
      <c r="L67" s="197"/>
      <c r="M67" s="197"/>
      <c r="N67" s="197"/>
      <c r="O67" s="197"/>
      <c r="P67" s="197"/>
      <c r="Q67" s="197"/>
    </row>
    <row r="68" spans="1:17" s="37" customFormat="1" ht="14.45" customHeight="1" x14ac:dyDescent="0.25">
      <c r="A68" s="196" t="s">
        <v>117</v>
      </c>
      <c r="B68" s="196"/>
      <c r="C68" s="196"/>
      <c r="D68" s="201"/>
      <c r="E68" s="58" t="s">
        <v>114</v>
      </c>
      <c r="F68" s="196" t="s">
        <v>306</v>
      </c>
      <c r="G68" s="196"/>
      <c r="H68" s="196"/>
      <c r="I68" s="196"/>
      <c r="J68" s="196"/>
      <c r="K68" s="57"/>
      <c r="L68" s="59" t="s">
        <v>118</v>
      </c>
      <c r="M68" s="129"/>
      <c r="N68" s="129"/>
      <c r="O68" s="129"/>
      <c r="P68" s="129"/>
      <c r="Q68" s="129"/>
    </row>
    <row r="69" spans="1:17" s="37" customFormat="1" ht="14.45" customHeight="1" x14ac:dyDescent="0.25">
      <c r="A69" s="196" t="s">
        <v>303</v>
      </c>
      <c r="B69" s="196"/>
      <c r="C69" s="196"/>
      <c r="D69" s="201"/>
      <c r="E69" s="58" t="s">
        <v>114</v>
      </c>
      <c r="F69" s="196" t="s">
        <v>304</v>
      </c>
      <c r="G69" s="196"/>
      <c r="H69" s="196"/>
      <c r="I69" s="196"/>
      <c r="J69" s="196"/>
      <c r="K69" s="57"/>
      <c r="L69" s="59" t="s">
        <v>118</v>
      </c>
      <c r="M69" s="129"/>
      <c r="N69" s="129"/>
      <c r="O69" s="129"/>
      <c r="P69" s="129"/>
      <c r="Q69" s="129"/>
    </row>
    <row r="70" spans="1:17" s="37" customFormat="1" ht="40.5" customHeight="1" x14ac:dyDescent="0.25">
      <c r="A70" s="229" t="s">
        <v>309</v>
      </c>
      <c r="B70" s="229"/>
      <c r="C70" s="229"/>
      <c r="D70" s="198"/>
      <c r="E70" s="131" t="s">
        <v>114</v>
      </c>
      <c r="F70" s="229" t="s">
        <v>310</v>
      </c>
      <c r="G70" s="229"/>
      <c r="H70" s="229"/>
      <c r="I70" s="229"/>
      <c r="J70" s="229"/>
      <c r="K70" s="132"/>
      <c r="L70" s="59" t="s">
        <v>118</v>
      </c>
      <c r="M70" s="129"/>
      <c r="N70" s="129"/>
      <c r="O70" s="129"/>
      <c r="P70" s="129"/>
      <c r="Q70" s="129"/>
    </row>
    <row r="71" spans="1:17" s="37" customFormat="1" ht="14.45" customHeight="1" x14ac:dyDescent="0.25">
      <c r="A71" s="196" t="s">
        <v>119</v>
      </c>
      <c r="B71" s="196"/>
      <c r="C71" s="196"/>
      <c r="D71" s="196"/>
      <c r="E71" s="58" t="s">
        <v>114</v>
      </c>
      <c r="F71" s="196" t="s">
        <v>120</v>
      </c>
      <c r="G71" s="196"/>
      <c r="H71" s="196"/>
      <c r="I71" s="196"/>
      <c r="J71" s="196"/>
      <c r="K71" s="132"/>
      <c r="L71" s="197" t="s">
        <v>121</v>
      </c>
      <c r="M71" s="197"/>
      <c r="N71" s="197"/>
      <c r="O71" s="197"/>
      <c r="P71" s="197"/>
      <c r="Q71" s="197"/>
    </row>
    <row r="72" spans="1:17" s="37" customFormat="1" ht="14.45" customHeight="1" x14ac:dyDescent="0.25">
      <c r="A72" s="196" t="s">
        <v>122</v>
      </c>
      <c r="B72" s="196"/>
      <c r="C72" s="196"/>
      <c r="D72" s="196"/>
      <c r="E72" s="58" t="s">
        <v>114</v>
      </c>
      <c r="F72" s="196" t="s">
        <v>123</v>
      </c>
      <c r="G72" s="196"/>
      <c r="H72" s="196"/>
      <c r="I72" s="196"/>
      <c r="J72" s="196"/>
      <c r="K72" s="132"/>
      <c r="L72" s="197"/>
      <c r="M72" s="197"/>
      <c r="N72" s="197"/>
      <c r="O72" s="197"/>
      <c r="P72" s="197"/>
      <c r="Q72" s="197"/>
    </row>
    <row r="73" spans="1:17" s="37" customFormat="1" ht="14.45" customHeight="1" x14ac:dyDescent="0.25">
      <c r="A73" s="196" t="s">
        <v>277</v>
      </c>
      <c r="B73" s="196"/>
      <c r="C73" s="196"/>
      <c r="D73" s="196"/>
      <c r="E73" s="58" t="s">
        <v>114</v>
      </c>
      <c r="F73" s="196" t="s">
        <v>278</v>
      </c>
      <c r="G73" s="196"/>
      <c r="H73" s="196"/>
      <c r="I73" s="196"/>
      <c r="J73" s="196"/>
      <c r="K73" s="132"/>
      <c r="L73" s="197"/>
      <c r="M73" s="197"/>
      <c r="N73" s="197"/>
      <c r="O73" s="197"/>
      <c r="P73" s="197"/>
      <c r="Q73" s="197"/>
    </row>
    <row r="74" spans="1:17" s="37" customFormat="1" ht="14.45" customHeight="1" x14ac:dyDescent="0.25">
      <c r="A74" s="196" t="s">
        <v>124</v>
      </c>
      <c r="B74" s="196"/>
      <c r="C74" s="196"/>
      <c r="D74" s="196"/>
      <c r="E74" s="58" t="s">
        <v>114</v>
      </c>
      <c r="F74" s="196" t="s">
        <v>125</v>
      </c>
      <c r="G74" s="196"/>
      <c r="H74" s="196"/>
      <c r="I74" s="196"/>
      <c r="J74" s="196"/>
      <c r="K74" s="132"/>
      <c r="L74" s="197"/>
      <c r="M74" s="197"/>
      <c r="N74" s="197"/>
      <c r="O74" s="197"/>
      <c r="P74" s="197"/>
      <c r="Q74" s="197"/>
    </row>
    <row r="75" spans="1:17" s="37" customFormat="1" ht="18.95" customHeight="1" x14ac:dyDescent="0.25">
      <c r="A75" s="196" t="s">
        <v>126</v>
      </c>
      <c r="B75" s="196"/>
      <c r="C75" s="196"/>
      <c r="D75" s="201"/>
      <c r="E75" s="58" t="s">
        <v>127</v>
      </c>
      <c r="F75" s="128" t="s">
        <v>128</v>
      </c>
      <c r="G75" s="185" t="s">
        <v>129</v>
      </c>
      <c r="H75" s="185"/>
      <c r="I75" s="185"/>
      <c r="J75" s="185"/>
      <c r="K75" s="132"/>
      <c r="L75" s="197" t="s">
        <v>130</v>
      </c>
      <c r="M75" s="197"/>
      <c r="N75" s="197"/>
      <c r="O75" s="197"/>
      <c r="P75" s="197"/>
      <c r="Q75" s="197"/>
    </row>
    <row r="76" spans="1:17" s="37" customFormat="1" ht="24.95" customHeight="1" x14ac:dyDescent="0.25">
      <c r="A76" s="196" t="s">
        <v>126</v>
      </c>
      <c r="B76" s="196"/>
      <c r="C76" s="196"/>
      <c r="D76" s="196"/>
      <c r="E76" s="58" t="s">
        <v>127</v>
      </c>
      <c r="F76" s="128" t="s">
        <v>131</v>
      </c>
      <c r="G76" s="185" t="s">
        <v>132</v>
      </c>
      <c r="H76" s="185"/>
      <c r="I76" s="185"/>
      <c r="J76" s="185"/>
      <c r="K76" s="132"/>
      <c r="L76" s="197" t="s">
        <v>130</v>
      </c>
      <c r="M76" s="197"/>
      <c r="N76" s="197"/>
      <c r="O76" s="197"/>
      <c r="P76" s="197"/>
      <c r="Q76" s="197"/>
    </row>
    <row r="77" spans="1:17" s="37" customFormat="1" ht="37.5" customHeight="1" x14ac:dyDescent="0.25">
      <c r="A77" s="198" t="s">
        <v>311</v>
      </c>
      <c r="B77" s="199"/>
      <c r="C77" s="199"/>
      <c r="D77" s="200"/>
      <c r="E77" s="198" t="s">
        <v>312</v>
      </c>
      <c r="F77" s="199"/>
      <c r="G77" s="199"/>
      <c r="H77" s="199"/>
      <c r="I77" s="199"/>
      <c r="J77" s="200"/>
      <c r="K77" s="132"/>
      <c r="L77" s="197"/>
      <c r="M77" s="197"/>
      <c r="N77" s="197"/>
      <c r="O77" s="197"/>
      <c r="P77" s="197"/>
      <c r="Q77" s="197"/>
    </row>
    <row r="78" spans="1:17" s="37" customFormat="1" ht="14.45" customHeight="1" x14ac:dyDescent="0.25">
      <c r="A78" s="180" t="s">
        <v>133</v>
      </c>
      <c r="B78" s="180"/>
      <c r="C78" s="180"/>
      <c r="D78" s="180"/>
      <c r="E78" s="180"/>
      <c r="F78" s="180"/>
      <c r="G78" s="180"/>
      <c r="H78" s="180"/>
      <c r="I78" s="180"/>
      <c r="J78" s="180"/>
      <c r="K78" s="57"/>
      <c r="L78" s="129"/>
      <c r="M78" s="129"/>
    </row>
    <row r="79" spans="1:17" s="37" customFormat="1" ht="14.45" customHeight="1" x14ac:dyDescent="0.2">
      <c r="A79" s="60" t="s">
        <v>134</v>
      </c>
      <c r="B79" s="60" t="s">
        <v>135</v>
      </c>
      <c r="C79" s="60" t="s">
        <v>136</v>
      </c>
      <c r="D79" s="193" t="s">
        <v>137</v>
      </c>
      <c r="E79" s="194"/>
      <c r="F79" s="195"/>
      <c r="G79" s="61" t="s">
        <v>138</v>
      </c>
      <c r="H79" s="60" t="s">
        <v>139</v>
      </c>
      <c r="I79" s="61" t="s">
        <v>140</v>
      </c>
      <c r="J79" s="61" t="s">
        <v>141</v>
      </c>
      <c r="K79" s="57"/>
      <c r="L79" s="129"/>
      <c r="M79" s="129"/>
    </row>
    <row r="80" spans="1:17" s="37" customFormat="1" ht="14.45" customHeight="1" x14ac:dyDescent="0.2">
      <c r="A80" s="62" t="s">
        <v>142</v>
      </c>
      <c r="B80" s="62" t="s">
        <v>49</v>
      </c>
      <c r="C80" s="62" t="s">
        <v>143</v>
      </c>
      <c r="D80" s="187" t="s">
        <v>144</v>
      </c>
      <c r="E80" s="188"/>
      <c r="F80" s="189"/>
      <c r="G80" s="63">
        <v>50</v>
      </c>
      <c r="H80" s="62" t="s">
        <v>145</v>
      </c>
      <c r="I80" s="63">
        <v>150</v>
      </c>
      <c r="J80" s="63" t="s">
        <v>110</v>
      </c>
      <c r="K80" s="57"/>
      <c r="L80" s="129"/>
      <c r="M80" s="129"/>
    </row>
    <row r="81" spans="1:13" s="37" customFormat="1" ht="14.45" customHeight="1" x14ac:dyDescent="0.2">
      <c r="A81" s="62" t="s">
        <v>142</v>
      </c>
      <c r="B81" s="62" t="s">
        <v>146</v>
      </c>
      <c r="C81" s="62" t="s">
        <v>147</v>
      </c>
      <c r="D81" s="187" t="s">
        <v>148</v>
      </c>
      <c r="E81" s="188"/>
      <c r="F81" s="189"/>
      <c r="G81" s="63">
        <v>3</v>
      </c>
      <c r="H81" s="62" t="s">
        <v>149</v>
      </c>
      <c r="I81" s="63">
        <v>3</v>
      </c>
      <c r="J81" s="63" t="s">
        <v>110</v>
      </c>
      <c r="K81" s="57"/>
      <c r="L81" s="129"/>
      <c r="M81" s="129"/>
    </row>
    <row r="82" spans="1:13" s="37" customFormat="1" ht="14.45" customHeight="1" x14ac:dyDescent="0.2">
      <c r="A82" s="62" t="s">
        <v>150</v>
      </c>
      <c r="B82" s="62" t="s">
        <v>146</v>
      </c>
      <c r="C82" s="62" t="s">
        <v>147</v>
      </c>
      <c r="D82" s="187" t="s">
        <v>151</v>
      </c>
      <c r="E82" s="188"/>
      <c r="F82" s="189"/>
      <c r="G82" s="63">
        <v>3</v>
      </c>
      <c r="H82" s="62" t="s">
        <v>152</v>
      </c>
      <c r="I82" s="63">
        <v>3</v>
      </c>
      <c r="J82" s="63" t="s">
        <v>110</v>
      </c>
      <c r="K82" s="57"/>
      <c r="L82" s="129"/>
      <c r="M82" s="129"/>
    </row>
    <row r="83" spans="1:13" s="37" customFormat="1" ht="14.45" customHeight="1" x14ac:dyDescent="0.2">
      <c r="A83" s="62" t="s">
        <v>173</v>
      </c>
      <c r="B83" s="62" t="s">
        <v>49</v>
      </c>
      <c r="C83" s="62" t="s">
        <v>143</v>
      </c>
      <c r="D83" s="187" t="s">
        <v>313</v>
      </c>
      <c r="E83" s="188"/>
      <c r="F83" s="189"/>
      <c r="G83" s="66">
        <v>75</v>
      </c>
      <c r="H83" s="62" t="s">
        <v>145</v>
      </c>
      <c r="I83" s="66">
        <f>75*3</f>
        <v>225</v>
      </c>
      <c r="J83" s="66" t="s">
        <v>314</v>
      </c>
      <c r="K83" s="132"/>
      <c r="L83" s="129"/>
      <c r="M83" s="129"/>
    </row>
    <row r="84" spans="1:13" s="37" customFormat="1" ht="14.45" customHeight="1" x14ac:dyDescent="0.2">
      <c r="A84" s="62" t="s">
        <v>142</v>
      </c>
      <c r="B84" s="62" t="s">
        <v>49</v>
      </c>
      <c r="C84" s="62" t="s">
        <v>143</v>
      </c>
      <c r="D84" s="187" t="s">
        <v>279</v>
      </c>
      <c r="E84" s="188"/>
      <c r="F84" s="189"/>
      <c r="G84" s="63">
        <v>150</v>
      </c>
      <c r="H84" s="62" t="s">
        <v>280</v>
      </c>
      <c r="I84" s="63" t="s">
        <v>153</v>
      </c>
      <c r="J84" s="63" t="s">
        <v>110</v>
      </c>
      <c r="K84" s="57"/>
      <c r="L84" s="129"/>
      <c r="M84" s="129"/>
    </row>
    <row r="85" spans="1:13" s="37" customFormat="1" ht="14.45" customHeight="1" x14ac:dyDescent="0.2">
      <c r="A85" s="62" t="s">
        <v>154</v>
      </c>
      <c r="B85" s="62" t="s">
        <v>49</v>
      </c>
      <c r="C85" s="62" t="s">
        <v>143</v>
      </c>
      <c r="D85" s="187" t="s">
        <v>155</v>
      </c>
      <c r="E85" s="188"/>
      <c r="F85" s="189"/>
      <c r="G85" s="63">
        <v>250</v>
      </c>
      <c r="H85" s="62" t="s">
        <v>49</v>
      </c>
      <c r="I85" s="63" t="s">
        <v>153</v>
      </c>
      <c r="J85" s="63" t="s">
        <v>110</v>
      </c>
      <c r="K85" s="57"/>
      <c r="L85" s="129"/>
      <c r="M85" s="129"/>
    </row>
    <row r="86" spans="1:13" s="37" customFormat="1" ht="14.45" customHeight="1" x14ac:dyDescent="0.2">
      <c r="A86" s="65" t="s">
        <v>156</v>
      </c>
      <c r="B86" s="65" t="s">
        <v>49</v>
      </c>
      <c r="C86" s="65" t="s">
        <v>143</v>
      </c>
      <c r="D86" s="187" t="s">
        <v>157</v>
      </c>
      <c r="E86" s="188"/>
      <c r="F86" s="189"/>
      <c r="G86" s="63">
        <v>250</v>
      </c>
      <c r="H86" s="62" t="s">
        <v>49</v>
      </c>
      <c r="I86" s="63" t="s">
        <v>153</v>
      </c>
      <c r="J86" s="63" t="s">
        <v>110</v>
      </c>
      <c r="K86" s="57"/>
      <c r="L86" s="129"/>
      <c r="M86" s="129"/>
    </row>
    <row r="87" spans="1:13" s="37" customFormat="1" ht="14.45" customHeight="1" x14ac:dyDescent="0.2">
      <c r="A87" s="62" t="s">
        <v>142</v>
      </c>
      <c r="B87" s="62" t="s">
        <v>49</v>
      </c>
      <c r="C87" s="62" t="s">
        <v>143</v>
      </c>
      <c r="D87" s="187" t="s">
        <v>281</v>
      </c>
      <c r="E87" s="188"/>
      <c r="F87" s="189"/>
      <c r="G87" s="63">
        <v>200</v>
      </c>
      <c r="H87" s="62" t="s">
        <v>280</v>
      </c>
      <c r="I87" s="63" t="s">
        <v>153</v>
      </c>
      <c r="J87" s="63" t="s">
        <v>110</v>
      </c>
      <c r="K87" s="57"/>
      <c r="L87" s="129"/>
      <c r="M87" s="129"/>
    </row>
    <row r="88" spans="1:13" s="37" customFormat="1" ht="14.45" customHeight="1" x14ac:dyDescent="0.2">
      <c r="A88" s="62" t="s">
        <v>142</v>
      </c>
      <c r="B88" s="62" t="s">
        <v>49</v>
      </c>
      <c r="C88" s="62" t="s">
        <v>143</v>
      </c>
      <c r="D88" s="187" t="s">
        <v>158</v>
      </c>
      <c r="E88" s="188"/>
      <c r="F88" s="189"/>
      <c r="G88" s="66">
        <v>150</v>
      </c>
      <c r="H88" s="62" t="s">
        <v>49</v>
      </c>
      <c r="I88" s="66" t="s">
        <v>153</v>
      </c>
      <c r="J88" s="63" t="s">
        <v>110</v>
      </c>
      <c r="K88" s="57"/>
      <c r="L88" s="129"/>
      <c r="M88" s="129"/>
    </row>
    <row r="89" spans="1:13" s="37" customFormat="1" ht="14.45" customHeight="1" x14ac:dyDescent="0.2">
      <c r="A89" s="62" t="s">
        <v>150</v>
      </c>
      <c r="B89" s="67" t="s">
        <v>49</v>
      </c>
      <c r="C89" s="62" t="s">
        <v>143</v>
      </c>
      <c r="D89" s="187" t="s">
        <v>159</v>
      </c>
      <c r="E89" s="188"/>
      <c r="F89" s="189"/>
      <c r="G89" s="68">
        <v>180</v>
      </c>
      <c r="H89" s="67" t="s">
        <v>49</v>
      </c>
      <c r="I89" s="68" t="s">
        <v>153</v>
      </c>
      <c r="J89" s="63" t="s">
        <v>110</v>
      </c>
      <c r="K89" s="57"/>
      <c r="L89" s="129"/>
      <c r="M89" s="129"/>
    </row>
    <row r="90" spans="1:13" s="37" customFormat="1" ht="14.45" customHeight="1" x14ac:dyDescent="0.2">
      <c r="A90" s="62" t="s">
        <v>160</v>
      </c>
      <c r="B90" s="67" t="s">
        <v>49</v>
      </c>
      <c r="C90" s="62" t="s">
        <v>143</v>
      </c>
      <c r="D90" s="187" t="s">
        <v>161</v>
      </c>
      <c r="E90" s="188"/>
      <c r="F90" s="189"/>
      <c r="G90" s="69">
        <v>47.9</v>
      </c>
      <c r="H90" s="67" t="s">
        <v>24</v>
      </c>
      <c r="I90" s="69">
        <v>47.9</v>
      </c>
      <c r="J90" s="63" t="s">
        <v>110</v>
      </c>
      <c r="K90" s="57"/>
      <c r="L90" s="129"/>
      <c r="M90" s="129"/>
    </row>
    <row r="91" spans="1:13" s="37" customFormat="1" ht="14.45" customHeight="1" x14ac:dyDescent="0.2">
      <c r="A91" s="62" t="s">
        <v>160</v>
      </c>
      <c r="B91" s="67" t="s">
        <v>49</v>
      </c>
      <c r="C91" s="62" t="s">
        <v>143</v>
      </c>
      <c r="D91" s="187" t="s">
        <v>161</v>
      </c>
      <c r="E91" s="188"/>
      <c r="F91" s="189"/>
      <c r="G91" s="69">
        <v>65.400000000000006</v>
      </c>
      <c r="H91" s="67" t="s">
        <v>162</v>
      </c>
      <c r="I91" s="69">
        <v>65.400000000000006</v>
      </c>
      <c r="J91" s="63" t="s">
        <v>110</v>
      </c>
      <c r="K91" s="57"/>
      <c r="L91" s="129"/>
      <c r="M91" s="129"/>
    </row>
    <row r="92" spans="1:13" s="37" customFormat="1" ht="14.1" customHeight="1" x14ac:dyDescent="0.2">
      <c r="A92" s="62" t="s">
        <v>163</v>
      </c>
      <c r="B92" s="67" t="s">
        <v>49</v>
      </c>
      <c r="C92" s="62" t="s">
        <v>143</v>
      </c>
      <c r="D92" s="187" t="s">
        <v>164</v>
      </c>
      <c r="E92" s="188"/>
      <c r="F92" s="189"/>
      <c r="G92" s="69">
        <v>48</v>
      </c>
      <c r="H92" s="67" t="s">
        <v>49</v>
      </c>
      <c r="I92" s="69">
        <v>48</v>
      </c>
      <c r="J92" s="63" t="s">
        <v>110</v>
      </c>
      <c r="K92" s="57"/>
      <c r="L92" s="129"/>
      <c r="M92" s="129"/>
    </row>
    <row r="93" spans="1:13" s="37" customFormat="1" ht="14.45" customHeight="1" x14ac:dyDescent="0.2">
      <c r="A93" s="62" t="s">
        <v>163</v>
      </c>
      <c r="B93" s="67" t="s">
        <v>49</v>
      </c>
      <c r="C93" s="62" t="s">
        <v>143</v>
      </c>
      <c r="D93" s="187" t="s">
        <v>165</v>
      </c>
      <c r="E93" s="188"/>
      <c r="F93" s="189"/>
      <c r="G93" s="69">
        <v>18</v>
      </c>
      <c r="H93" s="67" t="s">
        <v>49</v>
      </c>
      <c r="I93" s="69">
        <v>18</v>
      </c>
      <c r="J93" s="63" t="s">
        <v>110</v>
      </c>
      <c r="K93" s="57"/>
      <c r="L93" s="129"/>
      <c r="M93" s="129"/>
    </row>
    <row r="94" spans="1:13" s="37" customFormat="1" ht="14.45" customHeight="1" x14ac:dyDescent="0.2">
      <c r="A94" s="62" t="s">
        <v>163</v>
      </c>
      <c r="B94" s="67" t="s">
        <v>49</v>
      </c>
      <c r="C94" s="62" t="s">
        <v>143</v>
      </c>
      <c r="D94" s="187" t="s">
        <v>166</v>
      </c>
      <c r="E94" s="188"/>
      <c r="F94" s="189"/>
      <c r="G94" s="69">
        <v>42</v>
      </c>
      <c r="H94" s="67" t="s">
        <v>49</v>
      </c>
      <c r="I94" s="69">
        <v>42</v>
      </c>
      <c r="J94" s="63" t="s">
        <v>110</v>
      </c>
      <c r="K94" s="57"/>
      <c r="L94" s="129"/>
      <c r="M94" s="129"/>
    </row>
    <row r="95" spans="1:13" s="37" customFormat="1" ht="14.45" customHeight="1" x14ac:dyDescent="0.2">
      <c r="A95" s="62" t="s">
        <v>167</v>
      </c>
      <c r="B95" s="62" t="s">
        <v>49</v>
      </c>
      <c r="C95" s="62" t="s">
        <v>143</v>
      </c>
      <c r="D95" s="187" t="s">
        <v>168</v>
      </c>
      <c r="E95" s="188"/>
      <c r="F95" s="189"/>
      <c r="G95" s="66">
        <v>54</v>
      </c>
      <c r="H95" s="62" t="s">
        <v>49</v>
      </c>
      <c r="I95" s="66">
        <v>54</v>
      </c>
      <c r="J95" s="63" t="s">
        <v>110</v>
      </c>
      <c r="K95" s="57"/>
      <c r="L95" s="129"/>
      <c r="M95" s="129"/>
    </row>
    <row r="96" spans="1:13" s="37" customFormat="1" ht="14.45" customHeight="1" x14ac:dyDescent="0.2">
      <c r="A96" s="67" t="s">
        <v>169</v>
      </c>
      <c r="B96" s="67" t="s">
        <v>49</v>
      </c>
      <c r="C96" s="67" t="s">
        <v>147</v>
      </c>
      <c r="D96" s="187" t="s">
        <v>170</v>
      </c>
      <c r="E96" s="188"/>
      <c r="F96" s="189"/>
      <c r="G96" s="70">
        <v>35</v>
      </c>
      <c r="H96" s="70" t="s">
        <v>280</v>
      </c>
      <c r="I96" s="70">
        <v>35</v>
      </c>
      <c r="J96" s="63" t="s">
        <v>110</v>
      </c>
      <c r="K96" s="57"/>
      <c r="L96" s="129"/>
      <c r="M96" s="129"/>
    </row>
    <row r="97" spans="1:13" s="37" customFormat="1" ht="14.45" customHeight="1" x14ac:dyDescent="0.2">
      <c r="A97" s="62" t="s">
        <v>142</v>
      </c>
      <c r="B97" s="62" t="s">
        <v>49</v>
      </c>
      <c r="C97" s="62" t="s">
        <v>143</v>
      </c>
      <c r="D97" s="187" t="s">
        <v>171</v>
      </c>
      <c r="E97" s="188"/>
      <c r="F97" s="189"/>
      <c r="G97" s="63">
        <v>85</v>
      </c>
      <c r="H97" s="62" t="s">
        <v>172</v>
      </c>
      <c r="I97" s="63" t="s">
        <v>153</v>
      </c>
      <c r="J97" s="63" t="s">
        <v>110</v>
      </c>
      <c r="K97" s="57"/>
      <c r="L97" s="129"/>
      <c r="M97" s="129"/>
    </row>
    <row r="98" spans="1:13" s="37" customFormat="1" ht="14.45" customHeight="1" x14ac:dyDescent="0.2">
      <c r="A98" s="62" t="s">
        <v>173</v>
      </c>
      <c r="B98" s="62" t="s">
        <v>146</v>
      </c>
      <c r="C98" s="62" t="s">
        <v>147</v>
      </c>
      <c r="D98" s="187" t="s">
        <v>174</v>
      </c>
      <c r="E98" s="188"/>
      <c r="F98" s="189"/>
      <c r="G98" s="63">
        <v>4</v>
      </c>
      <c r="H98" s="62" t="s">
        <v>149</v>
      </c>
      <c r="I98" s="63">
        <v>4</v>
      </c>
      <c r="J98" s="63" t="s">
        <v>110</v>
      </c>
      <c r="K98" s="57"/>
      <c r="L98" s="129"/>
      <c r="M98" s="129"/>
    </row>
    <row r="99" spans="1:13" s="37" customFormat="1" ht="24" customHeight="1" x14ac:dyDescent="0.2">
      <c r="A99" s="62" t="s">
        <v>173</v>
      </c>
      <c r="B99" s="62" t="s">
        <v>49</v>
      </c>
      <c r="C99" s="62" t="s">
        <v>143</v>
      </c>
      <c r="D99" s="187" t="s">
        <v>175</v>
      </c>
      <c r="E99" s="188"/>
      <c r="F99" s="189"/>
      <c r="G99" s="137" t="s">
        <v>348</v>
      </c>
      <c r="H99" s="62" t="s">
        <v>24</v>
      </c>
      <c r="I99" s="66" t="s">
        <v>153</v>
      </c>
      <c r="J99" s="63" t="s">
        <v>282</v>
      </c>
      <c r="K99" s="57"/>
      <c r="L99" s="129"/>
      <c r="M99" s="129"/>
    </row>
    <row r="100" spans="1:13" s="37" customFormat="1" ht="27" customHeight="1" x14ac:dyDescent="0.2">
      <c r="A100" s="62" t="s">
        <v>173</v>
      </c>
      <c r="B100" s="62" t="s">
        <v>49</v>
      </c>
      <c r="C100" s="62" t="s">
        <v>143</v>
      </c>
      <c r="D100" s="187" t="s">
        <v>176</v>
      </c>
      <c r="E100" s="188"/>
      <c r="F100" s="189"/>
      <c r="G100" s="137" t="s">
        <v>348</v>
      </c>
      <c r="H100" s="62" t="s">
        <v>162</v>
      </c>
      <c r="I100" s="66" t="s">
        <v>153</v>
      </c>
      <c r="J100" s="63" t="s">
        <v>282</v>
      </c>
      <c r="K100" s="57"/>
      <c r="L100" s="129"/>
      <c r="M100" s="129"/>
    </row>
    <row r="101" spans="1:13" s="37" customFormat="1" ht="52.35" customHeight="1" x14ac:dyDescent="0.2">
      <c r="A101" s="124" t="s">
        <v>142</v>
      </c>
      <c r="B101" s="124" t="s">
        <v>49</v>
      </c>
      <c r="C101" s="140" t="s">
        <v>362</v>
      </c>
      <c r="D101" s="236" t="s">
        <v>363</v>
      </c>
      <c r="E101" s="237"/>
      <c r="F101" s="238"/>
      <c r="G101" s="141" t="s">
        <v>364</v>
      </c>
      <c r="H101" s="142" t="s">
        <v>280</v>
      </c>
      <c r="I101" s="125" t="s">
        <v>153</v>
      </c>
      <c r="J101" s="143" t="s">
        <v>365</v>
      </c>
      <c r="K101" s="57"/>
      <c r="L101" s="129"/>
      <c r="M101" s="129"/>
    </row>
    <row r="102" spans="1:13" s="37" customFormat="1" ht="14.45" customHeight="1" x14ac:dyDescent="0.2">
      <c r="A102" s="62" t="s">
        <v>173</v>
      </c>
      <c r="B102" s="62" t="s">
        <v>146</v>
      </c>
      <c r="C102" s="62" t="s">
        <v>147</v>
      </c>
      <c r="D102" s="187" t="s">
        <v>177</v>
      </c>
      <c r="E102" s="188"/>
      <c r="F102" s="189"/>
      <c r="G102" s="63">
        <v>2</v>
      </c>
      <c r="H102" s="62" t="s">
        <v>149</v>
      </c>
      <c r="I102" s="63">
        <v>2</v>
      </c>
      <c r="J102" s="63" t="s">
        <v>110</v>
      </c>
      <c r="K102" s="57"/>
      <c r="L102" s="129"/>
      <c r="M102" s="129"/>
    </row>
    <row r="103" spans="1:13" s="37" customFormat="1" ht="14.45" customHeight="1" x14ac:dyDescent="0.2">
      <c r="A103" s="62" t="s">
        <v>173</v>
      </c>
      <c r="B103" s="62" t="s">
        <v>146</v>
      </c>
      <c r="C103" s="62" t="s">
        <v>283</v>
      </c>
      <c r="D103" s="187" t="s">
        <v>284</v>
      </c>
      <c r="E103" s="188"/>
      <c r="F103" s="189"/>
      <c r="G103" s="63">
        <v>10</v>
      </c>
      <c r="H103" s="62" t="s">
        <v>285</v>
      </c>
      <c r="I103" s="63" t="s">
        <v>153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2" t="s">
        <v>142</v>
      </c>
      <c r="B104" s="62" t="s">
        <v>49</v>
      </c>
      <c r="C104" s="62" t="s">
        <v>143</v>
      </c>
      <c r="D104" s="187" t="s">
        <v>178</v>
      </c>
      <c r="E104" s="188"/>
      <c r="F104" s="189"/>
      <c r="G104" s="63">
        <v>50</v>
      </c>
      <c r="H104" s="62" t="s">
        <v>145</v>
      </c>
      <c r="I104" s="63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173</v>
      </c>
      <c r="B105" s="62" t="s">
        <v>49</v>
      </c>
      <c r="C105" s="62" t="s">
        <v>143</v>
      </c>
      <c r="D105" s="187" t="s">
        <v>179</v>
      </c>
      <c r="E105" s="188"/>
      <c r="F105" s="189"/>
      <c r="G105" s="63">
        <v>175</v>
      </c>
      <c r="H105" s="62" t="s">
        <v>49</v>
      </c>
      <c r="I105" s="63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142</v>
      </c>
      <c r="B106" s="62" t="s">
        <v>49</v>
      </c>
      <c r="C106" s="62" t="s">
        <v>147</v>
      </c>
      <c r="D106" s="187" t="s">
        <v>180</v>
      </c>
      <c r="E106" s="188"/>
      <c r="F106" s="189"/>
      <c r="G106" s="63">
        <v>40</v>
      </c>
      <c r="H106" s="62" t="s">
        <v>181</v>
      </c>
      <c r="I106" s="63" t="s">
        <v>153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173</v>
      </c>
      <c r="B107" s="62" t="s">
        <v>146</v>
      </c>
      <c r="C107" s="62" t="s">
        <v>147</v>
      </c>
      <c r="D107" s="187" t="s">
        <v>182</v>
      </c>
      <c r="E107" s="188"/>
      <c r="F107" s="189"/>
      <c r="G107" s="63">
        <v>7.5</v>
      </c>
      <c r="H107" s="62" t="s">
        <v>152</v>
      </c>
      <c r="I107" s="63">
        <v>75</v>
      </c>
      <c r="J107" s="63" t="s">
        <v>110</v>
      </c>
      <c r="K107" s="57"/>
      <c r="L107" s="129"/>
      <c r="M107" s="129"/>
    </row>
    <row r="108" spans="1:13" s="37" customFormat="1" ht="14.45" customHeight="1" x14ac:dyDescent="0.2">
      <c r="A108" s="62" t="s">
        <v>142</v>
      </c>
      <c r="B108" s="62" t="s">
        <v>146</v>
      </c>
      <c r="C108" s="62" t="s">
        <v>147</v>
      </c>
      <c r="D108" s="187" t="s">
        <v>183</v>
      </c>
      <c r="E108" s="188"/>
      <c r="F108" s="189"/>
      <c r="G108" s="63">
        <v>20</v>
      </c>
      <c r="H108" s="62" t="s">
        <v>184</v>
      </c>
      <c r="I108" s="63" t="s">
        <v>153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142</v>
      </c>
      <c r="B109" s="62" t="s">
        <v>146</v>
      </c>
      <c r="C109" s="62" t="s">
        <v>147</v>
      </c>
      <c r="D109" s="187" t="s">
        <v>185</v>
      </c>
      <c r="E109" s="188"/>
      <c r="F109" s="189"/>
      <c r="G109" s="63">
        <v>25</v>
      </c>
      <c r="H109" s="62" t="s">
        <v>184</v>
      </c>
      <c r="I109" s="63" t="s">
        <v>153</v>
      </c>
      <c r="J109" s="63" t="s">
        <v>110</v>
      </c>
      <c r="K109" s="57"/>
      <c r="L109" s="129"/>
      <c r="M109" s="129"/>
    </row>
    <row r="110" spans="1:13" s="37" customFormat="1" ht="14.45" customHeight="1" x14ac:dyDescent="0.2">
      <c r="A110" s="62" t="s">
        <v>142</v>
      </c>
      <c r="B110" s="62" t="s">
        <v>142</v>
      </c>
      <c r="C110" s="62" t="s">
        <v>147</v>
      </c>
      <c r="D110" s="187" t="s">
        <v>186</v>
      </c>
      <c r="E110" s="188"/>
      <c r="F110" s="189"/>
      <c r="G110" s="68">
        <v>75</v>
      </c>
      <c r="H110" s="62" t="s">
        <v>181</v>
      </c>
      <c r="I110" s="63" t="s">
        <v>153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142</v>
      </c>
      <c r="B111" s="62" t="s">
        <v>142</v>
      </c>
      <c r="C111" s="62" t="s">
        <v>147</v>
      </c>
      <c r="D111" s="187" t="s">
        <v>187</v>
      </c>
      <c r="E111" s="188"/>
      <c r="F111" s="189"/>
      <c r="G111" s="63">
        <v>35</v>
      </c>
      <c r="H111" s="62" t="s">
        <v>181</v>
      </c>
      <c r="I111" s="63" t="s">
        <v>153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142</v>
      </c>
      <c r="B112" s="62" t="s">
        <v>146</v>
      </c>
      <c r="C112" s="62" t="s">
        <v>143</v>
      </c>
      <c r="D112" s="187" t="s">
        <v>188</v>
      </c>
      <c r="E112" s="188"/>
      <c r="F112" s="189"/>
      <c r="G112" s="63">
        <v>100</v>
      </c>
      <c r="H112" s="62" t="s">
        <v>181</v>
      </c>
      <c r="I112" s="63" t="s">
        <v>153</v>
      </c>
      <c r="J112" s="63" t="s">
        <v>110</v>
      </c>
      <c r="K112" s="57"/>
      <c r="L112" s="129"/>
      <c r="M112" s="129"/>
    </row>
    <row r="113" spans="1:29" s="37" customFormat="1" ht="14.45" customHeight="1" x14ac:dyDescent="0.2">
      <c r="A113" s="62" t="s">
        <v>142</v>
      </c>
      <c r="B113" s="62" t="s">
        <v>146</v>
      </c>
      <c r="C113" s="62" t="s">
        <v>143</v>
      </c>
      <c r="D113" s="187" t="s">
        <v>189</v>
      </c>
      <c r="E113" s="188"/>
      <c r="F113" s="189"/>
      <c r="G113" s="63">
        <v>100</v>
      </c>
      <c r="H113" s="62" t="s">
        <v>190</v>
      </c>
      <c r="I113" s="63" t="s">
        <v>153</v>
      </c>
      <c r="J113" s="63" t="s">
        <v>110</v>
      </c>
      <c r="K113" s="57"/>
      <c r="O113" s="38"/>
      <c r="P113" s="38"/>
    </row>
    <row r="114" spans="1:29" s="37" customFormat="1" ht="14.45" customHeight="1" x14ac:dyDescent="0.2">
      <c r="A114" s="62" t="s">
        <v>142</v>
      </c>
      <c r="B114" s="62" t="s">
        <v>146</v>
      </c>
      <c r="C114" s="62" t="s">
        <v>143</v>
      </c>
      <c r="D114" s="187" t="s">
        <v>191</v>
      </c>
      <c r="E114" s="188"/>
      <c r="F114" s="189"/>
      <c r="G114" s="63">
        <v>100</v>
      </c>
      <c r="H114" s="62" t="s">
        <v>181</v>
      </c>
      <c r="I114" s="63" t="s">
        <v>153</v>
      </c>
      <c r="J114" s="63" t="s">
        <v>110</v>
      </c>
      <c r="K114" s="57"/>
      <c r="O114" s="39"/>
      <c r="P114" s="39"/>
    </row>
    <row r="115" spans="1:29" s="37" customFormat="1" ht="14.45" customHeight="1" x14ac:dyDescent="0.2">
      <c r="A115" s="62" t="s">
        <v>173</v>
      </c>
      <c r="B115" s="62" t="s">
        <v>146</v>
      </c>
      <c r="C115" s="62" t="s">
        <v>143</v>
      </c>
      <c r="D115" s="187" t="s">
        <v>189</v>
      </c>
      <c r="E115" s="188"/>
      <c r="F115" s="189"/>
      <c r="G115" s="63">
        <v>50</v>
      </c>
      <c r="H115" s="62" t="s">
        <v>192</v>
      </c>
      <c r="I115" s="63" t="s">
        <v>153</v>
      </c>
      <c r="J115" s="63" t="s">
        <v>110</v>
      </c>
      <c r="K115" s="57"/>
      <c r="O115" s="39"/>
      <c r="P115" s="39"/>
    </row>
    <row r="116" spans="1:29" s="37" customFormat="1" ht="14.45" customHeight="1" x14ac:dyDescent="0.2">
      <c r="A116" s="62" t="s">
        <v>173</v>
      </c>
      <c r="B116" s="62" t="s">
        <v>146</v>
      </c>
      <c r="C116" s="62" t="s">
        <v>143</v>
      </c>
      <c r="D116" s="187" t="s">
        <v>191</v>
      </c>
      <c r="E116" s="188"/>
      <c r="F116" s="189"/>
      <c r="G116" s="63">
        <v>50</v>
      </c>
      <c r="H116" s="62" t="s">
        <v>181</v>
      </c>
      <c r="I116" s="63" t="s">
        <v>153</v>
      </c>
      <c r="J116" s="63" t="s">
        <v>110</v>
      </c>
      <c r="K116" s="57"/>
      <c r="O116" s="38"/>
      <c r="P116" s="38"/>
    </row>
    <row r="117" spans="1:29" s="37" customFormat="1" ht="14.45" customHeight="1" x14ac:dyDescent="0.25">
      <c r="A117" s="62" t="s">
        <v>142</v>
      </c>
      <c r="B117" s="62" t="s">
        <v>146</v>
      </c>
      <c r="C117" s="62" t="s">
        <v>143</v>
      </c>
      <c r="D117" s="187" t="s">
        <v>193</v>
      </c>
      <c r="E117" s="188"/>
      <c r="F117" s="189"/>
      <c r="G117" s="63">
        <v>85</v>
      </c>
      <c r="H117" s="62" t="s">
        <v>194</v>
      </c>
      <c r="I117" s="63" t="s">
        <v>153</v>
      </c>
      <c r="J117" s="63" t="s">
        <v>110</v>
      </c>
      <c r="K117" s="57"/>
      <c r="O117" s="36"/>
      <c r="P117" s="36"/>
    </row>
    <row r="118" spans="1:29" s="37" customFormat="1" ht="14.45" customHeight="1" x14ac:dyDescent="0.25">
      <c r="A118" s="62" t="s">
        <v>173</v>
      </c>
      <c r="B118" s="62" t="s">
        <v>146</v>
      </c>
      <c r="C118" s="62" t="s">
        <v>195</v>
      </c>
      <c r="D118" s="187" t="s">
        <v>196</v>
      </c>
      <c r="E118" s="188"/>
      <c r="F118" s="189"/>
      <c r="G118" s="63">
        <v>0.1</v>
      </c>
      <c r="H118" s="62" t="s">
        <v>197</v>
      </c>
      <c r="I118" s="63">
        <v>150</v>
      </c>
      <c r="J118" s="63" t="s">
        <v>110</v>
      </c>
      <c r="K118" s="57"/>
      <c r="O118" s="36"/>
      <c r="P118" s="36"/>
    </row>
    <row r="119" spans="1:29" s="37" customFormat="1" ht="14.45" customHeight="1" x14ac:dyDescent="0.25">
      <c r="A119" s="62" t="s">
        <v>142</v>
      </c>
      <c r="B119" s="62" t="s">
        <v>49</v>
      </c>
      <c r="C119" s="62" t="s">
        <v>198</v>
      </c>
      <c r="D119" s="187" t="s">
        <v>199</v>
      </c>
      <c r="E119" s="188"/>
      <c r="F119" s="189"/>
      <c r="G119" s="63">
        <v>35</v>
      </c>
      <c r="H119" s="62" t="s">
        <v>181</v>
      </c>
      <c r="I119" s="63" t="s">
        <v>153</v>
      </c>
      <c r="J119" s="63" t="s">
        <v>110</v>
      </c>
      <c r="K119" s="57"/>
      <c r="O119" s="36"/>
      <c r="P119" s="36"/>
    </row>
    <row r="120" spans="1:29" s="37" customFormat="1" ht="14.45" customHeight="1" x14ac:dyDescent="0.25">
      <c r="A120" s="62" t="s">
        <v>142</v>
      </c>
      <c r="B120" s="62" t="s">
        <v>146</v>
      </c>
      <c r="C120" s="62" t="s">
        <v>198</v>
      </c>
      <c r="D120" s="187" t="s">
        <v>200</v>
      </c>
      <c r="E120" s="188"/>
      <c r="F120" s="189"/>
      <c r="G120" s="63">
        <v>7</v>
      </c>
      <c r="H120" s="62" t="s">
        <v>152</v>
      </c>
      <c r="I120" s="63">
        <v>7</v>
      </c>
      <c r="J120" s="63" t="s">
        <v>110</v>
      </c>
      <c r="K120" s="57"/>
      <c r="O120" s="36"/>
      <c r="P120" s="36"/>
    </row>
    <row r="121" spans="1:29" s="37" customFormat="1" ht="14.1" customHeight="1" x14ac:dyDescent="0.25">
      <c r="A121" s="62" t="s">
        <v>142</v>
      </c>
      <c r="B121" s="62" t="s">
        <v>142</v>
      </c>
      <c r="C121" s="62" t="s">
        <v>201</v>
      </c>
      <c r="D121" s="187" t="s">
        <v>202</v>
      </c>
      <c r="E121" s="188"/>
      <c r="F121" s="189"/>
      <c r="G121" s="63">
        <v>40</v>
      </c>
      <c r="H121" s="62" t="s">
        <v>203</v>
      </c>
      <c r="I121" s="63" t="s">
        <v>153</v>
      </c>
      <c r="J121" s="63" t="s">
        <v>110</v>
      </c>
      <c r="K121" s="57"/>
      <c r="O121" s="36"/>
      <c r="P121" s="36"/>
    </row>
    <row r="122" spans="1:29" s="37" customFormat="1" ht="14.1" customHeight="1" x14ac:dyDescent="0.25">
      <c r="A122" s="62" t="s">
        <v>142</v>
      </c>
      <c r="B122" s="62" t="s">
        <v>49</v>
      </c>
      <c r="C122" s="62" t="s">
        <v>143</v>
      </c>
      <c r="D122" s="187" t="s">
        <v>204</v>
      </c>
      <c r="E122" s="188"/>
      <c r="F122" s="189"/>
      <c r="G122" s="63">
        <v>50</v>
      </c>
      <c r="H122" s="62" t="s">
        <v>49</v>
      </c>
      <c r="I122" s="63" t="s">
        <v>153</v>
      </c>
      <c r="J122" s="63" t="s">
        <v>110</v>
      </c>
      <c r="K122" s="57"/>
      <c r="L122" s="38"/>
      <c r="M122" s="38"/>
      <c r="N122" s="38"/>
      <c r="O122" s="36"/>
      <c r="P122" s="36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 spans="1:29" s="39" customFormat="1" ht="14.1" customHeight="1" x14ac:dyDescent="0.25">
      <c r="A123" s="62" t="s">
        <v>142</v>
      </c>
      <c r="B123" s="62" t="s">
        <v>49</v>
      </c>
      <c r="C123" s="62" t="s">
        <v>143</v>
      </c>
      <c r="D123" s="187" t="s">
        <v>205</v>
      </c>
      <c r="E123" s="188"/>
      <c r="F123" s="189"/>
      <c r="G123" s="63">
        <v>200</v>
      </c>
      <c r="H123" s="62" t="s">
        <v>206</v>
      </c>
      <c r="I123" s="63" t="s">
        <v>153</v>
      </c>
      <c r="J123" s="63" t="s">
        <v>110</v>
      </c>
      <c r="K123" s="57"/>
      <c r="O123" s="36"/>
      <c r="P123" s="36"/>
    </row>
    <row r="124" spans="1:29" s="39" customFormat="1" ht="14.1" customHeight="1" x14ac:dyDescent="0.25">
      <c r="A124" s="62" t="s">
        <v>142</v>
      </c>
      <c r="B124" s="62" t="s">
        <v>49</v>
      </c>
      <c r="C124" s="62" t="s">
        <v>143</v>
      </c>
      <c r="D124" s="187" t="s">
        <v>207</v>
      </c>
      <c r="E124" s="188"/>
      <c r="F124" s="189"/>
      <c r="G124" s="63">
        <v>250</v>
      </c>
      <c r="H124" s="62" t="s">
        <v>208</v>
      </c>
      <c r="I124" s="63">
        <v>100</v>
      </c>
      <c r="J124" s="63" t="s">
        <v>110</v>
      </c>
      <c r="K124" s="57"/>
      <c r="L124" s="38"/>
      <c r="M124" s="38"/>
      <c r="N124" s="38"/>
      <c r="O124" s="36"/>
      <c r="P124" s="36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 spans="1:29" s="38" customFormat="1" ht="14.1" customHeight="1" x14ac:dyDescent="0.25">
      <c r="A125" s="62" t="s">
        <v>142</v>
      </c>
      <c r="B125" s="62" t="s">
        <v>49</v>
      </c>
      <c r="C125" s="62" t="s">
        <v>201</v>
      </c>
      <c r="D125" s="187" t="s">
        <v>209</v>
      </c>
      <c r="E125" s="188"/>
      <c r="F125" s="189"/>
      <c r="G125" s="63" t="s">
        <v>210</v>
      </c>
      <c r="H125" s="62"/>
      <c r="I125" s="63" t="s">
        <v>153</v>
      </c>
      <c r="J125" s="63" t="s">
        <v>110</v>
      </c>
      <c r="K125" s="57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:29" s="36" customFormat="1" x14ac:dyDescent="0.25">
      <c r="A126" s="62" t="s">
        <v>142</v>
      </c>
      <c r="B126" s="62" t="s">
        <v>49</v>
      </c>
      <c r="C126" s="62" t="s">
        <v>201</v>
      </c>
      <c r="D126" s="187" t="s">
        <v>211</v>
      </c>
      <c r="E126" s="188"/>
      <c r="F126" s="189"/>
      <c r="G126" s="63" t="s">
        <v>212</v>
      </c>
      <c r="H126" s="62"/>
      <c r="I126" s="63" t="s">
        <v>153</v>
      </c>
      <c r="J126" s="63" t="s">
        <v>110</v>
      </c>
      <c r="K126" s="72"/>
    </row>
    <row r="127" spans="1:29" s="36" customFormat="1" x14ac:dyDescent="0.25">
      <c r="A127" s="62" t="s">
        <v>213</v>
      </c>
      <c r="B127" s="62" t="s">
        <v>49</v>
      </c>
      <c r="C127" s="62" t="s">
        <v>214</v>
      </c>
      <c r="D127" s="187" t="s">
        <v>215</v>
      </c>
      <c r="E127" s="188"/>
      <c r="F127" s="189"/>
      <c r="G127" s="63">
        <v>100</v>
      </c>
      <c r="H127" s="62" t="s">
        <v>49</v>
      </c>
      <c r="I127" s="63">
        <v>100</v>
      </c>
      <c r="J127" s="63" t="s">
        <v>110</v>
      </c>
      <c r="K127" s="72"/>
    </row>
    <row r="128" spans="1:29" s="36" customFormat="1" x14ac:dyDescent="0.25">
      <c r="A128" s="62" t="s">
        <v>213</v>
      </c>
      <c r="B128" s="62" t="s">
        <v>216</v>
      </c>
      <c r="C128" s="62" t="s">
        <v>147</v>
      </c>
      <c r="D128" s="187" t="s">
        <v>217</v>
      </c>
      <c r="E128" s="188"/>
      <c r="F128" s="189"/>
      <c r="G128" s="63">
        <v>50</v>
      </c>
      <c r="H128" s="62"/>
      <c r="I128" s="63">
        <v>50</v>
      </c>
      <c r="J128" s="63" t="s">
        <v>110</v>
      </c>
      <c r="K128" s="72"/>
    </row>
    <row r="129" spans="1:11" s="36" customFormat="1" x14ac:dyDescent="0.25">
      <c r="A129" s="62" t="s">
        <v>150</v>
      </c>
      <c r="B129" s="62" t="s">
        <v>49</v>
      </c>
      <c r="C129" s="62" t="s">
        <v>218</v>
      </c>
      <c r="D129" s="187" t="s">
        <v>219</v>
      </c>
      <c r="E129" s="188"/>
      <c r="F129" s="189"/>
      <c r="G129" s="69" t="s">
        <v>220</v>
      </c>
      <c r="H129" s="67" t="s">
        <v>49</v>
      </c>
      <c r="I129" s="69" t="s">
        <v>153</v>
      </c>
      <c r="J129" s="63" t="s">
        <v>110</v>
      </c>
      <c r="K129" s="72"/>
    </row>
    <row r="130" spans="1:11" s="36" customFormat="1" x14ac:dyDescent="0.25">
      <c r="A130" s="62" t="s">
        <v>221</v>
      </c>
      <c r="B130" s="62" t="s">
        <v>49</v>
      </c>
      <c r="C130" s="62" t="s">
        <v>201</v>
      </c>
      <c r="D130" s="187" t="s">
        <v>222</v>
      </c>
      <c r="E130" s="188"/>
      <c r="F130" s="189"/>
      <c r="G130" s="69" t="s">
        <v>220</v>
      </c>
      <c r="H130" s="67" t="s">
        <v>49</v>
      </c>
      <c r="I130" s="69" t="s">
        <v>153</v>
      </c>
      <c r="J130" s="63" t="s">
        <v>110</v>
      </c>
      <c r="K130" s="72"/>
    </row>
    <row r="131" spans="1:11" s="36" customFormat="1" x14ac:dyDescent="0.25">
      <c r="A131" s="62" t="s">
        <v>142</v>
      </c>
      <c r="B131" s="62" t="s">
        <v>49</v>
      </c>
      <c r="C131" s="62" t="s">
        <v>223</v>
      </c>
      <c r="D131" s="187" t="s">
        <v>224</v>
      </c>
      <c r="E131" s="188"/>
      <c r="F131" s="189"/>
      <c r="G131" s="63" t="s">
        <v>225</v>
      </c>
      <c r="H131" s="62"/>
      <c r="I131" s="63" t="s">
        <v>153</v>
      </c>
      <c r="J131" s="63" t="s">
        <v>110</v>
      </c>
      <c r="K131" s="72"/>
    </row>
    <row r="132" spans="1:11" s="36" customFormat="1" x14ac:dyDescent="0.25">
      <c r="A132" s="62" t="s">
        <v>142</v>
      </c>
      <c r="B132" s="62" t="s">
        <v>49</v>
      </c>
      <c r="C132" s="62" t="s">
        <v>226</v>
      </c>
      <c r="D132" s="187" t="s">
        <v>227</v>
      </c>
      <c r="E132" s="188"/>
      <c r="F132" s="189"/>
      <c r="G132" s="66">
        <v>150</v>
      </c>
      <c r="H132" s="62" t="s">
        <v>49</v>
      </c>
      <c r="I132" s="66">
        <v>150</v>
      </c>
      <c r="J132" s="63" t="s">
        <v>110</v>
      </c>
      <c r="K132" s="72"/>
    </row>
    <row r="133" spans="1:11" s="36" customFormat="1" x14ac:dyDescent="0.25">
      <c r="A133" s="62" t="s">
        <v>142</v>
      </c>
      <c r="B133" s="62" t="s">
        <v>49</v>
      </c>
      <c r="C133" s="62" t="s">
        <v>228</v>
      </c>
      <c r="D133" s="187" t="s">
        <v>229</v>
      </c>
      <c r="E133" s="188"/>
      <c r="F133" s="189"/>
      <c r="G133" s="66">
        <v>25</v>
      </c>
      <c r="H133" s="62" t="s">
        <v>230</v>
      </c>
      <c r="I133" s="66">
        <v>25</v>
      </c>
      <c r="J133" s="63" t="s">
        <v>110</v>
      </c>
      <c r="K133" s="72"/>
    </row>
    <row r="134" spans="1:11" s="36" customFormat="1" x14ac:dyDescent="0.25">
      <c r="A134" s="62" t="s">
        <v>142</v>
      </c>
      <c r="B134" s="62" t="s">
        <v>146</v>
      </c>
      <c r="C134" s="62" t="s">
        <v>198</v>
      </c>
      <c r="D134" s="187" t="s">
        <v>231</v>
      </c>
      <c r="E134" s="188"/>
      <c r="F134" s="189"/>
      <c r="G134" s="66" t="s">
        <v>232</v>
      </c>
      <c r="H134" s="62" t="s">
        <v>149</v>
      </c>
      <c r="I134" s="66" t="s">
        <v>153</v>
      </c>
      <c r="J134" s="63" t="s">
        <v>110</v>
      </c>
      <c r="K134" s="72"/>
    </row>
    <row r="135" spans="1:11" s="36" customFormat="1" x14ac:dyDescent="0.25">
      <c r="A135" s="62" t="s">
        <v>173</v>
      </c>
      <c r="B135" s="62" t="s">
        <v>146</v>
      </c>
      <c r="C135" s="62" t="s">
        <v>233</v>
      </c>
      <c r="D135" s="187" t="s">
        <v>234</v>
      </c>
      <c r="E135" s="188"/>
      <c r="F135" s="189"/>
      <c r="G135" s="66">
        <v>0.5</v>
      </c>
      <c r="H135" s="62" t="s">
        <v>235</v>
      </c>
      <c r="I135" s="66">
        <v>50</v>
      </c>
      <c r="J135" s="63" t="s">
        <v>110</v>
      </c>
      <c r="K135" s="72"/>
    </row>
    <row r="136" spans="1:11" s="36" customFormat="1" x14ac:dyDescent="0.25">
      <c r="A136" s="64" t="s">
        <v>173</v>
      </c>
      <c r="B136" s="64" t="s">
        <v>146</v>
      </c>
      <c r="C136" s="64" t="s">
        <v>233</v>
      </c>
      <c r="D136" s="187" t="s">
        <v>236</v>
      </c>
      <c r="E136" s="188"/>
      <c r="F136" s="189"/>
      <c r="G136" s="73">
        <v>0.5</v>
      </c>
      <c r="H136" s="64" t="s">
        <v>235</v>
      </c>
      <c r="I136" s="73">
        <v>50</v>
      </c>
      <c r="J136" s="63" t="s">
        <v>110</v>
      </c>
      <c r="K136" s="72"/>
    </row>
    <row r="137" spans="1:11" s="36" customFormat="1" x14ac:dyDescent="0.25">
      <c r="A137" s="62" t="s">
        <v>173</v>
      </c>
      <c r="B137" s="62" t="s">
        <v>146</v>
      </c>
      <c r="C137" s="62" t="s">
        <v>201</v>
      </c>
      <c r="D137" s="187" t="s">
        <v>237</v>
      </c>
      <c r="E137" s="188"/>
      <c r="F137" s="189"/>
      <c r="G137" s="66" t="s">
        <v>238</v>
      </c>
      <c r="H137" s="62" t="s">
        <v>235</v>
      </c>
      <c r="I137" s="66">
        <v>50</v>
      </c>
      <c r="J137" s="63" t="s">
        <v>110</v>
      </c>
      <c r="K137" s="72"/>
    </row>
    <row r="138" spans="1:11" s="36" customFormat="1" x14ac:dyDescent="0.25">
      <c r="A138" s="62" t="s">
        <v>239</v>
      </c>
      <c r="B138" s="62" t="s">
        <v>49</v>
      </c>
      <c r="C138" s="62" t="s">
        <v>143</v>
      </c>
      <c r="D138" s="187" t="s">
        <v>240</v>
      </c>
      <c r="E138" s="188"/>
      <c r="F138" s="189"/>
      <c r="G138" s="69" t="s">
        <v>220</v>
      </c>
      <c r="H138" s="67" t="s">
        <v>49</v>
      </c>
      <c r="I138" s="69" t="s">
        <v>153</v>
      </c>
      <c r="J138" s="63" t="s">
        <v>110</v>
      </c>
      <c r="K138" s="72"/>
    </row>
    <row r="139" spans="1:11" s="36" customFormat="1" x14ac:dyDescent="0.25">
      <c r="A139" s="62" t="s">
        <v>142</v>
      </c>
      <c r="B139" s="62" t="s">
        <v>142</v>
      </c>
      <c r="C139" s="62" t="s">
        <v>147</v>
      </c>
      <c r="D139" s="187" t="s">
        <v>241</v>
      </c>
      <c r="E139" s="188"/>
      <c r="F139" s="189"/>
      <c r="G139" s="66" t="s">
        <v>242</v>
      </c>
      <c r="H139" s="62"/>
      <c r="I139" s="66">
        <v>15</v>
      </c>
      <c r="J139" s="63" t="s">
        <v>110</v>
      </c>
      <c r="K139" s="72"/>
    </row>
    <row r="140" spans="1:11" s="36" customFormat="1" x14ac:dyDescent="0.25">
      <c r="A140" s="62" t="s">
        <v>243</v>
      </c>
      <c r="B140" s="62" t="s">
        <v>49</v>
      </c>
      <c r="C140" s="62" t="s">
        <v>143</v>
      </c>
      <c r="D140" s="187" t="s">
        <v>244</v>
      </c>
      <c r="E140" s="188"/>
      <c r="F140" s="189"/>
      <c r="G140" s="66">
        <v>200</v>
      </c>
      <c r="H140" s="62" t="s">
        <v>49</v>
      </c>
      <c r="I140" s="63">
        <v>200</v>
      </c>
      <c r="J140" s="63" t="s">
        <v>110</v>
      </c>
      <c r="K140" s="72"/>
    </row>
    <row r="141" spans="1:11" s="36" customFormat="1" x14ac:dyDescent="0.25">
      <c r="A141" s="62" t="s">
        <v>245</v>
      </c>
      <c r="B141" s="62" t="s">
        <v>49</v>
      </c>
      <c r="C141" s="62" t="s">
        <v>143</v>
      </c>
      <c r="D141" s="187" t="s">
        <v>246</v>
      </c>
      <c r="E141" s="188"/>
      <c r="F141" s="189"/>
      <c r="G141" s="66">
        <v>250</v>
      </c>
      <c r="H141" s="62" t="s">
        <v>49</v>
      </c>
      <c r="I141" s="63">
        <v>100</v>
      </c>
      <c r="J141" s="63" t="s">
        <v>110</v>
      </c>
      <c r="K141" s="72"/>
    </row>
    <row r="142" spans="1:11" s="36" customFormat="1" x14ac:dyDescent="0.25">
      <c r="A142" s="62" t="s">
        <v>247</v>
      </c>
      <c r="B142" s="62" t="s">
        <v>49</v>
      </c>
      <c r="C142" s="62" t="s">
        <v>143</v>
      </c>
      <c r="D142" s="187" t="s">
        <v>248</v>
      </c>
      <c r="E142" s="188"/>
      <c r="F142" s="189"/>
      <c r="G142" s="63">
        <v>250</v>
      </c>
      <c r="H142" s="62" t="s">
        <v>49</v>
      </c>
      <c r="I142" s="63">
        <v>200</v>
      </c>
      <c r="J142" s="63" t="s">
        <v>110</v>
      </c>
      <c r="K142" s="72"/>
    </row>
    <row r="143" spans="1:11" s="36" customFormat="1" x14ac:dyDescent="0.25">
      <c r="A143" s="62" t="s">
        <v>142</v>
      </c>
      <c r="B143" s="62" t="s">
        <v>49</v>
      </c>
      <c r="C143" s="62" t="s">
        <v>143</v>
      </c>
      <c r="D143" s="187" t="s">
        <v>249</v>
      </c>
      <c r="E143" s="188"/>
      <c r="F143" s="189"/>
      <c r="G143" s="63"/>
      <c r="H143" s="62" t="s">
        <v>49</v>
      </c>
      <c r="I143" s="63" t="s">
        <v>153</v>
      </c>
      <c r="J143" s="63" t="s">
        <v>110</v>
      </c>
      <c r="K143" s="72"/>
    </row>
    <row r="144" spans="1:11" s="36" customFormat="1" x14ac:dyDescent="0.25">
      <c r="A144" s="62" t="s">
        <v>250</v>
      </c>
      <c r="B144" s="62" t="s">
        <v>49</v>
      </c>
      <c r="C144" s="62" t="s">
        <v>143</v>
      </c>
      <c r="D144" s="187" t="s">
        <v>251</v>
      </c>
      <c r="E144" s="188"/>
      <c r="F144" s="189"/>
      <c r="G144" s="66">
        <v>350</v>
      </c>
      <c r="H144" s="62" t="s">
        <v>49</v>
      </c>
      <c r="I144" s="63">
        <v>350</v>
      </c>
      <c r="J144" s="63" t="s">
        <v>110</v>
      </c>
      <c r="K144" s="72"/>
    </row>
    <row r="145" spans="1:11" s="36" customFormat="1" x14ac:dyDescent="0.25">
      <c r="A145" s="118"/>
      <c r="B145" s="118"/>
      <c r="C145" s="118"/>
      <c r="D145" s="119"/>
      <c r="E145" s="119"/>
      <c r="F145" s="119"/>
      <c r="G145" s="120"/>
      <c r="H145" s="118"/>
      <c r="I145" s="121"/>
      <c r="J145" s="121"/>
      <c r="K145" s="72"/>
    </row>
    <row r="146" spans="1:11" s="36" customFormat="1" x14ac:dyDescent="0.25">
      <c r="A146" s="180" t="s">
        <v>72</v>
      </c>
      <c r="B146" s="180"/>
      <c r="C146" s="180"/>
      <c r="D146" s="180"/>
      <c r="E146" s="180"/>
      <c r="F146" s="180"/>
      <c r="G146" s="180"/>
      <c r="H146" s="180"/>
      <c r="I146" s="180"/>
      <c r="J146" s="180"/>
      <c r="K146" s="72"/>
    </row>
    <row r="147" spans="1:11" s="36" customFormat="1" x14ac:dyDescent="0.25">
      <c r="A147" s="186" t="s">
        <v>67</v>
      </c>
      <c r="B147" s="186"/>
      <c r="C147" s="186"/>
      <c r="D147" s="186"/>
      <c r="E147" s="186" t="s">
        <v>68</v>
      </c>
      <c r="F147" s="186"/>
      <c r="G147" s="186"/>
      <c r="H147" s="186"/>
      <c r="I147" s="186"/>
      <c r="J147" s="186"/>
      <c r="K147" s="72"/>
    </row>
    <row r="148" spans="1:11" s="36" customFormat="1" x14ac:dyDescent="0.25">
      <c r="A148" s="185" t="s">
        <v>73</v>
      </c>
      <c r="B148" s="185"/>
      <c r="C148" s="185"/>
      <c r="D148" s="185"/>
      <c r="E148" s="185" t="s">
        <v>254</v>
      </c>
      <c r="F148" s="185"/>
      <c r="G148" s="185"/>
      <c r="H148" s="185"/>
      <c r="I148" s="185"/>
      <c r="J148" s="185"/>
      <c r="K148" s="72"/>
    </row>
    <row r="149" spans="1:11" s="36" customFormat="1" ht="15" customHeight="1" x14ac:dyDescent="0.25">
      <c r="A149" s="185" t="s">
        <v>252</v>
      </c>
      <c r="B149" s="185"/>
      <c r="C149" s="185"/>
      <c r="D149" s="185"/>
      <c r="E149" s="185" t="s">
        <v>253</v>
      </c>
      <c r="F149" s="185"/>
      <c r="G149" s="185"/>
      <c r="H149" s="185"/>
      <c r="I149" s="185"/>
      <c r="J149" s="185"/>
      <c r="K149" s="72"/>
    </row>
    <row r="150" spans="1:11" s="36" customFormat="1" ht="15" customHeight="1" x14ac:dyDescent="0.25">
      <c r="A150" s="185" t="s">
        <v>74</v>
      </c>
      <c r="B150" s="185"/>
      <c r="C150" s="185"/>
      <c r="D150" s="185"/>
      <c r="E150" s="185" t="s">
        <v>75</v>
      </c>
      <c r="F150" s="185"/>
      <c r="G150" s="185"/>
      <c r="H150" s="185"/>
      <c r="I150" s="185"/>
      <c r="J150" s="185"/>
      <c r="K150" s="72"/>
    </row>
    <row r="151" spans="1:11" s="36" customFormat="1" x14ac:dyDescent="0.25">
      <c r="A151" s="185" t="s">
        <v>76</v>
      </c>
      <c r="B151" s="185"/>
      <c r="C151" s="185"/>
      <c r="D151" s="185"/>
      <c r="E151" s="185" t="s">
        <v>77</v>
      </c>
      <c r="F151" s="185"/>
      <c r="G151" s="185"/>
      <c r="H151" s="185"/>
      <c r="I151" s="185"/>
      <c r="J151" s="185"/>
      <c r="K151" s="72"/>
    </row>
    <row r="152" spans="1:11" s="36" customFormat="1" ht="15" customHeight="1" x14ac:dyDescent="0.25">
      <c r="A152" s="185" t="s">
        <v>78</v>
      </c>
      <c r="B152" s="185"/>
      <c r="C152" s="185"/>
      <c r="D152" s="185"/>
      <c r="E152" s="185" t="s">
        <v>79</v>
      </c>
      <c r="F152" s="185"/>
      <c r="G152" s="185"/>
      <c r="H152" s="185"/>
      <c r="I152" s="185"/>
      <c r="J152" s="185"/>
      <c r="K152" s="72"/>
    </row>
    <row r="153" spans="1:11" s="36" customFormat="1" ht="15" customHeight="1" x14ac:dyDescent="0.25">
      <c r="A153" s="180" t="s">
        <v>89</v>
      </c>
      <c r="B153" s="180"/>
      <c r="C153" s="180"/>
      <c r="D153" s="180"/>
      <c r="E153" s="180"/>
      <c r="F153" s="180"/>
      <c r="G153" s="180"/>
      <c r="H153" s="180"/>
      <c r="I153" s="180"/>
      <c r="J153" s="180"/>
      <c r="K153" s="72"/>
    </row>
    <row r="154" spans="1:11" s="36" customFormat="1" x14ac:dyDescent="0.25">
      <c r="A154" s="181" t="s">
        <v>80</v>
      </c>
      <c r="B154" s="181"/>
      <c r="C154" s="181"/>
      <c r="D154" s="181"/>
      <c r="E154" s="181"/>
      <c r="F154" s="181"/>
      <c r="G154" s="181"/>
      <c r="H154" s="181"/>
      <c r="I154" s="181"/>
      <c r="J154" s="181"/>
      <c r="K154" s="72"/>
    </row>
    <row r="155" spans="1:11" s="36" customFormat="1" ht="15" customHeight="1" x14ac:dyDescent="0.2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72"/>
    </row>
    <row r="156" spans="1:11" s="36" customFormat="1" x14ac:dyDescent="0.25">
      <c r="A156" s="182" t="s">
        <v>90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72"/>
    </row>
    <row r="157" spans="1:11" s="36" customFormat="1" ht="15" customHeight="1" x14ac:dyDescent="0.25">
      <c r="A157" s="182"/>
      <c r="B157" s="182"/>
      <c r="C157" s="182"/>
      <c r="D157" s="182"/>
      <c r="E157" s="182"/>
      <c r="F157" s="182"/>
      <c r="G157" s="182"/>
      <c r="H157" s="182"/>
      <c r="I157" s="182"/>
      <c r="J157" s="182"/>
      <c r="K157" s="72"/>
    </row>
    <row r="158" spans="1:11" s="42" customFormat="1" ht="13.9" customHeight="1" x14ac:dyDescent="0.25">
      <c r="A158" s="183" t="s">
        <v>353</v>
      </c>
      <c r="B158" s="183"/>
      <c r="C158" s="183"/>
      <c r="D158" s="183"/>
      <c r="E158" s="183"/>
      <c r="F158" s="183"/>
      <c r="G158" s="183"/>
      <c r="H158" s="183"/>
      <c r="I158" s="183"/>
      <c r="J158" s="48"/>
    </row>
    <row r="159" spans="1:11" s="49" customFormat="1" ht="13.9" customHeight="1" x14ac:dyDescent="0.25">
      <c r="A159" s="184" t="s">
        <v>354</v>
      </c>
      <c r="B159" s="184"/>
      <c r="C159" s="184"/>
      <c r="D159" s="184"/>
      <c r="E159" s="184"/>
      <c r="F159" s="184"/>
      <c r="G159" s="184"/>
      <c r="H159" s="184"/>
      <c r="I159" s="184"/>
      <c r="J159" s="48"/>
    </row>
    <row r="160" spans="1:11" x14ac:dyDescent="0.25">
      <c r="J160" s="48"/>
    </row>
    <row r="161" spans="10:10" x14ac:dyDescent="0.25">
      <c r="J161" s="48"/>
    </row>
    <row r="162" spans="10:10" x14ac:dyDescent="0.25">
      <c r="J162" s="48"/>
    </row>
  </sheetData>
  <protectedRanges>
    <protectedRange algorithmName="SHA-512" hashValue="VF6HSW3Iy4xJ9rvYE/9xGHEoimGCygSu8D4FeqmdsD954MzAHwkkxLcwSP9Q5ui8KTGpWBzFAFpp2yGVfuii3Q==" saltValue="Ht0jMOW+8eakbuvlYpVr7Q==" spinCount="100000" sqref="G38:J43 G55:J61 G30:J32 G34:J36 G13:J28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4:J44 G46:J49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1:J53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79:WWE79" xr:uid="{FA694B6A-433F-4FA4-84BF-050781CB5F76}">
    <filterColumn colId="3" showButton="0"/>
    <filterColumn colId="4" showButton="0"/>
  </autoFilter>
  <mergeCells count="146">
    <mergeCell ref="B6:C6"/>
    <mergeCell ref="G6:I6"/>
    <mergeCell ref="E8:I8"/>
    <mergeCell ref="A10:J10"/>
    <mergeCell ref="A1:B1"/>
    <mergeCell ref="C2:G2"/>
    <mergeCell ref="B3:H3"/>
    <mergeCell ref="B4:C4"/>
    <mergeCell ref="G4:I4"/>
    <mergeCell ref="B5:C5"/>
    <mergeCell ref="G5:I5"/>
    <mergeCell ref="E33:F33"/>
    <mergeCell ref="E37:F37"/>
    <mergeCell ref="E45:F45"/>
    <mergeCell ref="E50:F50"/>
    <mergeCell ref="E54:F54"/>
    <mergeCell ref="A61:J61"/>
    <mergeCell ref="N10:R10"/>
    <mergeCell ref="S10:X10"/>
    <mergeCell ref="Y10:AB10"/>
    <mergeCell ref="E11:F11"/>
    <mergeCell ref="E12:F12"/>
    <mergeCell ref="E29:F29"/>
    <mergeCell ref="A67:D67"/>
    <mergeCell ref="F67:J67"/>
    <mergeCell ref="L67:Q67"/>
    <mergeCell ref="A68:D68"/>
    <mergeCell ref="F68:J68"/>
    <mergeCell ref="A69:D69"/>
    <mergeCell ref="F69:J69"/>
    <mergeCell ref="A63:J63"/>
    <mergeCell ref="A64:J64"/>
    <mergeCell ref="A65:D65"/>
    <mergeCell ref="E65:J65"/>
    <mergeCell ref="L65:Q65"/>
    <mergeCell ref="A66:D66"/>
    <mergeCell ref="F66:J66"/>
    <mergeCell ref="L66:Q66"/>
    <mergeCell ref="A73:D73"/>
    <mergeCell ref="F73:J73"/>
    <mergeCell ref="L73:Q73"/>
    <mergeCell ref="A74:D74"/>
    <mergeCell ref="F74:J74"/>
    <mergeCell ref="L74:Q74"/>
    <mergeCell ref="A70:D70"/>
    <mergeCell ref="F70:J70"/>
    <mergeCell ref="A71:D71"/>
    <mergeCell ref="F71:J71"/>
    <mergeCell ref="L71:Q71"/>
    <mergeCell ref="A72:D72"/>
    <mergeCell ref="F72:J72"/>
    <mergeCell ref="L72:Q72"/>
    <mergeCell ref="A77:D77"/>
    <mergeCell ref="E77:J77"/>
    <mergeCell ref="L77:Q77"/>
    <mergeCell ref="A78:J78"/>
    <mergeCell ref="D79:F79"/>
    <mergeCell ref="D80:F80"/>
    <mergeCell ref="A75:D75"/>
    <mergeCell ref="G75:J75"/>
    <mergeCell ref="L75:Q75"/>
    <mergeCell ref="A76:D76"/>
    <mergeCell ref="G76:J76"/>
    <mergeCell ref="L76:Q76"/>
    <mergeCell ref="D87:F87"/>
    <mergeCell ref="D88:F88"/>
    <mergeCell ref="D89:F89"/>
    <mergeCell ref="D90:F90"/>
    <mergeCell ref="D91:F91"/>
    <mergeCell ref="D92:F92"/>
    <mergeCell ref="D81:F81"/>
    <mergeCell ref="D82:F82"/>
    <mergeCell ref="D83:F83"/>
    <mergeCell ref="D84:F84"/>
    <mergeCell ref="D85:F85"/>
    <mergeCell ref="D86:F86"/>
    <mergeCell ref="D99:F99"/>
    <mergeCell ref="D100:F100"/>
    <mergeCell ref="D102:F102"/>
    <mergeCell ref="D103:F103"/>
    <mergeCell ref="D104:F104"/>
    <mergeCell ref="D105:F105"/>
    <mergeCell ref="D93:F93"/>
    <mergeCell ref="D94:F94"/>
    <mergeCell ref="D95:F95"/>
    <mergeCell ref="D96:F96"/>
    <mergeCell ref="D97:F97"/>
    <mergeCell ref="D98:F98"/>
    <mergeCell ref="D101:F101"/>
    <mergeCell ref="D112:F112"/>
    <mergeCell ref="D113:F113"/>
    <mergeCell ref="D114:F114"/>
    <mergeCell ref="D115:F115"/>
    <mergeCell ref="D116:F116"/>
    <mergeCell ref="D117:F117"/>
    <mergeCell ref="D106:F106"/>
    <mergeCell ref="D107:F107"/>
    <mergeCell ref="D108:F108"/>
    <mergeCell ref="D109:F109"/>
    <mergeCell ref="D110:F110"/>
    <mergeCell ref="D111:F111"/>
    <mergeCell ref="D124:F124"/>
    <mergeCell ref="D125:F125"/>
    <mergeCell ref="D126:F126"/>
    <mergeCell ref="D127:F127"/>
    <mergeCell ref="D128:F128"/>
    <mergeCell ref="D129:F129"/>
    <mergeCell ref="D118:F118"/>
    <mergeCell ref="D119:F119"/>
    <mergeCell ref="D120:F120"/>
    <mergeCell ref="D121:F121"/>
    <mergeCell ref="D122:F122"/>
    <mergeCell ref="D123:F123"/>
    <mergeCell ref="D136:F136"/>
    <mergeCell ref="D137:F137"/>
    <mergeCell ref="D138:F138"/>
    <mergeCell ref="D139:F139"/>
    <mergeCell ref="D140:F140"/>
    <mergeCell ref="D141:F141"/>
    <mergeCell ref="D130:F130"/>
    <mergeCell ref="D131:F131"/>
    <mergeCell ref="D132:F132"/>
    <mergeCell ref="D133:F133"/>
    <mergeCell ref="D134:F134"/>
    <mergeCell ref="D135:F135"/>
    <mergeCell ref="A148:D148"/>
    <mergeCell ref="E148:J148"/>
    <mergeCell ref="A149:D149"/>
    <mergeCell ref="E149:J149"/>
    <mergeCell ref="A150:D150"/>
    <mergeCell ref="E150:J150"/>
    <mergeCell ref="D142:F142"/>
    <mergeCell ref="D143:F143"/>
    <mergeCell ref="D144:F144"/>
    <mergeCell ref="A146:J146"/>
    <mergeCell ref="A147:D147"/>
    <mergeCell ref="E147:J147"/>
    <mergeCell ref="A156:J157"/>
    <mergeCell ref="A158:I158"/>
    <mergeCell ref="A159:I159"/>
    <mergeCell ref="A151:D151"/>
    <mergeCell ref="E151:J151"/>
    <mergeCell ref="A152:D152"/>
    <mergeCell ref="E152:J152"/>
    <mergeCell ref="A153:J153"/>
    <mergeCell ref="A154:J155"/>
  </mergeCells>
  <hyperlinks>
    <hyperlink ref="G6" r:id="rId1" xr:uid="{B4242C34-1A3E-40D7-B224-A42B85F16623}"/>
    <hyperlink ref="G4" r:id="rId2" display="jchang.lax@oecgroup.com" xr:uid="{ADB5542F-AE64-450B-99AA-D6F66D479068}"/>
  </hyperlinks>
  <pageMargins left="0.35" right="0.35" top="0.35" bottom="0.35" header="0.3" footer="0.3"/>
  <pageSetup scale="49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58F7AD-CC83-4ECD-A00F-61CDE619FF94}">
          <x14:formula1>
            <xm:f>'C:\Users\twang\AppData\Local\Microsoft\Windows\Temporary Internet Files\Content.Outlook\U7WJNCNV\[QUOTE TEMPLATE 05-01-21.xltx]Sheet1'!#REF!</xm:f>
          </x14:formula1>
          <xm:sqref>C30:C32 C55:C60 Q13:Q14 C13:C28 C38:C44 C34:C36 C46:C49</xm:sqref>
        </x14:dataValidation>
        <x14:dataValidation type="list" allowBlank="1" showInputMessage="1" showErrorMessage="1" xr:uid="{F25A4989-21AF-4108-94B1-4D91C51B0C86}">
          <x14:formula1>
            <xm:f>'C:\Users\twang\AppData\Local\Microsoft\Windows\Temporary Internet Files\Content.Outlook\U7WJNCNV\[QUOTE TEMPLATE 05-01-21.xltx]Sheet1'!#REF!</xm:f>
          </x14:formula1>
          <xm:sqref>E71:E72 E74:E76 E66:E69 E30:E32 E13:E28 E38:E44 E55:E60 E34:E36 E46:E49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36748-B8E4-4645-9EBA-B41A65851547}">
  <sheetPr>
    <pageSetUpPr fitToPage="1"/>
  </sheetPr>
  <dimension ref="A1:AC180"/>
  <sheetViews>
    <sheetView zoomScale="70" zoomScaleNormal="70" zoomScaleSheetLayoutView="4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T30" sqref="T30"/>
    </sheetView>
  </sheetViews>
  <sheetFormatPr defaultColWidth="8.85546875" defaultRowHeight="15" x14ac:dyDescent="0.25"/>
  <cols>
    <col min="1" max="1" width="27.5703125" style="50" customWidth="1"/>
    <col min="2" max="2" width="55.28515625" style="50" customWidth="1"/>
    <col min="3" max="3" width="10.85546875" style="50" customWidth="1"/>
    <col min="4" max="4" width="23.140625" style="50" customWidth="1"/>
    <col min="5" max="5" width="16.7109375" style="50" customWidth="1"/>
    <col min="6" max="6" width="19.85546875" style="50" customWidth="1"/>
    <col min="7" max="7" width="19" style="50" customWidth="1"/>
    <col min="8" max="10" width="14" style="50" customWidth="1"/>
    <col min="11" max="11" width="3.28515625" style="50" customWidth="1"/>
    <col min="12" max="12" width="15.7109375" style="50" customWidth="1"/>
    <col min="13" max="13" width="16" style="50" customWidth="1"/>
    <col min="14" max="14" width="9.42578125" style="50" customWidth="1"/>
    <col min="15" max="15" width="10.7109375" style="50" bestFit="1" customWidth="1"/>
    <col min="16" max="16" width="17.28515625" style="50" customWidth="1"/>
    <col min="17" max="17" width="12.7109375" style="50" customWidth="1"/>
    <col min="18" max="18" width="0.28515625" style="50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44896</v>
      </c>
      <c r="C8" s="45" t="s">
        <v>91</v>
      </c>
      <c r="D8" s="44">
        <v>44926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383</v>
      </c>
      <c r="E13" s="95" t="s">
        <v>127</v>
      </c>
      <c r="F13" s="97" t="s">
        <v>422</v>
      </c>
      <c r="G13" s="98">
        <f>CEILING(S13+W13+X13+O13+N13+Y13,10)</f>
        <v>2920</v>
      </c>
      <c r="H13" s="99">
        <f>CEILING(T13+W13+X13+O13+N13+Z13,10)</f>
        <v>3060</v>
      </c>
      <c r="I13" s="99">
        <f>CEILING(U13+W13+X13+O13+N13+AA13,10)</f>
        <v>3060</v>
      </c>
      <c r="J13" s="99">
        <f>CEILING(V13+W13+X13+O13+N13+AB13,10)</f>
        <v>3440</v>
      </c>
      <c r="K13" s="57"/>
      <c r="L13" s="156" t="s">
        <v>384</v>
      </c>
      <c r="M13" s="52" t="s">
        <v>440</v>
      </c>
      <c r="N13" s="40">
        <f>50*7</f>
        <v>350</v>
      </c>
      <c r="O13" s="53">
        <f>VLOOKUP(B13,DRAYAGE!$A$1:$C$107,3,FALSE)</f>
        <v>1310</v>
      </c>
      <c r="P13" s="40" t="s">
        <v>347</v>
      </c>
      <c r="Q13" s="40" t="s">
        <v>445</v>
      </c>
      <c r="S13" s="101">
        <f t="shared" ref="S13:S28" si="0">0.9*T13</f>
        <v>1260</v>
      </c>
      <c r="T13" s="54">
        <f>1300+100</f>
        <v>1400</v>
      </c>
      <c r="U13" s="103">
        <f>T13</f>
        <v>1400</v>
      </c>
      <c r="V13" s="104">
        <f>U13*1.266</f>
        <v>1772.4</v>
      </c>
      <c r="X13" s="40">
        <v>0</v>
      </c>
    </row>
    <row r="14" spans="1:29" s="40" customFormat="1" ht="18.75" x14ac:dyDescent="0.25">
      <c r="A14" s="133" t="s">
        <v>55</v>
      </c>
      <c r="B14" s="51" t="s">
        <v>338</v>
      </c>
      <c r="C14" s="94" t="s">
        <v>54</v>
      </c>
      <c r="D14" s="95" t="s">
        <v>383</v>
      </c>
      <c r="E14" s="95" t="s">
        <v>127</v>
      </c>
      <c r="F14" s="97" t="s">
        <v>422</v>
      </c>
      <c r="G14" s="98">
        <f t="shared" ref="G14:G28" si="1">CEILING(S14+W14+X14+O14+N14+Y14,10)</f>
        <v>2920</v>
      </c>
      <c r="H14" s="99">
        <f t="shared" ref="H14:H28" si="2">CEILING(T14+W14+X14+O14+N14+Z14,10)</f>
        <v>3060</v>
      </c>
      <c r="I14" s="99">
        <f t="shared" ref="I14:I28" si="3">CEILING(U14+W14+X14+O14+N14+AA14,10)</f>
        <v>3060</v>
      </c>
      <c r="J14" s="99">
        <f t="shared" ref="J14:J28" si="4">CEILING(V14+W14+X14+O14+N14+AB14,10)</f>
        <v>3440</v>
      </c>
      <c r="K14" s="57"/>
      <c r="L14" s="156" t="s">
        <v>384</v>
      </c>
      <c r="M14" s="52" t="s">
        <v>440</v>
      </c>
      <c r="N14" s="40">
        <f t="shared" ref="N14:N27" si="5">50*7</f>
        <v>350</v>
      </c>
      <c r="O14" s="53">
        <f>VLOOKUP(B14,DRAYAGE!$A$1:$C$107,3,FALSE)</f>
        <v>1310</v>
      </c>
      <c r="P14" s="40" t="s">
        <v>347</v>
      </c>
      <c r="Q14" s="40" t="s">
        <v>445</v>
      </c>
      <c r="S14" s="101">
        <f t="shared" si="0"/>
        <v>1260</v>
      </c>
      <c r="T14" s="54">
        <f>T13</f>
        <v>1400</v>
      </c>
      <c r="U14" s="103">
        <f t="shared" ref="U14:U60" si="6">T14</f>
        <v>1400</v>
      </c>
      <c r="V14" s="104">
        <f t="shared" ref="V14:V19" si="7">U14*1.266</f>
        <v>1772.4</v>
      </c>
      <c r="X14" s="40">
        <v>0</v>
      </c>
    </row>
    <row r="15" spans="1:29" s="40" customFormat="1" ht="18.75" x14ac:dyDescent="0.25">
      <c r="A15" s="133" t="s">
        <v>56</v>
      </c>
      <c r="B15" s="51" t="s">
        <v>338</v>
      </c>
      <c r="C15" s="94" t="s">
        <v>54</v>
      </c>
      <c r="D15" s="95" t="s">
        <v>383</v>
      </c>
      <c r="E15" s="95" t="s">
        <v>127</v>
      </c>
      <c r="F15" s="97" t="s">
        <v>422</v>
      </c>
      <c r="G15" s="98">
        <f t="shared" si="1"/>
        <v>2920</v>
      </c>
      <c r="H15" s="99">
        <f t="shared" si="2"/>
        <v>3060</v>
      </c>
      <c r="I15" s="99">
        <f t="shared" si="3"/>
        <v>3060</v>
      </c>
      <c r="J15" s="99">
        <f t="shared" si="4"/>
        <v>3440</v>
      </c>
      <c r="K15" s="57"/>
      <c r="L15" s="156" t="s">
        <v>384</v>
      </c>
      <c r="M15" s="52" t="s">
        <v>440</v>
      </c>
      <c r="N15" s="40">
        <f t="shared" si="5"/>
        <v>350</v>
      </c>
      <c r="O15" s="53">
        <f>VLOOKUP(B15,DRAYAGE!$A$1:$C$107,3,FALSE)</f>
        <v>1310</v>
      </c>
      <c r="P15" s="40" t="s">
        <v>347</v>
      </c>
      <c r="Q15" s="40" t="s">
        <v>445</v>
      </c>
      <c r="S15" s="101">
        <f t="shared" si="0"/>
        <v>1260</v>
      </c>
      <c r="T15" s="54">
        <f>T14</f>
        <v>1400</v>
      </c>
      <c r="U15" s="103">
        <f t="shared" si="6"/>
        <v>1400</v>
      </c>
      <c r="V15" s="104">
        <f t="shared" si="7"/>
        <v>1772.4</v>
      </c>
      <c r="X15" s="40">
        <v>0</v>
      </c>
    </row>
    <row r="16" spans="1:29" s="40" customFormat="1" ht="18.75" x14ac:dyDescent="0.25">
      <c r="A16" s="133" t="s">
        <v>57</v>
      </c>
      <c r="B16" s="51" t="s">
        <v>338</v>
      </c>
      <c r="C16" s="94" t="s">
        <v>54</v>
      </c>
      <c r="D16" s="95" t="s">
        <v>383</v>
      </c>
      <c r="E16" s="95" t="s">
        <v>127</v>
      </c>
      <c r="F16" s="97" t="s">
        <v>422</v>
      </c>
      <c r="G16" s="98">
        <f t="shared" si="1"/>
        <v>2920</v>
      </c>
      <c r="H16" s="99">
        <f t="shared" si="2"/>
        <v>3060</v>
      </c>
      <c r="I16" s="99">
        <f t="shared" si="3"/>
        <v>3060</v>
      </c>
      <c r="J16" s="99">
        <f t="shared" si="4"/>
        <v>3440</v>
      </c>
      <c r="K16" s="57"/>
      <c r="L16" s="156" t="s">
        <v>384</v>
      </c>
      <c r="M16" s="52" t="s">
        <v>440</v>
      </c>
      <c r="N16" s="40">
        <f t="shared" si="5"/>
        <v>350</v>
      </c>
      <c r="O16" s="53">
        <f>VLOOKUP(B16,DRAYAGE!$A$1:$C$107,3,FALSE)</f>
        <v>1310</v>
      </c>
      <c r="P16" s="40" t="s">
        <v>347</v>
      </c>
      <c r="Q16" s="40" t="s">
        <v>445</v>
      </c>
      <c r="S16" s="101">
        <f t="shared" si="0"/>
        <v>1260</v>
      </c>
      <c r="T16" s="54">
        <f>T15</f>
        <v>1400</v>
      </c>
      <c r="U16" s="103">
        <f t="shared" si="6"/>
        <v>1400</v>
      </c>
      <c r="V16" s="104">
        <f t="shared" si="7"/>
        <v>1772.4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383</v>
      </c>
      <c r="E17" s="95" t="s">
        <v>127</v>
      </c>
      <c r="F17" s="97" t="s">
        <v>422</v>
      </c>
      <c r="G17" s="98">
        <f t="shared" si="1"/>
        <v>3060</v>
      </c>
      <c r="H17" s="99">
        <f t="shared" si="2"/>
        <v>3210</v>
      </c>
      <c r="I17" s="99">
        <f t="shared" si="3"/>
        <v>3210</v>
      </c>
      <c r="J17" s="99">
        <f t="shared" si="4"/>
        <v>3630</v>
      </c>
      <c r="K17" s="57"/>
      <c r="L17" s="156" t="s">
        <v>384</v>
      </c>
      <c r="M17" s="52" t="s">
        <v>440</v>
      </c>
      <c r="N17" s="40">
        <f t="shared" si="5"/>
        <v>350</v>
      </c>
      <c r="O17" s="53">
        <f>VLOOKUP(B17,DRAYAGE!$A$1:$C$107,3,FALSE)</f>
        <v>1310</v>
      </c>
      <c r="P17" s="40" t="s">
        <v>347</v>
      </c>
      <c r="Q17" s="40" t="s">
        <v>445</v>
      </c>
      <c r="S17" s="101">
        <f>0.9*T17</f>
        <v>1395</v>
      </c>
      <c r="T17" s="54">
        <f>1300+100+150</f>
        <v>1550</v>
      </c>
      <c r="U17" s="103">
        <f>T17</f>
        <v>1550</v>
      </c>
      <c r="V17" s="104">
        <f>U17*1.266</f>
        <v>1962.3</v>
      </c>
      <c r="X17" s="40">
        <v>0</v>
      </c>
    </row>
    <row r="18" spans="1:29" s="40" customFormat="1" ht="18.75" x14ac:dyDescent="0.25">
      <c r="A18" s="133" t="s">
        <v>366</v>
      </c>
      <c r="B18" s="51" t="s">
        <v>338</v>
      </c>
      <c r="C18" s="94" t="s">
        <v>54</v>
      </c>
      <c r="D18" s="95" t="s">
        <v>383</v>
      </c>
      <c r="E18" s="95" t="s">
        <v>127</v>
      </c>
      <c r="F18" s="97" t="s">
        <v>422</v>
      </c>
      <c r="G18" s="98">
        <f t="shared" si="1"/>
        <v>3150</v>
      </c>
      <c r="H18" s="99">
        <f t="shared" si="2"/>
        <v>3310</v>
      </c>
      <c r="I18" s="99">
        <f t="shared" si="3"/>
        <v>3310</v>
      </c>
      <c r="J18" s="99">
        <f t="shared" si="4"/>
        <v>3750</v>
      </c>
      <c r="K18" s="57"/>
      <c r="L18" s="156" t="s">
        <v>384</v>
      </c>
      <c r="M18" s="52" t="s">
        <v>440</v>
      </c>
      <c r="N18" s="40">
        <f t="shared" si="5"/>
        <v>350</v>
      </c>
      <c r="O18" s="53">
        <f>VLOOKUP(B18,DRAYAGE!$A$1:$C$107,3,FALSE)</f>
        <v>1310</v>
      </c>
      <c r="P18" s="40" t="s">
        <v>347</v>
      </c>
      <c r="Q18" s="40" t="s">
        <v>446</v>
      </c>
      <c r="S18" s="101">
        <f>0.9*T18</f>
        <v>1485</v>
      </c>
      <c r="T18" s="54">
        <f>1300+250+100</f>
        <v>1650</v>
      </c>
      <c r="U18" s="103">
        <f>T18</f>
        <v>1650</v>
      </c>
      <c r="V18" s="104">
        <f>U18*1.266</f>
        <v>2088.9</v>
      </c>
      <c r="X18" s="40">
        <v>0</v>
      </c>
    </row>
    <row r="19" spans="1:29" s="40" customFormat="1" ht="18.75" x14ac:dyDescent="0.25">
      <c r="A19" s="133" t="s">
        <v>59</v>
      </c>
      <c r="B19" s="51" t="s">
        <v>338</v>
      </c>
      <c r="C19" s="94" t="s">
        <v>54</v>
      </c>
      <c r="D19" s="95" t="s">
        <v>383</v>
      </c>
      <c r="E19" s="95" t="s">
        <v>127</v>
      </c>
      <c r="F19" s="97" t="s">
        <v>422</v>
      </c>
      <c r="G19" s="98">
        <f t="shared" si="1"/>
        <v>2920</v>
      </c>
      <c r="H19" s="99">
        <f t="shared" si="2"/>
        <v>3060</v>
      </c>
      <c r="I19" s="99">
        <f t="shared" si="3"/>
        <v>3060</v>
      </c>
      <c r="J19" s="99">
        <f t="shared" si="4"/>
        <v>3440</v>
      </c>
      <c r="K19" s="57"/>
      <c r="L19" s="156" t="s">
        <v>384</v>
      </c>
      <c r="M19" s="52" t="s">
        <v>440</v>
      </c>
      <c r="N19" s="40">
        <f t="shared" si="5"/>
        <v>350</v>
      </c>
      <c r="O19" s="53">
        <f>VLOOKUP(B19,DRAYAGE!$A$1:$C$107,3,FALSE)</f>
        <v>1310</v>
      </c>
      <c r="P19" s="40" t="s">
        <v>347</v>
      </c>
      <c r="Q19" s="40" t="s">
        <v>447</v>
      </c>
      <c r="S19" s="101">
        <f t="shared" si="0"/>
        <v>1260</v>
      </c>
      <c r="T19" s="54">
        <f>T13</f>
        <v>1400</v>
      </c>
      <c r="U19" s="103">
        <f t="shared" si="6"/>
        <v>1400</v>
      </c>
      <c r="V19" s="104">
        <f t="shared" si="7"/>
        <v>1772.4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383</v>
      </c>
      <c r="E20" s="95" t="s">
        <v>127</v>
      </c>
      <c r="F20" s="97" t="s">
        <v>422</v>
      </c>
      <c r="G20" s="98">
        <f t="shared" si="1"/>
        <v>2920</v>
      </c>
      <c r="H20" s="99">
        <f t="shared" si="2"/>
        <v>3060</v>
      </c>
      <c r="I20" s="99">
        <f t="shared" si="3"/>
        <v>3060</v>
      </c>
      <c r="J20" s="99">
        <f t="shared" si="4"/>
        <v>3440</v>
      </c>
      <c r="K20" s="57"/>
      <c r="L20" s="156" t="s">
        <v>384</v>
      </c>
      <c r="M20" s="52" t="s">
        <v>440</v>
      </c>
      <c r="N20" s="40">
        <f t="shared" si="5"/>
        <v>350</v>
      </c>
      <c r="O20" s="53">
        <f>VLOOKUP(B20,DRAYAGE!$A$1:$C$107,3,FALSE)</f>
        <v>1310</v>
      </c>
      <c r="P20" s="40" t="s">
        <v>347</v>
      </c>
      <c r="Q20" s="40" t="s">
        <v>448</v>
      </c>
      <c r="S20" s="101">
        <f t="shared" si="0"/>
        <v>1260</v>
      </c>
      <c r="T20" s="54">
        <f>T13</f>
        <v>1400</v>
      </c>
      <c r="U20" s="103">
        <f t="shared" si="6"/>
        <v>1400</v>
      </c>
      <c r="V20" s="104">
        <f>U20*1.266</f>
        <v>1772.4</v>
      </c>
      <c r="X20" s="40">
        <v>0</v>
      </c>
    </row>
    <row r="21" spans="1:29" s="40" customFormat="1" ht="18.75" x14ac:dyDescent="0.25">
      <c r="A21" s="133" t="s">
        <v>376</v>
      </c>
      <c r="B21" s="51" t="s">
        <v>338</v>
      </c>
      <c r="C21" s="94" t="s">
        <v>54</v>
      </c>
      <c r="D21" s="95" t="s">
        <v>383</v>
      </c>
      <c r="E21" s="95" t="s">
        <v>127</v>
      </c>
      <c r="F21" s="97" t="s">
        <v>422</v>
      </c>
      <c r="G21" s="98">
        <f t="shared" si="1"/>
        <v>2920</v>
      </c>
      <c r="H21" s="99">
        <f t="shared" si="2"/>
        <v>3060</v>
      </c>
      <c r="I21" s="99">
        <f t="shared" si="3"/>
        <v>3060</v>
      </c>
      <c r="J21" s="99">
        <f t="shared" si="4"/>
        <v>3440</v>
      </c>
      <c r="K21" s="57"/>
      <c r="L21" s="156" t="s">
        <v>384</v>
      </c>
      <c r="M21" s="52" t="s">
        <v>440</v>
      </c>
      <c r="N21" s="40">
        <f t="shared" si="5"/>
        <v>350</v>
      </c>
      <c r="O21" s="53">
        <f>VLOOKUP(B21,DRAYAGE!$A$1:$C$107,3,FALSE)</f>
        <v>1310</v>
      </c>
      <c r="P21" s="40" t="s">
        <v>347</v>
      </c>
      <c r="Q21" s="40" t="s">
        <v>449</v>
      </c>
      <c r="S21" s="101">
        <f t="shared" si="0"/>
        <v>1260</v>
      </c>
      <c r="T21" s="54">
        <f>T13</f>
        <v>1400</v>
      </c>
      <c r="U21" s="103">
        <f t="shared" si="6"/>
        <v>1400</v>
      </c>
      <c r="V21" s="104">
        <f t="shared" ref="V21:V28" si="8">U21*1.266</f>
        <v>1772.4</v>
      </c>
      <c r="X21" s="40">
        <v>0</v>
      </c>
    </row>
    <row r="22" spans="1:29" s="40" customFormat="1" ht="18.75" x14ac:dyDescent="0.25">
      <c r="A22" s="133" t="s">
        <v>108</v>
      </c>
      <c r="B22" s="51" t="s">
        <v>338</v>
      </c>
      <c r="C22" s="94" t="s">
        <v>54</v>
      </c>
      <c r="D22" s="95" t="s">
        <v>383</v>
      </c>
      <c r="E22" s="95" t="s">
        <v>127</v>
      </c>
      <c r="F22" s="97" t="s">
        <v>422</v>
      </c>
      <c r="G22" s="98">
        <f t="shared" si="1"/>
        <v>2920</v>
      </c>
      <c r="H22" s="99">
        <f t="shared" si="2"/>
        <v>3060</v>
      </c>
      <c r="I22" s="99">
        <f t="shared" si="3"/>
        <v>3060</v>
      </c>
      <c r="J22" s="99">
        <f t="shared" si="4"/>
        <v>3440</v>
      </c>
      <c r="K22" s="57"/>
      <c r="L22" s="156" t="s">
        <v>384</v>
      </c>
      <c r="M22" s="52" t="s">
        <v>440</v>
      </c>
      <c r="N22" s="40">
        <f t="shared" si="5"/>
        <v>350</v>
      </c>
      <c r="O22" s="53">
        <f>VLOOKUP(B22,DRAYAGE!$A$1:$C$107,3,FALSE)</f>
        <v>1310</v>
      </c>
      <c r="P22" s="40" t="s">
        <v>347</v>
      </c>
      <c r="Q22" s="40" t="s">
        <v>450</v>
      </c>
      <c r="S22" s="101">
        <f t="shared" si="0"/>
        <v>1260</v>
      </c>
      <c r="T22" s="54">
        <f>T16</f>
        <v>1400</v>
      </c>
      <c r="U22" s="103">
        <f t="shared" si="6"/>
        <v>1400</v>
      </c>
      <c r="V22" s="104">
        <f t="shared" si="8"/>
        <v>1772.4</v>
      </c>
      <c r="X22" s="40">
        <v>0</v>
      </c>
    </row>
    <row r="23" spans="1:29" s="40" customFormat="1" ht="18.75" x14ac:dyDescent="0.25">
      <c r="A23" s="133" t="s">
        <v>62</v>
      </c>
      <c r="B23" s="51" t="s">
        <v>338</v>
      </c>
      <c r="C23" s="94" t="s">
        <v>54</v>
      </c>
      <c r="D23" s="95" t="s">
        <v>383</v>
      </c>
      <c r="E23" s="95" t="s">
        <v>127</v>
      </c>
      <c r="F23" s="97" t="s">
        <v>422</v>
      </c>
      <c r="G23" s="98">
        <f t="shared" si="1"/>
        <v>2920</v>
      </c>
      <c r="H23" s="99">
        <f t="shared" si="2"/>
        <v>3060</v>
      </c>
      <c r="I23" s="99">
        <f t="shared" si="3"/>
        <v>3060</v>
      </c>
      <c r="J23" s="99">
        <f t="shared" si="4"/>
        <v>3440</v>
      </c>
      <c r="K23" s="57"/>
      <c r="L23" s="156" t="s">
        <v>384</v>
      </c>
      <c r="M23" s="52" t="s">
        <v>440</v>
      </c>
      <c r="N23" s="40">
        <f t="shared" si="5"/>
        <v>350</v>
      </c>
      <c r="O23" s="53">
        <f>VLOOKUP(B23,DRAYAGE!$A$1:$C$107,3,FALSE)</f>
        <v>1310</v>
      </c>
      <c r="P23" s="40" t="s">
        <v>347</v>
      </c>
      <c r="Q23" s="40" t="s">
        <v>451</v>
      </c>
      <c r="S23" s="101">
        <f t="shared" si="0"/>
        <v>1260</v>
      </c>
      <c r="T23" s="54">
        <f>T16</f>
        <v>1400</v>
      </c>
      <c r="U23" s="103">
        <f t="shared" si="6"/>
        <v>1400</v>
      </c>
      <c r="V23" s="104">
        <f t="shared" si="8"/>
        <v>1772.4</v>
      </c>
      <c r="X23" s="40">
        <v>0</v>
      </c>
      <c r="Y23" s="40">
        <f>0.9*Z23</f>
        <v>0</v>
      </c>
      <c r="AA23" s="40">
        <f>Z23</f>
        <v>0</v>
      </c>
      <c r="AB23" s="40">
        <f>Z23*1.266</f>
        <v>0</v>
      </c>
    </row>
    <row r="24" spans="1:29" s="40" customFormat="1" ht="18.75" x14ac:dyDescent="0.25">
      <c r="A24" s="133" t="s">
        <v>66</v>
      </c>
      <c r="B24" s="51" t="s">
        <v>338</v>
      </c>
      <c r="C24" s="94" t="s">
        <v>54</v>
      </c>
      <c r="D24" s="95" t="s">
        <v>383</v>
      </c>
      <c r="E24" s="95" t="s">
        <v>127</v>
      </c>
      <c r="F24" s="97" t="s">
        <v>422</v>
      </c>
      <c r="G24" s="98">
        <f t="shared" si="1"/>
        <v>3150</v>
      </c>
      <c r="H24" s="99">
        <f t="shared" si="2"/>
        <v>3310</v>
      </c>
      <c r="I24" s="99">
        <f t="shared" si="3"/>
        <v>3310</v>
      </c>
      <c r="J24" s="99">
        <f t="shared" si="4"/>
        <v>3750</v>
      </c>
      <c r="K24" s="57"/>
      <c r="L24" s="156" t="s">
        <v>384</v>
      </c>
      <c r="M24" s="52" t="s">
        <v>440</v>
      </c>
      <c r="N24" s="40">
        <f t="shared" si="5"/>
        <v>350</v>
      </c>
      <c r="O24" s="53">
        <f>VLOOKUP(B24,DRAYAGE!$A$1:$C$107,3,FALSE)</f>
        <v>1310</v>
      </c>
      <c r="P24" s="40" t="s">
        <v>347</v>
      </c>
      <c r="Q24" s="40" t="s">
        <v>452</v>
      </c>
      <c r="S24" s="101">
        <f t="shared" si="0"/>
        <v>1485</v>
      </c>
      <c r="T24" s="54">
        <f>1400+250</f>
        <v>1650</v>
      </c>
      <c r="U24" s="103">
        <f t="shared" si="6"/>
        <v>1650</v>
      </c>
      <c r="V24" s="104">
        <f t="shared" si="8"/>
        <v>2088.9</v>
      </c>
      <c r="X24" s="40">
        <v>0</v>
      </c>
    </row>
    <row r="25" spans="1:29" s="40" customFormat="1" ht="18.75" x14ac:dyDescent="0.25">
      <c r="A25" s="133" t="s">
        <v>65</v>
      </c>
      <c r="B25" s="51" t="s">
        <v>338</v>
      </c>
      <c r="C25" s="94" t="s">
        <v>54</v>
      </c>
      <c r="D25" s="95" t="s">
        <v>383</v>
      </c>
      <c r="E25" s="95" t="s">
        <v>127</v>
      </c>
      <c r="F25" s="97" t="s">
        <v>422</v>
      </c>
      <c r="G25" s="98">
        <f t="shared" si="1"/>
        <v>3150</v>
      </c>
      <c r="H25" s="99">
        <f t="shared" si="2"/>
        <v>3310</v>
      </c>
      <c r="I25" s="99">
        <f t="shared" si="3"/>
        <v>3310</v>
      </c>
      <c r="J25" s="99">
        <f t="shared" si="4"/>
        <v>3750</v>
      </c>
      <c r="K25" s="57"/>
      <c r="L25" s="156" t="s">
        <v>384</v>
      </c>
      <c r="M25" s="52" t="s">
        <v>440</v>
      </c>
      <c r="N25" s="40">
        <f t="shared" si="5"/>
        <v>350</v>
      </c>
      <c r="O25" s="53">
        <f>VLOOKUP(B25,DRAYAGE!$A$1:$C$107,3,FALSE)</f>
        <v>1310</v>
      </c>
      <c r="P25" s="40" t="s">
        <v>347</v>
      </c>
      <c r="Q25" s="40" t="s">
        <v>453</v>
      </c>
      <c r="S25" s="101">
        <f t="shared" si="0"/>
        <v>1485</v>
      </c>
      <c r="T25" s="54">
        <f>T20+250</f>
        <v>1650</v>
      </c>
      <c r="U25" s="103">
        <f t="shared" si="6"/>
        <v>1650</v>
      </c>
      <c r="V25" s="104">
        <f t="shared" si="8"/>
        <v>2088.9</v>
      </c>
      <c r="X25" s="40">
        <v>0</v>
      </c>
      <c r="Y25" s="40">
        <f>0.9*Z25</f>
        <v>0</v>
      </c>
      <c r="AA25" s="40">
        <f>Z25</f>
        <v>0</v>
      </c>
      <c r="AB25" s="40">
        <f>Z25*1.266</f>
        <v>0</v>
      </c>
    </row>
    <row r="26" spans="1:29" s="40" customFormat="1" ht="18.75" x14ac:dyDescent="0.25">
      <c r="A26" s="133" t="s">
        <v>63</v>
      </c>
      <c r="B26" s="51" t="s">
        <v>338</v>
      </c>
      <c r="C26" s="94" t="s">
        <v>54</v>
      </c>
      <c r="D26" s="95" t="s">
        <v>383</v>
      </c>
      <c r="E26" s="95" t="s">
        <v>127</v>
      </c>
      <c r="F26" s="97" t="s">
        <v>422</v>
      </c>
      <c r="G26" s="98">
        <f t="shared" si="1"/>
        <v>3100</v>
      </c>
      <c r="H26" s="99">
        <f t="shared" si="2"/>
        <v>3260</v>
      </c>
      <c r="I26" s="99">
        <f t="shared" si="3"/>
        <v>3260</v>
      </c>
      <c r="J26" s="99">
        <f t="shared" si="4"/>
        <v>3690</v>
      </c>
      <c r="K26" s="57"/>
      <c r="L26" s="156" t="s">
        <v>384</v>
      </c>
      <c r="M26" s="52" t="s">
        <v>440</v>
      </c>
      <c r="N26" s="40">
        <f t="shared" si="5"/>
        <v>350</v>
      </c>
      <c r="O26" s="53">
        <f>VLOOKUP(B26,DRAYAGE!$A$1:$C$107,3,FALSE)</f>
        <v>1310</v>
      </c>
      <c r="P26" s="40" t="s">
        <v>347</v>
      </c>
      <c r="Q26" s="40" t="s">
        <v>454</v>
      </c>
      <c r="S26" s="101">
        <f t="shared" si="0"/>
        <v>1440</v>
      </c>
      <c r="T26" s="54">
        <f>T20+200</f>
        <v>1600</v>
      </c>
      <c r="U26" s="103">
        <f t="shared" si="6"/>
        <v>1600</v>
      </c>
      <c r="V26" s="104">
        <f t="shared" si="8"/>
        <v>2025.6</v>
      </c>
      <c r="X26" s="40">
        <v>0</v>
      </c>
      <c r="Y26" s="40">
        <f>0.9*Z26</f>
        <v>0</v>
      </c>
      <c r="AA26" s="40">
        <f>Z26</f>
        <v>0</v>
      </c>
      <c r="AB26" s="40">
        <f>Z26*1.266</f>
        <v>0</v>
      </c>
    </row>
    <row r="27" spans="1:29" s="45" customFormat="1" ht="18.75" x14ac:dyDescent="0.25">
      <c r="A27" s="133" t="s">
        <v>275</v>
      </c>
      <c r="B27" s="51" t="s">
        <v>338</v>
      </c>
      <c r="C27" s="106" t="s">
        <v>54</v>
      </c>
      <c r="D27" s="95" t="s">
        <v>383</v>
      </c>
      <c r="E27" s="95" t="s">
        <v>127</v>
      </c>
      <c r="F27" s="97" t="s">
        <v>422</v>
      </c>
      <c r="G27" s="98">
        <f t="shared" si="1"/>
        <v>3100</v>
      </c>
      <c r="H27" s="99">
        <f t="shared" si="2"/>
        <v>3260</v>
      </c>
      <c r="I27" s="99">
        <f t="shared" si="3"/>
        <v>3260</v>
      </c>
      <c r="J27" s="99">
        <f t="shared" si="4"/>
        <v>3690</v>
      </c>
      <c r="K27" s="111"/>
      <c r="L27" s="156" t="s">
        <v>384</v>
      </c>
      <c r="M27" s="52" t="s">
        <v>440</v>
      </c>
      <c r="N27" s="40">
        <f t="shared" si="5"/>
        <v>350</v>
      </c>
      <c r="O27" s="53">
        <f>VLOOKUP(B27,DRAYAGE!$A$1:$C$107,3,FALSE)</f>
        <v>1310</v>
      </c>
      <c r="P27" s="40" t="s">
        <v>347</v>
      </c>
      <c r="Q27" s="40" t="s">
        <v>455</v>
      </c>
      <c r="R27" s="105"/>
      <c r="S27" s="113">
        <f t="shared" si="0"/>
        <v>1440</v>
      </c>
      <c r="T27" s="54">
        <f>T20+200</f>
        <v>1600</v>
      </c>
      <c r="U27" s="103">
        <f t="shared" si="6"/>
        <v>1600</v>
      </c>
      <c r="V27" s="114">
        <f t="shared" si="8"/>
        <v>2025.6</v>
      </c>
      <c r="X27" s="45">
        <v>0</v>
      </c>
      <c r="Y27" s="40">
        <f>0.9*Z27</f>
        <v>0</v>
      </c>
      <c r="AA27" s="40">
        <f>Z27</f>
        <v>0</v>
      </c>
      <c r="AB27" s="40">
        <f>Z27*1.266</f>
        <v>0</v>
      </c>
    </row>
    <row r="28" spans="1:29" s="45" customFormat="1" ht="18.75" x14ac:dyDescent="0.25">
      <c r="A28" s="133" t="s">
        <v>437</v>
      </c>
      <c r="B28" s="51" t="s">
        <v>338</v>
      </c>
      <c r="C28" s="106" t="s">
        <v>54</v>
      </c>
      <c r="D28" s="95" t="s">
        <v>383</v>
      </c>
      <c r="E28" s="95" t="s">
        <v>127</v>
      </c>
      <c r="F28" s="97" t="s">
        <v>422</v>
      </c>
      <c r="G28" s="98">
        <f t="shared" si="1"/>
        <v>3010</v>
      </c>
      <c r="H28" s="99">
        <f t="shared" si="2"/>
        <v>3160</v>
      </c>
      <c r="I28" s="99">
        <f t="shared" si="3"/>
        <v>3160</v>
      </c>
      <c r="J28" s="99">
        <f t="shared" si="4"/>
        <v>3560</v>
      </c>
      <c r="K28" s="111"/>
      <c r="L28" s="156" t="s">
        <v>384</v>
      </c>
      <c r="M28" s="52" t="s">
        <v>440</v>
      </c>
      <c r="N28" s="40">
        <v>350</v>
      </c>
      <c r="O28" s="53">
        <v>1310</v>
      </c>
      <c r="P28" s="40" t="s">
        <v>347</v>
      </c>
      <c r="Q28" s="40" t="s">
        <v>456</v>
      </c>
      <c r="R28" s="113">
        <v>1620</v>
      </c>
      <c r="S28" s="113">
        <f t="shared" si="0"/>
        <v>1350</v>
      </c>
      <c r="T28" s="54">
        <f>1300+100+100</f>
        <v>1500</v>
      </c>
      <c r="U28" s="103">
        <f t="shared" si="6"/>
        <v>1500</v>
      </c>
      <c r="V28" s="114">
        <f t="shared" si="8"/>
        <v>1899</v>
      </c>
      <c r="W28" s="45">
        <v>0</v>
      </c>
      <c r="X28" s="40">
        <v>0</v>
      </c>
      <c r="Z28" s="40">
        <v>0</v>
      </c>
      <c r="AA28" s="40">
        <v>0</v>
      </c>
    </row>
    <row r="29" spans="1:29" s="40" customFormat="1" ht="14.45" customHeight="1" x14ac:dyDescent="0.25">
      <c r="A29" s="134" t="s">
        <v>333</v>
      </c>
      <c r="B29" s="88"/>
      <c r="C29" s="88"/>
      <c r="D29" s="88"/>
      <c r="E29" s="210"/>
      <c r="F29" s="211"/>
      <c r="G29" s="88"/>
      <c r="H29" s="88"/>
      <c r="I29" s="88"/>
      <c r="J29" s="88"/>
      <c r="K29" s="57"/>
      <c r="L29" s="89" t="s">
        <v>48</v>
      </c>
      <c r="M29" s="89" t="s">
        <v>261</v>
      </c>
      <c r="N29" s="90" t="s">
        <v>51</v>
      </c>
      <c r="O29" s="91" t="s">
        <v>50</v>
      </c>
      <c r="P29" s="91" t="s">
        <v>262</v>
      </c>
      <c r="Q29" s="91" t="s">
        <v>263</v>
      </c>
      <c r="R29" s="91" t="s">
        <v>264</v>
      </c>
      <c r="S29" s="92" t="s">
        <v>52</v>
      </c>
      <c r="T29" s="92" t="s">
        <v>53</v>
      </c>
      <c r="U29" s="92" t="s">
        <v>265</v>
      </c>
      <c r="V29" s="92" t="s">
        <v>266</v>
      </c>
      <c r="W29" s="92" t="s">
        <v>267</v>
      </c>
      <c r="X29" s="92" t="s">
        <v>268</v>
      </c>
      <c r="Y29" s="92" t="s">
        <v>52</v>
      </c>
      <c r="Z29" s="92" t="s">
        <v>53</v>
      </c>
      <c r="AA29" s="92" t="s">
        <v>265</v>
      </c>
      <c r="AB29" s="92" t="s">
        <v>266</v>
      </c>
      <c r="AC29" s="93" t="s">
        <v>269</v>
      </c>
    </row>
    <row r="30" spans="1:29" s="40" customFormat="1" ht="14.45" customHeight="1" x14ac:dyDescent="0.25">
      <c r="A30" s="133" t="s">
        <v>58</v>
      </c>
      <c r="B30" s="51" t="s">
        <v>339</v>
      </c>
      <c r="C30" s="94" t="s">
        <v>54</v>
      </c>
      <c r="D30" s="95" t="s">
        <v>383</v>
      </c>
      <c r="E30" s="96" t="s">
        <v>114</v>
      </c>
      <c r="F30" s="97" t="s">
        <v>270</v>
      </c>
      <c r="G30" s="98">
        <f>CEILING(S30+W30+X30+O30+N30+Y30,10)</f>
        <v>5820</v>
      </c>
      <c r="H30" s="99">
        <f>CEILING(T30+W30+X30+O30+N30+Z30,10)</f>
        <v>6170</v>
      </c>
      <c r="I30" s="99">
        <f>CEILING(U30+W30+X30+O30+N30+AA30,10)</f>
        <v>6170</v>
      </c>
      <c r="J30" s="99">
        <f>CEILING(V30+W30+X30+O30+N30+AB30,10)</f>
        <v>7100</v>
      </c>
      <c r="K30" s="57"/>
      <c r="L30" s="156" t="s">
        <v>384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Q30" s="40" t="s">
        <v>442</v>
      </c>
      <c r="S30" s="101">
        <f>0.9*T30</f>
        <v>3150</v>
      </c>
      <c r="T30" s="54">
        <f>3000+300+200</f>
        <v>3500</v>
      </c>
      <c r="U30" s="103">
        <f t="shared" si="6"/>
        <v>3500</v>
      </c>
      <c r="V30" s="104">
        <f>U30*1.266</f>
        <v>4431</v>
      </c>
    </row>
    <row r="31" spans="1:29" s="40" customFormat="1" ht="14.45" customHeight="1" x14ac:dyDescent="0.25">
      <c r="A31" s="133" t="s">
        <v>55</v>
      </c>
      <c r="B31" s="51" t="s">
        <v>339</v>
      </c>
      <c r="C31" s="94" t="s">
        <v>54</v>
      </c>
      <c r="D31" s="95" t="s">
        <v>383</v>
      </c>
      <c r="E31" s="96" t="s">
        <v>114</v>
      </c>
      <c r="F31" s="97" t="s">
        <v>270</v>
      </c>
      <c r="G31" s="98">
        <f>CEILING(S31+W31+X31+O31+N31+Y31,10)</f>
        <v>5550</v>
      </c>
      <c r="H31" s="99">
        <f>CEILING(T31+W31+X31+O31+N31+Z31,10)</f>
        <v>5870</v>
      </c>
      <c r="I31" s="99">
        <f>CEILING(U31+W31+X31+O31+N31+AA31,10)</f>
        <v>5870</v>
      </c>
      <c r="J31" s="99">
        <f>CEILING(V31+W31+X31+O31+N31+AB31,10)</f>
        <v>6720</v>
      </c>
      <c r="K31" s="57"/>
      <c r="L31" s="156" t="s">
        <v>384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Q31" s="40" t="s">
        <v>443</v>
      </c>
      <c r="S31" s="101">
        <f>0.9*T31</f>
        <v>2880</v>
      </c>
      <c r="T31" s="54">
        <f>3000+200</f>
        <v>3200</v>
      </c>
      <c r="U31" s="103">
        <f t="shared" si="6"/>
        <v>3200</v>
      </c>
      <c r="V31" s="104">
        <f>U31*1.266</f>
        <v>4051.2</v>
      </c>
    </row>
    <row r="32" spans="1:29" s="40" customFormat="1" ht="14.45" customHeight="1" x14ac:dyDescent="0.25">
      <c r="A32" s="133" t="s">
        <v>61</v>
      </c>
      <c r="B32" s="51" t="s">
        <v>339</v>
      </c>
      <c r="C32" s="94" t="s">
        <v>54</v>
      </c>
      <c r="D32" s="95" t="s">
        <v>383</v>
      </c>
      <c r="E32" s="96" t="s">
        <v>114</v>
      </c>
      <c r="F32" s="97" t="s">
        <v>270</v>
      </c>
      <c r="G32" s="98">
        <f>CEILING(S32+W32+X32+O32+N32+Y32,10)</f>
        <v>5550</v>
      </c>
      <c r="H32" s="99">
        <f>CEILING(T32+W32+X32+O32+N32+Z32,10)</f>
        <v>5870</v>
      </c>
      <c r="I32" s="99">
        <f>CEILING(U32+W32+X32+O32+N32+AA32,10)</f>
        <v>5870</v>
      </c>
      <c r="J32" s="99">
        <f>CEILING(V32+W32+X32+O32+N32+AB32,10)</f>
        <v>6720</v>
      </c>
      <c r="K32" s="57"/>
      <c r="L32" s="156" t="s">
        <v>384</v>
      </c>
      <c r="M32" s="52" t="s">
        <v>293</v>
      </c>
      <c r="N32" s="40">
        <v>0</v>
      </c>
      <c r="O32" s="53">
        <f>VLOOKUP(B32,DRAYAGE!$A$1:$C$107,3,FALSE)</f>
        <v>2665</v>
      </c>
      <c r="P32" s="40" t="s">
        <v>299</v>
      </c>
      <c r="Q32" s="40" t="s">
        <v>444</v>
      </c>
      <c r="S32" s="101">
        <f>0.9*T32</f>
        <v>2880</v>
      </c>
      <c r="T32" s="54">
        <f>T31</f>
        <v>3200</v>
      </c>
      <c r="U32" s="103">
        <f t="shared" si="6"/>
        <v>3200</v>
      </c>
      <c r="V32" s="104">
        <f>U32*1.266</f>
        <v>4051.2</v>
      </c>
    </row>
    <row r="33" spans="1:29" s="40" customFormat="1" ht="14.45" customHeight="1" x14ac:dyDescent="0.25">
      <c r="A33" s="134" t="s">
        <v>334</v>
      </c>
      <c r="B33" s="88"/>
      <c r="C33" s="88"/>
      <c r="D33" s="88"/>
      <c r="E33" s="210"/>
      <c r="F33" s="211"/>
      <c r="G33" s="88"/>
      <c r="H33" s="88"/>
      <c r="I33" s="88"/>
      <c r="J33" s="88"/>
      <c r="K33" s="57"/>
      <c r="L33" s="89" t="s">
        <v>48</v>
      </c>
      <c r="M33" s="89" t="s">
        <v>261</v>
      </c>
      <c r="N33" s="90" t="s">
        <v>51</v>
      </c>
      <c r="O33" s="91" t="s">
        <v>50</v>
      </c>
      <c r="P33" s="91" t="s">
        <v>262</v>
      </c>
      <c r="Q33" s="91" t="s">
        <v>263</v>
      </c>
      <c r="R33" s="91" t="s">
        <v>264</v>
      </c>
      <c r="S33" s="92" t="s">
        <v>52</v>
      </c>
      <c r="T33" s="92" t="s">
        <v>53</v>
      </c>
      <c r="U33" s="92" t="s">
        <v>265</v>
      </c>
      <c r="V33" s="92" t="s">
        <v>266</v>
      </c>
      <c r="W33" s="92" t="s">
        <v>267</v>
      </c>
      <c r="X33" s="92" t="s">
        <v>268</v>
      </c>
      <c r="Y33" s="92" t="s">
        <v>52</v>
      </c>
      <c r="Z33" s="92" t="s">
        <v>53</v>
      </c>
      <c r="AA33" s="92" t="s">
        <v>265</v>
      </c>
      <c r="AB33" s="92" t="s">
        <v>266</v>
      </c>
      <c r="AC33" s="93" t="s">
        <v>269</v>
      </c>
    </row>
    <row r="34" spans="1:29" s="40" customFormat="1" ht="14.45" customHeight="1" x14ac:dyDescent="0.25">
      <c r="A34" s="133" t="s">
        <v>58</v>
      </c>
      <c r="B34" s="51" t="s">
        <v>341</v>
      </c>
      <c r="C34" s="94" t="s">
        <v>54</v>
      </c>
      <c r="D34" s="95" t="s">
        <v>383</v>
      </c>
      <c r="E34" s="96" t="s">
        <v>114</v>
      </c>
      <c r="F34" s="97" t="s">
        <v>270</v>
      </c>
      <c r="G34" s="98">
        <f>CEILING(S34+W34+X34+O34+N34+Y34,10)</f>
        <v>4840</v>
      </c>
      <c r="H34" s="99">
        <f>CEILING(T34+W34+X34+O34+N34+Z34,10)</f>
        <v>5190</v>
      </c>
      <c r="I34" s="99">
        <f>CEILING(U34+W34+X34+O34+N34+AA34,10)</f>
        <v>5190</v>
      </c>
      <c r="J34" s="99">
        <f>CEILING(V34+W34+X34+O34+N34+AB34,10)</f>
        <v>6130</v>
      </c>
      <c r="K34" s="57"/>
      <c r="L34" s="156" t="s">
        <v>384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Q34" s="40" t="s">
        <v>457</v>
      </c>
      <c r="S34" s="101">
        <f>0.9*T34</f>
        <v>3150</v>
      </c>
      <c r="T34" s="54">
        <f>T30</f>
        <v>3500</v>
      </c>
      <c r="U34" s="103">
        <f t="shared" si="6"/>
        <v>3500</v>
      </c>
      <c r="V34" s="104">
        <f>U34*1.266</f>
        <v>4431</v>
      </c>
      <c r="X34" s="40">
        <v>0</v>
      </c>
    </row>
    <row r="35" spans="1:29" s="40" customFormat="1" ht="14.45" customHeight="1" x14ac:dyDescent="0.25">
      <c r="A35" s="133" t="s">
        <v>55</v>
      </c>
      <c r="B35" s="51" t="s">
        <v>341</v>
      </c>
      <c r="C35" s="94" t="s">
        <v>54</v>
      </c>
      <c r="D35" s="95" t="s">
        <v>383</v>
      </c>
      <c r="E35" s="96" t="s">
        <v>114</v>
      </c>
      <c r="F35" s="97" t="s">
        <v>270</v>
      </c>
      <c r="G35" s="98">
        <f>CEILING(S35+W35+X35+O35+N35+Y35,10)</f>
        <v>4570</v>
      </c>
      <c r="H35" s="99">
        <f>CEILING(T35+W35+X35+O35+N35+Z35,10)</f>
        <v>4890</v>
      </c>
      <c r="I35" s="99">
        <f>CEILING(U35+W35+X35+O35+N35+AA35,10)</f>
        <v>4890</v>
      </c>
      <c r="J35" s="99">
        <f>CEILING(V35+W35+X35+O35+N35+AB35,10)</f>
        <v>5750</v>
      </c>
      <c r="K35" s="57"/>
      <c r="L35" s="156" t="s">
        <v>384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Q35" s="40" t="s">
        <v>458</v>
      </c>
      <c r="S35" s="101">
        <f>0.9*T35</f>
        <v>2880</v>
      </c>
      <c r="T35" s="54">
        <f>T31</f>
        <v>3200</v>
      </c>
      <c r="U35" s="103">
        <f t="shared" si="6"/>
        <v>3200</v>
      </c>
      <c r="V35" s="104">
        <f>U35*1.266</f>
        <v>4051.2</v>
      </c>
      <c r="X35" s="40">
        <v>0</v>
      </c>
    </row>
    <row r="36" spans="1:29" s="40" customFormat="1" ht="14.45" customHeight="1" x14ac:dyDescent="0.25">
      <c r="A36" s="133" t="s">
        <v>61</v>
      </c>
      <c r="B36" s="51" t="s">
        <v>341</v>
      </c>
      <c r="C36" s="94" t="s">
        <v>54</v>
      </c>
      <c r="D36" s="95" t="s">
        <v>383</v>
      </c>
      <c r="E36" s="96" t="s">
        <v>114</v>
      </c>
      <c r="F36" s="97" t="s">
        <v>270</v>
      </c>
      <c r="G36" s="98">
        <f>CEILING(S36+W36+X36+O36+N36+Y36,10)</f>
        <v>4570</v>
      </c>
      <c r="H36" s="99">
        <f>CEILING(T36+W36+X36+O36+N36+Z36,10)</f>
        <v>4890</v>
      </c>
      <c r="I36" s="99">
        <f>CEILING(U36+W36+X36+O36+N36+AA36,10)</f>
        <v>4890</v>
      </c>
      <c r="J36" s="99">
        <f>CEILING(V36+W36+X36+O36+N36+AB36,10)</f>
        <v>5750</v>
      </c>
      <c r="K36" s="57"/>
      <c r="L36" s="156" t="s">
        <v>384</v>
      </c>
      <c r="M36" s="52" t="s">
        <v>293</v>
      </c>
      <c r="N36" s="40">
        <v>0</v>
      </c>
      <c r="O36" s="53">
        <f>VLOOKUP(B36,DRAYAGE!$A$1:$C$107,3,FALSE)</f>
        <v>1690</v>
      </c>
      <c r="P36" s="40" t="s">
        <v>299</v>
      </c>
      <c r="Q36" s="40" t="s">
        <v>459</v>
      </c>
      <c r="S36" s="101">
        <f>0.9*T36</f>
        <v>2880</v>
      </c>
      <c r="T36" s="54">
        <f>T32</f>
        <v>3200</v>
      </c>
      <c r="U36" s="103">
        <f t="shared" si="6"/>
        <v>3200</v>
      </c>
      <c r="V36" s="104">
        <f>U36*1.266</f>
        <v>4051.2</v>
      </c>
      <c r="X36" s="40">
        <v>0</v>
      </c>
    </row>
    <row r="37" spans="1:29" s="40" customFormat="1" ht="14.45" customHeight="1" x14ac:dyDescent="0.25">
      <c r="A37" s="134" t="s">
        <v>335</v>
      </c>
      <c r="B37" s="179" t="s">
        <v>488</v>
      </c>
      <c r="C37" s="88"/>
      <c r="D37" s="88"/>
      <c r="E37" s="210"/>
      <c r="F37" s="211"/>
      <c r="G37" s="88"/>
      <c r="H37" s="88"/>
      <c r="I37" s="88"/>
      <c r="J37" s="88"/>
      <c r="K37" s="57"/>
      <c r="L37" s="89" t="s">
        <v>48</v>
      </c>
      <c r="M37" s="89" t="s">
        <v>261</v>
      </c>
      <c r="N37" s="90" t="s">
        <v>51</v>
      </c>
      <c r="O37" s="91" t="s">
        <v>50</v>
      </c>
      <c r="P37" s="91" t="s">
        <v>262</v>
      </c>
      <c r="Q37" s="91" t="s">
        <v>263</v>
      </c>
      <c r="R37" s="91" t="s">
        <v>264</v>
      </c>
      <c r="S37" s="92" t="s">
        <v>52</v>
      </c>
      <c r="T37" s="92" t="s">
        <v>53</v>
      </c>
      <c r="U37" s="92" t="s">
        <v>265</v>
      </c>
      <c r="V37" s="92" t="s">
        <v>266</v>
      </c>
      <c r="W37" s="92" t="s">
        <v>267</v>
      </c>
      <c r="X37" s="92" t="s">
        <v>268</v>
      </c>
      <c r="Y37" s="92" t="s">
        <v>52</v>
      </c>
      <c r="Z37" s="92" t="s">
        <v>53</v>
      </c>
      <c r="AA37" s="92" t="s">
        <v>265</v>
      </c>
      <c r="AB37" s="92" t="s">
        <v>266</v>
      </c>
      <c r="AC37" s="93" t="s">
        <v>269</v>
      </c>
    </row>
    <row r="38" spans="1:29" s="40" customFormat="1" ht="18.75" x14ac:dyDescent="0.25">
      <c r="A38" s="133" t="s">
        <v>81</v>
      </c>
      <c r="B38" s="51" t="s">
        <v>340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 t="shared" ref="G38:G44" si="9">CEILING(S38+W38+X38+O38+N38+Y38,10)</f>
        <v>4690</v>
      </c>
      <c r="H38" s="99">
        <f t="shared" ref="H38:H44" si="10">CEILING(T38+W38+X38+O38+N38+Z38,10)</f>
        <v>5010</v>
      </c>
      <c r="I38" s="99">
        <f t="shared" ref="I38:I44" si="11">CEILING(U38+W38+X38+O38+N38+AA38,10)</f>
        <v>5010</v>
      </c>
      <c r="J38" s="99">
        <f t="shared" ref="J38:J44" si="12">CEILING(V38+W38+X38+O38+N38+AB38,10)</f>
        <v>5860</v>
      </c>
      <c r="K38" s="57"/>
      <c r="L38" s="156" t="s">
        <v>384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Q38" s="40" t="s">
        <v>441</v>
      </c>
      <c r="S38" s="101">
        <f t="shared" ref="S38:S44" si="13">0.9*T38</f>
        <v>2880</v>
      </c>
      <c r="T38" s="54">
        <f>3000+200</f>
        <v>3200</v>
      </c>
      <c r="U38" s="103">
        <f t="shared" si="6"/>
        <v>3200</v>
      </c>
      <c r="V38" s="104">
        <f t="shared" ref="V38:V44" si="14">U38*1.266</f>
        <v>4051.2</v>
      </c>
      <c r="X38" s="40">
        <v>0</v>
      </c>
    </row>
    <row r="39" spans="1:29" s="40" customFormat="1" ht="27" customHeight="1" x14ac:dyDescent="0.25">
      <c r="A39" s="133" t="s">
        <v>55</v>
      </c>
      <c r="B39" s="51" t="s">
        <v>340</v>
      </c>
      <c r="C39" s="94" t="s">
        <v>54</v>
      </c>
      <c r="D39" s="95" t="s">
        <v>383</v>
      </c>
      <c r="E39" s="96" t="s">
        <v>114</v>
      </c>
      <c r="F39" s="97" t="s">
        <v>270</v>
      </c>
      <c r="G39" s="98">
        <f t="shared" si="9"/>
        <v>4690</v>
      </c>
      <c r="H39" s="99">
        <f t="shared" si="10"/>
        <v>5010</v>
      </c>
      <c r="I39" s="99">
        <f t="shared" si="11"/>
        <v>5010</v>
      </c>
      <c r="J39" s="99">
        <f t="shared" si="12"/>
        <v>5860</v>
      </c>
      <c r="K39" s="57"/>
      <c r="L39" s="156" t="s">
        <v>384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Q39" s="40" t="s">
        <v>441</v>
      </c>
      <c r="S39" s="101">
        <f t="shared" si="13"/>
        <v>2880</v>
      </c>
      <c r="T39" s="54">
        <f>T38</f>
        <v>3200</v>
      </c>
      <c r="U39" s="103">
        <f t="shared" si="6"/>
        <v>3200</v>
      </c>
      <c r="V39" s="104">
        <f t="shared" si="14"/>
        <v>4051.2</v>
      </c>
      <c r="X39" s="40">
        <v>0</v>
      </c>
    </row>
    <row r="40" spans="1:29" s="40" customFormat="1" ht="14.45" customHeight="1" x14ac:dyDescent="0.25">
      <c r="A40" s="133" t="s">
        <v>59</v>
      </c>
      <c r="B40" s="51" t="s">
        <v>340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 t="shared" si="9"/>
        <v>4690</v>
      </c>
      <c r="H40" s="99">
        <f t="shared" si="10"/>
        <v>5010</v>
      </c>
      <c r="I40" s="99">
        <f t="shared" si="11"/>
        <v>5010</v>
      </c>
      <c r="J40" s="99">
        <f t="shared" si="12"/>
        <v>5860</v>
      </c>
      <c r="K40" s="57"/>
      <c r="L40" s="156" t="s">
        <v>384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Q40" s="40" t="s">
        <v>441</v>
      </c>
      <c r="S40" s="101">
        <f t="shared" si="13"/>
        <v>2880</v>
      </c>
      <c r="T40" s="54">
        <f>T38</f>
        <v>3200</v>
      </c>
      <c r="U40" s="103">
        <f t="shared" si="6"/>
        <v>3200</v>
      </c>
      <c r="V40" s="104">
        <f t="shared" si="14"/>
        <v>4051.2</v>
      </c>
      <c r="X40" s="40">
        <v>0</v>
      </c>
    </row>
    <row r="41" spans="1:29" s="40" customFormat="1" ht="18.75" x14ac:dyDescent="0.25">
      <c r="A41" s="133" t="s">
        <v>60</v>
      </c>
      <c r="B41" s="51" t="s">
        <v>340</v>
      </c>
      <c r="C41" s="94" t="s">
        <v>54</v>
      </c>
      <c r="D41" s="95" t="s">
        <v>383</v>
      </c>
      <c r="E41" s="96" t="s">
        <v>114</v>
      </c>
      <c r="F41" s="97" t="s">
        <v>270</v>
      </c>
      <c r="G41" s="98">
        <f t="shared" si="9"/>
        <v>4690</v>
      </c>
      <c r="H41" s="99">
        <f t="shared" si="10"/>
        <v>5010</v>
      </c>
      <c r="I41" s="99">
        <f t="shared" si="11"/>
        <v>5010</v>
      </c>
      <c r="J41" s="99">
        <f t="shared" si="12"/>
        <v>5860</v>
      </c>
      <c r="K41" s="57"/>
      <c r="L41" s="156" t="s">
        <v>384</v>
      </c>
      <c r="M41" s="52" t="s">
        <v>294</v>
      </c>
      <c r="N41" s="40">
        <v>0</v>
      </c>
      <c r="O41" s="53">
        <f>VLOOKUP(B41,DRAYAGE!$A$1:$C$107,3,FALSE)</f>
        <v>1805</v>
      </c>
      <c r="P41" s="40" t="s">
        <v>300</v>
      </c>
      <c r="Q41" s="40" t="s">
        <v>441</v>
      </c>
      <c r="S41" s="101">
        <f t="shared" si="13"/>
        <v>2880</v>
      </c>
      <c r="T41" s="54">
        <f>T40</f>
        <v>3200</v>
      </c>
      <c r="U41" s="103">
        <f t="shared" si="6"/>
        <v>3200</v>
      </c>
      <c r="V41" s="104">
        <f t="shared" si="14"/>
        <v>4051.2</v>
      </c>
      <c r="X41" s="40">
        <v>0</v>
      </c>
    </row>
    <row r="42" spans="1:29" s="45" customFormat="1" ht="14.45" customHeight="1" x14ac:dyDescent="0.25">
      <c r="A42" s="133" t="s">
        <v>61</v>
      </c>
      <c r="B42" s="51" t="s">
        <v>340</v>
      </c>
      <c r="C42" s="106" t="s">
        <v>54</v>
      </c>
      <c r="D42" s="95" t="s">
        <v>383</v>
      </c>
      <c r="E42" s="107" t="s">
        <v>114</v>
      </c>
      <c r="F42" s="108" t="s">
        <v>270</v>
      </c>
      <c r="G42" s="109">
        <f t="shared" si="9"/>
        <v>4690</v>
      </c>
      <c r="H42" s="110">
        <f t="shared" si="10"/>
        <v>5010</v>
      </c>
      <c r="I42" s="110">
        <f t="shared" si="11"/>
        <v>5010</v>
      </c>
      <c r="J42" s="110">
        <f t="shared" si="12"/>
        <v>5860</v>
      </c>
      <c r="K42" s="111"/>
      <c r="L42" s="156" t="s">
        <v>384</v>
      </c>
      <c r="M42" s="52" t="s">
        <v>294</v>
      </c>
      <c r="N42" s="45">
        <v>0</v>
      </c>
      <c r="O42" s="53">
        <f>VLOOKUP(B42,DRAYAGE!$A$1:$C$107,3,FALSE)</f>
        <v>1805</v>
      </c>
      <c r="P42" s="40" t="s">
        <v>300</v>
      </c>
      <c r="Q42" s="40" t="s">
        <v>441</v>
      </c>
      <c r="R42" s="40"/>
      <c r="S42" s="113">
        <f t="shared" si="13"/>
        <v>2880</v>
      </c>
      <c r="T42" s="54">
        <f>T38</f>
        <v>3200</v>
      </c>
      <c r="U42" s="103">
        <f t="shared" si="6"/>
        <v>3200</v>
      </c>
      <c r="V42" s="114">
        <f t="shared" si="14"/>
        <v>4051.2</v>
      </c>
      <c r="X42" s="45">
        <v>0</v>
      </c>
      <c r="Y42" s="40"/>
      <c r="Z42" s="40"/>
      <c r="AA42" s="40"/>
      <c r="AB42" s="40"/>
    </row>
    <row r="43" spans="1:29" s="40" customFormat="1" ht="18.75" x14ac:dyDescent="0.25">
      <c r="A43" s="133" t="s">
        <v>273</v>
      </c>
      <c r="B43" s="51" t="s">
        <v>340</v>
      </c>
      <c r="C43" s="94" t="s">
        <v>54</v>
      </c>
      <c r="D43" s="95" t="s">
        <v>383</v>
      </c>
      <c r="E43" s="96" t="s">
        <v>114</v>
      </c>
      <c r="F43" s="97" t="s">
        <v>270</v>
      </c>
      <c r="G43" s="98">
        <f t="shared" si="9"/>
        <v>4780</v>
      </c>
      <c r="H43" s="99">
        <f t="shared" si="10"/>
        <v>5110</v>
      </c>
      <c r="I43" s="99">
        <f t="shared" si="11"/>
        <v>5110</v>
      </c>
      <c r="J43" s="99">
        <f t="shared" si="12"/>
        <v>5990</v>
      </c>
      <c r="K43" s="57"/>
      <c r="L43" s="156" t="s">
        <v>384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Q43" s="40" t="s">
        <v>441</v>
      </c>
      <c r="S43" s="101">
        <f t="shared" si="13"/>
        <v>2970</v>
      </c>
      <c r="T43" s="54">
        <f>3100+200</f>
        <v>3300</v>
      </c>
      <c r="U43" s="103">
        <f t="shared" si="6"/>
        <v>3300</v>
      </c>
      <c r="V43" s="104">
        <f t="shared" si="14"/>
        <v>4177.8</v>
      </c>
      <c r="X43" s="40">
        <v>0</v>
      </c>
    </row>
    <row r="44" spans="1:29" s="40" customFormat="1" ht="14.45" customHeight="1" x14ac:dyDescent="0.25">
      <c r="A44" s="133" t="s">
        <v>58</v>
      </c>
      <c r="B44" s="51" t="s">
        <v>340</v>
      </c>
      <c r="C44" s="94" t="s">
        <v>54</v>
      </c>
      <c r="D44" s="95" t="s">
        <v>383</v>
      </c>
      <c r="E44" s="96" t="s">
        <v>114</v>
      </c>
      <c r="F44" s="97" t="s">
        <v>270</v>
      </c>
      <c r="G44" s="98">
        <f t="shared" si="9"/>
        <v>5540</v>
      </c>
      <c r="H44" s="99">
        <f t="shared" si="10"/>
        <v>5960</v>
      </c>
      <c r="I44" s="99">
        <f t="shared" si="11"/>
        <v>5960</v>
      </c>
      <c r="J44" s="99">
        <f t="shared" si="12"/>
        <v>7060</v>
      </c>
      <c r="K44" s="57"/>
      <c r="L44" s="156" t="s">
        <v>384</v>
      </c>
      <c r="M44" s="52" t="s">
        <v>294</v>
      </c>
      <c r="N44" s="40">
        <v>0</v>
      </c>
      <c r="O44" s="53">
        <f>VLOOKUP(B44,DRAYAGE!$A$1:$C$107,3,FALSE)</f>
        <v>1805</v>
      </c>
      <c r="P44" s="40" t="s">
        <v>300</v>
      </c>
      <c r="Q44" s="40" t="s">
        <v>441</v>
      </c>
      <c r="S44" s="101">
        <f t="shared" si="13"/>
        <v>3735</v>
      </c>
      <c r="T44" s="54">
        <f>3100+850+200</f>
        <v>4150</v>
      </c>
      <c r="U44" s="103">
        <f t="shared" si="6"/>
        <v>4150</v>
      </c>
      <c r="V44" s="104">
        <f t="shared" si="14"/>
        <v>5253.9</v>
      </c>
      <c r="X44" s="40">
        <v>0</v>
      </c>
    </row>
    <row r="45" spans="1:29" s="40" customFormat="1" ht="14.45" customHeight="1" x14ac:dyDescent="0.25">
      <c r="A45" s="134" t="s">
        <v>98</v>
      </c>
      <c r="B45" s="88"/>
      <c r="C45" s="88"/>
      <c r="D45" s="88"/>
      <c r="E45" s="210"/>
      <c r="F45" s="211"/>
      <c r="G45" s="88"/>
      <c r="H45" s="88"/>
      <c r="I45" s="88"/>
      <c r="J45" s="88"/>
      <c r="K45" s="57"/>
      <c r="L45" s="89" t="s">
        <v>48</v>
      </c>
      <c r="M45" s="89" t="s">
        <v>261</v>
      </c>
      <c r="N45" s="90" t="s">
        <v>51</v>
      </c>
      <c r="O45" s="91" t="s">
        <v>50</v>
      </c>
      <c r="P45" s="91" t="s">
        <v>262</v>
      </c>
      <c r="Q45" s="91" t="s">
        <v>263</v>
      </c>
      <c r="R45" s="92" t="s">
        <v>52</v>
      </c>
      <c r="S45" s="92" t="s">
        <v>52</v>
      </c>
      <c r="T45" s="92" t="s">
        <v>53</v>
      </c>
      <c r="U45" s="92" t="s">
        <v>265</v>
      </c>
      <c r="V45" s="92" t="s">
        <v>266</v>
      </c>
      <c r="W45" s="92" t="s">
        <v>267</v>
      </c>
      <c r="X45" s="92" t="s">
        <v>268</v>
      </c>
      <c r="Y45" s="92" t="s">
        <v>52</v>
      </c>
      <c r="Z45" s="92" t="s">
        <v>53</v>
      </c>
      <c r="AA45" s="92" t="s">
        <v>265</v>
      </c>
      <c r="AB45" s="92" t="s">
        <v>266</v>
      </c>
      <c r="AC45" s="93" t="s">
        <v>269</v>
      </c>
    </row>
    <row r="46" spans="1:29" s="40" customFormat="1" ht="14.45" customHeight="1" x14ac:dyDescent="0.25">
      <c r="A46" s="133" t="s">
        <v>331</v>
      </c>
      <c r="B46" s="51" t="s">
        <v>342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>CEILING(S46+W46+X46+O46+N46+Y46,10)</f>
        <v>5700</v>
      </c>
      <c r="H46" s="99">
        <f>CEILING(T46+W46+X46+O46+N46+Z46,10)</f>
        <v>6000</v>
      </c>
      <c r="I46" s="99">
        <f>CEILING(U46+W46+X46+O46+N46+AA46,10)</f>
        <v>6000</v>
      </c>
      <c r="J46" s="99">
        <f>CEILING(V46+W46+X46+O46+N46+AB46,10)</f>
        <v>6800</v>
      </c>
      <c r="K46" s="57"/>
      <c r="L46" s="156" t="s">
        <v>384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Q46" s="40" t="s">
        <v>460</v>
      </c>
      <c r="R46" s="101">
        <v>19800</v>
      </c>
      <c r="S46" s="101">
        <f>0.9*T46</f>
        <v>2700</v>
      </c>
      <c r="T46" s="54">
        <f>2800+200</f>
        <v>3000</v>
      </c>
      <c r="U46" s="103">
        <f>T46</f>
        <v>3000</v>
      </c>
      <c r="V46" s="104">
        <f>U46*1.266</f>
        <v>3798</v>
      </c>
      <c r="W46" s="40">
        <v>0</v>
      </c>
    </row>
    <row r="47" spans="1:29" s="40" customFormat="1" ht="14.45" customHeight="1" x14ac:dyDescent="0.25">
      <c r="A47" s="133" t="s">
        <v>328</v>
      </c>
      <c r="B47" s="51" t="s">
        <v>342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>CEILING(S47+W47+X47+O47+N47+Y47,10)</f>
        <v>5700</v>
      </c>
      <c r="H47" s="99">
        <f>CEILING(T47+W47+X47+O47+N47+Z47,10)</f>
        <v>6000</v>
      </c>
      <c r="I47" s="99">
        <f>CEILING(U47+W47+X47+O47+N47+AA47,10)</f>
        <v>6000</v>
      </c>
      <c r="J47" s="99">
        <f>CEILING(V47+W47+X47+O47+N47+AB47,10)</f>
        <v>6800</v>
      </c>
      <c r="K47" s="57"/>
      <c r="L47" s="156" t="s">
        <v>384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Q47" s="40" t="s">
        <v>461</v>
      </c>
      <c r="R47" s="101">
        <v>19800</v>
      </c>
      <c r="S47" s="101">
        <f>0.9*T47</f>
        <v>2700</v>
      </c>
      <c r="T47" s="54">
        <f>2800+200</f>
        <v>3000</v>
      </c>
      <c r="U47" s="103">
        <f>T47</f>
        <v>3000</v>
      </c>
      <c r="V47" s="104">
        <f>U47*1.266</f>
        <v>3798</v>
      </c>
      <c r="W47" s="40">
        <v>0</v>
      </c>
    </row>
    <row r="48" spans="1:29" s="40" customFormat="1" ht="14.45" customHeight="1" x14ac:dyDescent="0.25">
      <c r="A48" s="133" t="s">
        <v>58</v>
      </c>
      <c r="B48" s="51" t="s">
        <v>342</v>
      </c>
      <c r="C48" s="94" t="s">
        <v>54</v>
      </c>
      <c r="D48" s="95" t="s">
        <v>383</v>
      </c>
      <c r="E48" s="96" t="s">
        <v>114</v>
      </c>
      <c r="F48" s="97" t="s">
        <v>270</v>
      </c>
      <c r="G48" s="98">
        <f>CEILING(S48+W48+X48+O48+N48+Y48,10)</f>
        <v>5970</v>
      </c>
      <c r="H48" s="99">
        <f>CEILING(T48+W48+X48+O48+N48+Z48,10)</f>
        <v>6300</v>
      </c>
      <c r="I48" s="99">
        <f>CEILING(U48+W48+X48+O48+N48+AA48,10)</f>
        <v>6300</v>
      </c>
      <c r="J48" s="99">
        <f>CEILING(V48+W48+X48+O48+N48+AB48,10)</f>
        <v>7180</v>
      </c>
      <c r="K48" s="57"/>
      <c r="L48" s="156" t="s">
        <v>384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Q48" s="40" t="s">
        <v>462</v>
      </c>
      <c r="R48" s="101">
        <v>19800</v>
      </c>
      <c r="S48" s="101">
        <f>0.9*T48</f>
        <v>2970</v>
      </c>
      <c r="T48" s="54">
        <f>2800+300+200</f>
        <v>3300</v>
      </c>
      <c r="U48" s="103">
        <f>T48</f>
        <v>3300</v>
      </c>
      <c r="V48" s="104">
        <f>U48*1.266</f>
        <v>4177.8</v>
      </c>
      <c r="W48" s="40">
        <v>0</v>
      </c>
    </row>
    <row r="49" spans="1:29" s="40" customFormat="1" ht="14.45" customHeight="1" x14ac:dyDescent="0.25">
      <c r="A49" s="133" t="s">
        <v>330</v>
      </c>
      <c r="B49" s="51" t="s">
        <v>342</v>
      </c>
      <c r="C49" s="94" t="s">
        <v>54</v>
      </c>
      <c r="D49" s="95" t="s">
        <v>383</v>
      </c>
      <c r="E49" s="96" t="s">
        <v>114</v>
      </c>
      <c r="F49" s="97" t="s">
        <v>270</v>
      </c>
      <c r="G49" s="98">
        <f>CEILING(S49+W49+X49+O49+N49+Y49,10)</f>
        <v>5700</v>
      </c>
      <c r="H49" s="99">
        <f>CEILING(T49+W49+X49+O49+N49+Z49,10)</f>
        <v>6000</v>
      </c>
      <c r="I49" s="99">
        <f>CEILING(U49+W49+X49+O49+N49+AA49,10)</f>
        <v>6000</v>
      </c>
      <c r="J49" s="99">
        <f>CEILING(V49+W49+X49+O49+N49+AB49,10)</f>
        <v>6800</v>
      </c>
      <c r="K49" s="57"/>
      <c r="L49" s="156" t="s">
        <v>384</v>
      </c>
      <c r="M49" s="52" t="s">
        <v>293</v>
      </c>
      <c r="N49" s="40">
        <v>0</v>
      </c>
      <c r="O49" s="53">
        <f>VLOOKUP(B49,DRAYAGE!$A$1:$C$107,3,FALSE)</f>
        <v>2995</v>
      </c>
      <c r="P49" s="40" t="s">
        <v>302</v>
      </c>
      <c r="Q49" s="40" t="s">
        <v>463</v>
      </c>
      <c r="R49" s="101">
        <v>19800</v>
      </c>
      <c r="S49" s="101">
        <f>0.9*T49</f>
        <v>2700</v>
      </c>
      <c r="T49" s="54">
        <f>T46</f>
        <v>3000</v>
      </c>
      <c r="U49" s="103">
        <f>T49</f>
        <v>3000</v>
      </c>
      <c r="V49" s="104">
        <f>U49*1.266</f>
        <v>3798</v>
      </c>
      <c r="W49" s="40">
        <v>0</v>
      </c>
    </row>
    <row r="50" spans="1:29" s="40" customFormat="1" ht="14.45" customHeight="1" x14ac:dyDescent="0.25">
      <c r="A50" s="134" t="s">
        <v>336</v>
      </c>
      <c r="B50" s="88"/>
      <c r="C50" s="88"/>
      <c r="D50" s="88"/>
      <c r="E50" s="210"/>
      <c r="F50" s="211"/>
      <c r="G50" s="88"/>
      <c r="H50" s="88"/>
      <c r="I50" s="88"/>
      <c r="J50" s="88"/>
      <c r="K50" s="57"/>
      <c r="L50" s="89" t="s">
        <v>48</v>
      </c>
      <c r="M50" s="89" t="s">
        <v>261</v>
      </c>
      <c r="N50" s="90" t="s">
        <v>51</v>
      </c>
      <c r="O50" s="91" t="s">
        <v>50</v>
      </c>
      <c r="P50" s="91" t="s">
        <v>262</v>
      </c>
      <c r="Q50" s="91" t="s">
        <v>263</v>
      </c>
      <c r="R50" s="92" t="s">
        <v>52</v>
      </c>
      <c r="S50" s="92" t="s">
        <v>52</v>
      </c>
      <c r="T50" s="92" t="s">
        <v>53</v>
      </c>
      <c r="U50" s="92" t="s">
        <v>265</v>
      </c>
      <c r="V50" s="92" t="s">
        <v>266</v>
      </c>
      <c r="W50" s="92" t="s">
        <v>267</v>
      </c>
      <c r="X50" s="92" t="s">
        <v>268</v>
      </c>
      <c r="Y50" s="92" t="s">
        <v>52</v>
      </c>
      <c r="Z50" s="92" t="s">
        <v>53</v>
      </c>
      <c r="AA50" s="92" t="s">
        <v>265</v>
      </c>
      <c r="AB50" s="92" t="s">
        <v>266</v>
      </c>
      <c r="AC50" s="93" t="s">
        <v>269</v>
      </c>
    </row>
    <row r="51" spans="1:29" s="40" customFormat="1" ht="14.45" customHeight="1" x14ac:dyDescent="0.25">
      <c r="A51" s="133" t="s">
        <v>326</v>
      </c>
      <c r="B51" s="51" t="s">
        <v>343</v>
      </c>
      <c r="C51" s="94" t="s">
        <v>54</v>
      </c>
      <c r="D51" s="95" t="s">
        <v>383</v>
      </c>
      <c r="E51" s="96" t="s">
        <v>114</v>
      </c>
      <c r="F51" s="97" t="s">
        <v>270</v>
      </c>
      <c r="G51" s="98">
        <f>CEILING(S51+W51+X51+O51+N51+Y51,10)</f>
        <v>5100</v>
      </c>
      <c r="H51" s="99">
        <f>CEILING(T51+W51+X51+O51+N51+Z51,10)</f>
        <v>5540</v>
      </c>
      <c r="I51" s="99">
        <f>CEILING(U51+W51+X51+O51+N51+AA51,10)</f>
        <v>5540</v>
      </c>
      <c r="J51" s="99">
        <f>CEILING(V51+W51+X51+O51+N51+AB51,10)</f>
        <v>6700</v>
      </c>
      <c r="K51" s="57"/>
      <c r="L51" s="156" t="s">
        <v>384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Q51" s="40" t="s">
        <v>464</v>
      </c>
      <c r="R51" s="101">
        <v>18000</v>
      </c>
      <c r="S51" s="101">
        <f>0.9*T51</f>
        <v>3915</v>
      </c>
      <c r="T51" s="54">
        <f>4100+250</f>
        <v>4350</v>
      </c>
      <c r="U51" s="103">
        <f>T51</f>
        <v>4350</v>
      </c>
      <c r="V51" s="104">
        <f>U51*1.266</f>
        <v>5507.1</v>
      </c>
      <c r="W51" s="40">
        <v>0</v>
      </c>
    </row>
    <row r="52" spans="1:29" s="40" customFormat="1" ht="14.45" customHeight="1" x14ac:dyDescent="0.25">
      <c r="A52" s="133" t="s">
        <v>327</v>
      </c>
      <c r="B52" s="51" t="s">
        <v>343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f>CEILING(S52+W52+X52+O52+N52+Y52,10)</f>
        <v>5100</v>
      </c>
      <c r="H52" s="99">
        <f>CEILING(T52+W52+X52+O52+N52+Z52,10)</f>
        <v>5540</v>
      </c>
      <c r="I52" s="99">
        <f>CEILING(U52+W52+X52+O52+N52+AA52,10)</f>
        <v>5540</v>
      </c>
      <c r="J52" s="99">
        <f>CEILING(V52+W52+X52+O52+N52+AB52,10)</f>
        <v>6700</v>
      </c>
      <c r="K52" s="57"/>
      <c r="L52" s="156" t="s">
        <v>384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Q52" s="40" t="s">
        <v>465</v>
      </c>
      <c r="R52" s="101">
        <v>18000</v>
      </c>
      <c r="S52" s="101">
        <f>0.9*T52</f>
        <v>3915</v>
      </c>
      <c r="T52" s="54">
        <f>T51</f>
        <v>4350</v>
      </c>
      <c r="U52" s="103">
        <f>T52</f>
        <v>4350</v>
      </c>
      <c r="V52" s="104">
        <f>U52*1.266</f>
        <v>5507.1</v>
      </c>
      <c r="W52" s="40">
        <v>0</v>
      </c>
    </row>
    <row r="53" spans="1:29" s="40" customFormat="1" ht="14.45" customHeight="1" x14ac:dyDescent="0.25">
      <c r="A53" s="133" t="s">
        <v>328</v>
      </c>
      <c r="B53" s="51" t="s">
        <v>343</v>
      </c>
      <c r="C53" s="94" t="s">
        <v>54</v>
      </c>
      <c r="D53" s="95" t="s">
        <v>383</v>
      </c>
      <c r="E53" s="96" t="s">
        <v>114</v>
      </c>
      <c r="F53" s="97" t="s">
        <v>270</v>
      </c>
      <c r="G53" s="98">
        <f>CEILING(S53+W53+X53+O53+N53+Y53,10)</f>
        <v>5100</v>
      </c>
      <c r="H53" s="99">
        <f>CEILING(T53+W53+X53+O53+N53+Z53,10)</f>
        <v>5540</v>
      </c>
      <c r="I53" s="99">
        <f>CEILING(U53+W53+X53+O53+N53+AA53,10)</f>
        <v>5540</v>
      </c>
      <c r="J53" s="99">
        <f>CEILING(V53+W53+X53+O53+N53+AB53,10)</f>
        <v>6700</v>
      </c>
      <c r="K53" s="57"/>
      <c r="L53" s="156" t="s">
        <v>384</v>
      </c>
      <c r="M53" s="52" t="s">
        <v>295</v>
      </c>
      <c r="N53" s="40">
        <v>0</v>
      </c>
      <c r="O53" s="53">
        <f>VLOOKUP(B53,DRAYAGE!$A$1:$C$107,3,FALSE)</f>
        <v>1185</v>
      </c>
      <c r="P53" s="40" t="s">
        <v>361</v>
      </c>
      <c r="Q53" s="40" t="s">
        <v>466</v>
      </c>
      <c r="R53" s="101">
        <v>18000</v>
      </c>
      <c r="S53" s="101">
        <f>0.9*T53</f>
        <v>3915</v>
      </c>
      <c r="T53" s="54">
        <f>T52</f>
        <v>4350</v>
      </c>
      <c r="U53" s="103">
        <f>T53</f>
        <v>4350</v>
      </c>
      <c r="V53" s="104">
        <f>U53*1.266</f>
        <v>5507.1</v>
      </c>
      <c r="W53" s="40">
        <v>0</v>
      </c>
    </row>
    <row r="54" spans="1:29" s="40" customFormat="1" ht="14.45" customHeight="1" x14ac:dyDescent="0.25">
      <c r="A54" s="134" t="s">
        <v>337</v>
      </c>
      <c r="B54" s="88"/>
      <c r="C54" s="88"/>
      <c r="D54" s="88"/>
      <c r="E54" s="210"/>
      <c r="F54" s="211"/>
      <c r="G54" s="88"/>
      <c r="H54" s="88"/>
      <c r="I54" s="88"/>
      <c r="J54" s="88"/>
      <c r="K54" s="57"/>
      <c r="L54" s="89" t="s">
        <v>48</v>
      </c>
      <c r="M54" s="89" t="s">
        <v>261</v>
      </c>
      <c r="N54" s="90" t="s">
        <v>51</v>
      </c>
      <c r="O54" s="91" t="s">
        <v>50</v>
      </c>
      <c r="P54" s="91" t="s">
        <v>262</v>
      </c>
      <c r="Q54" s="91" t="s">
        <v>263</v>
      </c>
      <c r="R54" s="91" t="s">
        <v>264</v>
      </c>
      <c r="S54" s="92" t="s">
        <v>52</v>
      </c>
      <c r="T54" s="92" t="s">
        <v>53</v>
      </c>
      <c r="U54" s="92" t="s">
        <v>265</v>
      </c>
      <c r="V54" s="92" t="s">
        <v>266</v>
      </c>
      <c r="W54" s="92" t="s">
        <v>267</v>
      </c>
      <c r="X54" s="92" t="s">
        <v>268</v>
      </c>
      <c r="Y54" s="92" t="s">
        <v>52</v>
      </c>
      <c r="Z54" s="92" t="s">
        <v>53</v>
      </c>
      <c r="AA54" s="92" t="s">
        <v>265</v>
      </c>
      <c r="AB54" s="92" t="s">
        <v>266</v>
      </c>
      <c r="AC54" s="93" t="s">
        <v>269</v>
      </c>
    </row>
    <row r="55" spans="1:29" s="40" customFormat="1" ht="18.75" x14ac:dyDescent="0.25">
      <c r="A55" s="133" t="s">
        <v>81</v>
      </c>
      <c r="B55" s="51" t="s">
        <v>344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 t="shared" ref="G55:G60" si="15">CEILING(S55+W55+X55+O55+N55+Y55,10)</f>
        <v>4230</v>
      </c>
      <c r="H55" s="99">
        <f t="shared" ref="H55:H60" si="16">CEILING(T55+W55+X55+O55+N55+Z55,10)</f>
        <v>4550</v>
      </c>
      <c r="I55" s="99">
        <f t="shared" ref="I55:I60" si="17">CEILING(U55+W55+X55+O55+N55+AA55,10)</f>
        <v>4550</v>
      </c>
      <c r="J55" s="99">
        <f t="shared" ref="J55:J60" si="18">CEILING(V55+W55+X55+O55+N55+AB55,10)</f>
        <v>5400</v>
      </c>
      <c r="K55" s="57"/>
      <c r="L55" s="156" t="s">
        <v>384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Q55" s="40" t="s">
        <v>467</v>
      </c>
      <c r="S55" s="101">
        <f t="shared" ref="S55:S68" si="19">0.9*T55</f>
        <v>2880</v>
      </c>
      <c r="T55" s="54">
        <f t="shared" ref="T55:T60" si="20">T38</f>
        <v>3200</v>
      </c>
      <c r="U55" s="103">
        <f t="shared" si="6"/>
        <v>3200</v>
      </c>
      <c r="V55" s="104">
        <f t="shared" ref="V55:V60" si="21">U55*1.266</f>
        <v>4051.2</v>
      </c>
      <c r="X55" s="40">
        <v>0</v>
      </c>
    </row>
    <row r="56" spans="1:29" s="40" customFormat="1" ht="14.45" customHeight="1" x14ac:dyDescent="0.25">
      <c r="A56" s="133" t="s">
        <v>55</v>
      </c>
      <c r="B56" s="51" t="s">
        <v>344</v>
      </c>
      <c r="C56" s="94" t="s">
        <v>54</v>
      </c>
      <c r="D56" s="95" t="s">
        <v>383</v>
      </c>
      <c r="E56" s="96" t="s">
        <v>114</v>
      </c>
      <c r="F56" s="97" t="s">
        <v>270</v>
      </c>
      <c r="G56" s="98">
        <f t="shared" si="15"/>
        <v>4230</v>
      </c>
      <c r="H56" s="99">
        <f t="shared" si="16"/>
        <v>4550</v>
      </c>
      <c r="I56" s="99">
        <f t="shared" si="17"/>
        <v>4550</v>
      </c>
      <c r="J56" s="99">
        <f t="shared" si="18"/>
        <v>5400</v>
      </c>
      <c r="K56" s="57"/>
      <c r="L56" s="156" t="s">
        <v>384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Q56" s="40" t="s">
        <v>468</v>
      </c>
      <c r="S56" s="101">
        <f t="shared" si="19"/>
        <v>2880</v>
      </c>
      <c r="T56" s="54">
        <f t="shared" si="20"/>
        <v>3200</v>
      </c>
      <c r="U56" s="103">
        <f t="shared" si="6"/>
        <v>3200</v>
      </c>
      <c r="V56" s="104">
        <f t="shared" si="21"/>
        <v>4051.2</v>
      </c>
      <c r="X56" s="40">
        <v>0</v>
      </c>
    </row>
    <row r="57" spans="1:29" s="40" customFormat="1" ht="14.45" customHeight="1" x14ac:dyDescent="0.25">
      <c r="A57" s="133" t="s">
        <v>59</v>
      </c>
      <c r="B57" s="51" t="s">
        <v>344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f t="shared" si="15"/>
        <v>4230</v>
      </c>
      <c r="H57" s="99">
        <f t="shared" si="16"/>
        <v>4550</v>
      </c>
      <c r="I57" s="99">
        <f t="shared" si="17"/>
        <v>4550</v>
      </c>
      <c r="J57" s="99">
        <f t="shared" si="18"/>
        <v>5400</v>
      </c>
      <c r="K57" s="57"/>
      <c r="L57" s="156" t="s">
        <v>384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Q57" s="40" t="s">
        <v>469</v>
      </c>
      <c r="S57" s="101">
        <f t="shared" si="19"/>
        <v>2880</v>
      </c>
      <c r="T57" s="54">
        <f t="shared" si="20"/>
        <v>3200</v>
      </c>
      <c r="U57" s="103">
        <f t="shared" si="6"/>
        <v>3200</v>
      </c>
      <c r="V57" s="104">
        <f t="shared" si="21"/>
        <v>4051.2</v>
      </c>
      <c r="X57" s="40">
        <v>0</v>
      </c>
    </row>
    <row r="58" spans="1:29" s="40" customFormat="1" ht="18.75" x14ac:dyDescent="0.25">
      <c r="A58" s="133" t="s">
        <v>60</v>
      </c>
      <c r="B58" s="51" t="s">
        <v>344</v>
      </c>
      <c r="C58" s="94" t="s">
        <v>54</v>
      </c>
      <c r="D58" s="95" t="s">
        <v>383</v>
      </c>
      <c r="E58" s="96" t="s">
        <v>114</v>
      </c>
      <c r="F58" s="97" t="s">
        <v>270</v>
      </c>
      <c r="G58" s="98">
        <f t="shared" si="15"/>
        <v>4230</v>
      </c>
      <c r="H58" s="99">
        <f t="shared" si="16"/>
        <v>4550</v>
      </c>
      <c r="I58" s="99">
        <f t="shared" si="17"/>
        <v>4550</v>
      </c>
      <c r="J58" s="99">
        <f t="shared" si="18"/>
        <v>5400</v>
      </c>
      <c r="K58" s="57"/>
      <c r="L58" s="156" t="s">
        <v>384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Q58" s="40" t="s">
        <v>470</v>
      </c>
      <c r="S58" s="101">
        <f t="shared" si="19"/>
        <v>2880</v>
      </c>
      <c r="T58" s="54">
        <f t="shared" si="20"/>
        <v>3200</v>
      </c>
      <c r="U58" s="103">
        <f t="shared" si="6"/>
        <v>3200</v>
      </c>
      <c r="V58" s="104">
        <f t="shared" si="21"/>
        <v>4051.2</v>
      </c>
      <c r="X58" s="40">
        <v>0</v>
      </c>
    </row>
    <row r="59" spans="1:29" s="40" customFormat="1" ht="14.45" customHeight="1" x14ac:dyDescent="0.25">
      <c r="A59" s="133" t="s">
        <v>61</v>
      </c>
      <c r="B59" s="51" t="s">
        <v>344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f t="shared" si="15"/>
        <v>4230</v>
      </c>
      <c r="H59" s="99">
        <f t="shared" si="16"/>
        <v>4550</v>
      </c>
      <c r="I59" s="99">
        <f t="shared" si="17"/>
        <v>4550</v>
      </c>
      <c r="J59" s="99">
        <f t="shared" si="18"/>
        <v>5400</v>
      </c>
      <c r="K59" s="57"/>
      <c r="L59" s="156" t="s">
        <v>384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Q59" s="40" t="s">
        <v>471</v>
      </c>
      <c r="S59" s="101">
        <f t="shared" si="19"/>
        <v>2880</v>
      </c>
      <c r="T59" s="54">
        <f t="shared" si="20"/>
        <v>3200</v>
      </c>
      <c r="U59" s="103">
        <f t="shared" si="6"/>
        <v>3200</v>
      </c>
      <c r="V59" s="104">
        <f t="shared" si="21"/>
        <v>4051.2</v>
      </c>
      <c r="X59" s="40">
        <v>0</v>
      </c>
    </row>
    <row r="60" spans="1:29" s="40" customFormat="1" ht="18.75" x14ac:dyDescent="0.25">
      <c r="A60" s="133" t="s">
        <v>273</v>
      </c>
      <c r="B60" s="51" t="s">
        <v>344</v>
      </c>
      <c r="C60" s="94" t="s">
        <v>54</v>
      </c>
      <c r="D60" s="95" t="s">
        <v>383</v>
      </c>
      <c r="E60" s="96" t="s">
        <v>114</v>
      </c>
      <c r="F60" s="97" t="s">
        <v>270</v>
      </c>
      <c r="G60" s="98">
        <f t="shared" si="15"/>
        <v>4320</v>
      </c>
      <c r="H60" s="99">
        <f t="shared" si="16"/>
        <v>4650</v>
      </c>
      <c r="I60" s="99">
        <f t="shared" si="17"/>
        <v>4650</v>
      </c>
      <c r="J60" s="99">
        <f t="shared" si="18"/>
        <v>5530</v>
      </c>
      <c r="K60" s="57"/>
      <c r="L60" s="156" t="s">
        <v>384</v>
      </c>
      <c r="M60" s="52" t="s">
        <v>294</v>
      </c>
      <c r="N60" s="40">
        <v>0</v>
      </c>
      <c r="O60" s="53">
        <f>VLOOKUP(B60,DRAYAGE!$A$1:$C$107,3,FALSE)</f>
        <v>1345</v>
      </c>
      <c r="P60" s="40" t="s">
        <v>301</v>
      </c>
      <c r="Q60" s="40" t="s">
        <v>472</v>
      </c>
      <c r="S60" s="101">
        <f t="shared" si="19"/>
        <v>2970</v>
      </c>
      <c r="T60" s="54">
        <f t="shared" si="20"/>
        <v>3300</v>
      </c>
      <c r="U60" s="103">
        <f t="shared" si="6"/>
        <v>3300</v>
      </c>
      <c r="V60" s="104">
        <f t="shared" si="21"/>
        <v>4177.8</v>
      </c>
      <c r="X60" s="40">
        <v>0</v>
      </c>
    </row>
    <row r="61" spans="1:29" s="40" customFormat="1" ht="15.75" x14ac:dyDescent="0.25">
      <c r="A61" s="134" t="s">
        <v>504</v>
      </c>
      <c r="B61" s="179" t="s">
        <v>488</v>
      </c>
      <c r="C61" s="88"/>
      <c r="D61" s="88"/>
      <c r="E61" s="210"/>
      <c r="F61" s="211"/>
      <c r="G61" s="88"/>
      <c r="H61" s="88"/>
      <c r="I61" s="88"/>
      <c r="J61" s="88"/>
      <c r="K61" s="57"/>
      <c r="L61" s="89" t="s">
        <v>48</v>
      </c>
      <c r="M61" s="89" t="s">
        <v>261</v>
      </c>
      <c r="N61" s="90" t="s">
        <v>51</v>
      </c>
      <c r="O61" s="91" t="s">
        <v>50</v>
      </c>
      <c r="P61" s="91" t="s">
        <v>262</v>
      </c>
      <c r="Q61" s="91" t="s">
        <v>263</v>
      </c>
      <c r="R61" s="92" t="s">
        <v>52</v>
      </c>
      <c r="S61" s="92" t="s">
        <v>52</v>
      </c>
      <c r="T61" s="92" t="s">
        <v>53</v>
      </c>
      <c r="U61" s="92" t="s">
        <v>265</v>
      </c>
      <c r="V61" s="92" t="s">
        <v>266</v>
      </c>
      <c r="W61" s="92" t="s">
        <v>267</v>
      </c>
      <c r="X61" s="92" t="s">
        <v>268</v>
      </c>
      <c r="Y61" s="92" t="s">
        <v>52</v>
      </c>
      <c r="Z61" s="92" t="s">
        <v>53</v>
      </c>
      <c r="AA61" s="92" t="s">
        <v>265</v>
      </c>
      <c r="AB61" s="92" t="s">
        <v>266</v>
      </c>
      <c r="AC61" s="93" t="s">
        <v>269</v>
      </c>
    </row>
    <row r="62" spans="1:29" s="40" customFormat="1" ht="18.75" x14ac:dyDescent="0.25">
      <c r="A62" s="144" t="s">
        <v>505</v>
      </c>
      <c r="B62" s="51" t="s">
        <v>390</v>
      </c>
      <c r="C62" s="94" t="s">
        <v>54</v>
      </c>
      <c r="D62" s="95" t="s">
        <v>383</v>
      </c>
      <c r="E62" s="96" t="s">
        <v>114</v>
      </c>
      <c r="F62" s="97" t="s">
        <v>270</v>
      </c>
      <c r="G62" s="98">
        <f t="shared" ref="G62:G68" si="22">CEILING(S62+W62+X62+O62+N62+Y62,10)</f>
        <v>5970</v>
      </c>
      <c r="H62" s="99">
        <f t="shared" ref="H62:H68" si="23">CEILING(T62+W62+X62+O62+N62+Z62,10)</f>
        <v>6420</v>
      </c>
      <c r="I62" s="99">
        <f t="shared" ref="I62:I68" si="24">CEILING(U62+W62+X62+O62+N62+AA62,10)</f>
        <v>6420</v>
      </c>
      <c r="J62" s="99">
        <f t="shared" ref="J62:J68" si="25">CEILING(V62+W62+X62+O62+N62+AB62,10)</f>
        <v>7620</v>
      </c>
      <c r="K62" s="57"/>
      <c r="L62" s="156" t="s">
        <v>384</v>
      </c>
      <c r="M62" s="52" t="s">
        <v>397</v>
      </c>
      <c r="N62" s="40">
        <v>0</v>
      </c>
      <c r="O62" s="53">
        <f>VLOOKUP(B62,DRAYAGE!$A$1:$C$107,3,FALSE)</f>
        <v>1915</v>
      </c>
      <c r="P62" s="40" t="str">
        <f>VLOOKUP($B62,DRAYAGE!$A$1:$Q$23,14,FALSE)</f>
        <v>PCF, chassis split, drop fee</v>
      </c>
      <c r="Q62" s="40" t="s">
        <v>473</v>
      </c>
      <c r="R62" s="54">
        <v>11000</v>
      </c>
      <c r="S62" s="101">
        <f t="shared" si="19"/>
        <v>4050</v>
      </c>
      <c r="T62" s="54">
        <f>4200+300</f>
        <v>4500</v>
      </c>
      <c r="U62" s="103">
        <f t="shared" ref="U62:U68" si="26">T62</f>
        <v>4500</v>
      </c>
      <c r="V62" s="104">
        <f t="shared" ref="V62:V68" si="27">U62*1.266</f>
        <v>5697</v>
      </c>
    </row>
    <row r="63" spans="1:29" s="40" customFormat="1" ht="18.75" x14ac:dyDescent="0.25">
      <c r="A63" s="144" t="s">
        <v>505</v>
      </c>
      <c r="B63" s="51" t="s">
        <v>391</v>
      </c>
      <c r="C63" s="94" t="s">
        <v>54</v>
      </c>
      <c r="D63" s="95" t="s">
        <v>383</v>
      </c>
      <c r="E63" s="96" t="s">
        <v>114</v>
      </c>
      <c r="F63" s="97" t="s">
        <v>270</v>
      </c>
      <c r="G63" s="98">
        <f t="shared" si="22"/>
        <v>10580</v>
      </c>
      <c r="H63" s="99">
        <f t="shared" si="23"/>
        <v>11020</v>
      </c>
      <c r="I63" s="99">
        <f t="shared" si="24"/>
        <v>11020</v>
      </c>
      <c r="J63" s="99">
        <f t="shared" si="25"/>
        <v>12200</v>
      </c>
      <c r="K63" s="57"/>
      <c r="L63" s="156" t="s">
        <v>384</v>
      </c>
      <c r="M63" s="52" t="s">
        <v>398</v>
      </c>
      <c r="N63" s="40">
        <v>0</v>
      </c>
      <c r="O63" s="53">
        <f>VLOOKUP(B63,DRAYAGE!$A$1:$C$107,3,FALSE)</f>
        <v>6620</v>
      </c>
      <c r="P63" s="40" t="str">
        <f>VLOOKUP($B63,DRAYAGE!$A$1:$Q$23,14,FALSE)</f>
        <v>Rail fee, toll, drop</v>
      </c>
      <c r="Q63" s="40" t="s">
        <v>474</v>
      </c>
      <c r="R63" s="54">
        <v>11000</v>
      </c>
      <c r="S63" s="101">
        <f t="shared" si="19"/>
        <v>3960</v>
      </c>
      <c r="T63" s="54">
        <f>4100+300</f>
        <v>4400</v>
      </c>
      <c r="U63" s="103">
        <f t="shared" si="26"/>
        <v>4400</v>
      </c>
      <c r="V63" s="104">
        <f t="shared" si="27"/>
        <v>5570.4</v>
      </c>
    </row>
    <row r="64" spans="1:29" s="40" customFormat="1" ht="18.75" x14ac:dyDescent="0.25">
      <c r="A64" s="144" t="s">
        <v>505</v>
      </c>
      <c r="B64" s="51" t="s">
        <v>396</v>
      </c>
      <c r="C64" s="94" t="s">
        <v>54</v>
      </c>
      <c r="D64" s="95" t="s">
        <v>383</v>
      </c>
      <c r="E64" s="96" t="s">
        <v>114</v>
      </c>
      <c r="F64" s="97" t="s">
        <v>270</v>
      </c>
      <c r="G64" s="98">
        <f t="shared" si="22"/>
        <v>7370</v>
      </c>
      <c r="H64" s="99">
        <f t="shared" si="23"/>
        <v>7820</v>
      </c>
      <c r="I64" s="99">
        <f t="shared" si="24"/>
        <v>7820</v>
      </c>
      <c r="J64" s="99">
        <f t="shared" si="25"/>
        <v>9020</v>
      </c>
      <c r="K64" s="57"/>
      <c r="L64" s="156" t="s">
        <v>384</v>
      </c>
      <c r="M64" s="52" t="s">
        <v>399</v>
      </c>
      <c r="N64" s="40">
        <v>0</v>
      </c>
      <c r="O64" s="53">
        <f>VLOOKUP(B64,DRAYAGE!$A$1:$C$107,3,FALSE)</f>
        <v>3320</v>
      </c>
      <c r="P64" s="40" t="str">
        <f>VLOOKUP($B64,DRAYAGE!$A$1:$Q$23,14,FALSE)</f>
        <v>Rail fee, drop fee, toll fee</v>
      </c>
      <c r="Q64" s="40" t="s">
        <v>475</v>
      </c>
      <c r="R64" s="103">
        <v>11000</v>
      </c>
      <c r="S64" s="101">
        <f t="shared" si="19"/>
        <v>4050</v>
      </c>
      <c r="T64" s="54">
        <f>4200+300</f>
        <v>4500</v>
      </c>
      <c r="U64" s="103">
        <f t="shared" si="26"/>
        <v>4500</v>
      </c>
      <c r="V64" s="104">
        <f t="shared" si="27"/>
        <v>5697</v>
      </c>
    </row>
    <row r="65" spans="1:29" s="40" customFormat="1" ht="18.75" x14ac:dyDescent="0.25">
      <c r="A65" s="144" t="s">
        <v>505</v>
      </c>
      <c r="B65" s="51" t="s">
        <v>392</v>
      </c>
      <c r="C65" s="94" t="s">
        <v>54</v>
      </c>
      <c r="D65" s="95" t="s">
        <v>383</v>
      </c>
      <c r="E65" s="96" t="s">
        <v>114</v>
      </c>
      <c r="F65" s="97" t="s">
        <v>270</v>
      </c>
      <c r="G65" s="98">
        <f t="shared" si="22"/>
        <v>8120</v>
      </c>
      <c r="H65" s="99">
        <f t="shared" si="23"/>
        <v>8560</v>
      </c>
      <c r="I65" s="99">
        <f t="shared" si="24"/>
        <v>8560</v>
      </c>
      <c r="J65" s="99">
        <f t="shared" si="25"/>
        <v>9730</v>
      </c>
      <c r="K65" s="57"/>
      <c r="L65" s="156" t="s">
        <v>384</v>
      </c>
      <c r="M65" s="52" t="s">
        <v>398</v>
      </c>
      <c r="N65" s="40">
        <v>0</v>
      </c>
      <c r="O65" s="53">
        <f>VLOOKUP(B65,DRAYAGE!$A$1:$C$107,3,FALSE)</f>
        <v>4155</v>
      </c>
      <c r="P65" s="40" t="str">
        <f>VLOOKUP($B65,DRAYAGE!$A$1:$Q$23,14,FALSE)</f>
        <v>Rail fee, chassis split, drop, toll</v>
      </c>
      <c r="Q65" s="40" t="s">
        <v>476</v>
      </c>
      <c r="R65" s="103">
        <v>11000</v>
      </c>
      <c r="S65" s="101">
        <f t="shared" si="19"/>
        <v>3960</v>
      </c>
      <c r="T65" s="54">
        <f>T63</f>
        <v>4400</v>
      </c>
      <c r="U65" s="103">
        <f t="shared" si="26"/>
        <v>4400</v>
      </c>
      <c r="V65" s="104">
        <f t="shared" si="27"/>
        <v>5570.4</v>
      </c>
    </row>
    <row r="66" spans="1:29" s="40" customFormat="1" ht="18.75" x14ac:dyDescent="0.25">
      <c r="A66" s="144" t="s">
        <v>505</v>
      </c>
      <c r="B66" s="51" t="s">
        <v>395</v>
      </c>
      <c r="C66" s="94" t="s">
        <v>54</v>
      </c>
      <c r="D66" s="95" t="s">
        <v>383</v>
      </c>
      <c r="E66" s="96" t="s">
        <v>114</v>
      </c>
      <c r="F66" s="97" t="s">
        <v>270</v>
      </c>
      <c r="G66" s="98">
        <f t="shared" si="22"/>
        <v>6240</v>
      </c>
      <c r="H66" s="99">
        <f t="shared" si="23"/>
        <v>6680</v>
      </c>
      <c r="I66" s="99">
        <f t="shared" si="24"/>
        <v>6680</v>
      </c>
      <c r="J66" s="99">
        <f t="shared" si="25"/>
        <v>7860</v>
      </c>
      <c r="K66" s="57"/>
      <c r="L66" s="156" t="s">
        <v>384</v>
      </c>
      <c r="M66" s="52" t="s">
        <v>400</v>
      </c>
      <c r="N66" s="40">
        <v>0</v>
      </c>
      <c r="O66" s="53">
        <f>VLOOKUP(B66,DRAYAGE!$A$1:$C$107,3,FALSE)</f>
        <v>2280</v>
      </c>
      <c r="P66" s="40" t="str">
        <f>VLOOKUP($B66,DRAYAGE!$A$1:$Q$23,14,FALSE)</f>
        <v>Rail fee, chassis split, drop</v>
      </c>
      <c r="Q66" s="40" t="s">
        <v>477</v>
      </c>
      <c r="R66" s="54">
        <v>11000</v>
      </c>
      <c r="S66" s="101">
        <f t="shared" si="19"/>
        <v>3960</v>
      </c>
      <c r="T66" s="54">
        <f>4100+300</f>
        <v>4400</v>
      </c>
      <c r="U66" s="103">
        <f t="shared" si="26"/>
        <v>4400</v>
      </c>
      <c r="V66" s="104">
        <f t="shared" si="27"/>
        <v>5570.4</v>
      </c>
    </row>
    <row r="67" spans="1:29" s="40" customFormat="1" ht="18.75" x14ac:dyDescent="0.25">
      <c r="A67" s="144" t="s">
        <v>505</v>
      </c>
      <c r="B67" s="51" t="s">
        <v>393</v>
      </c>
      <c r="C67" s="94" t="s">
        <v>54</v>
      </c>
      <c r="D67" s="95" t="s">
        <v>383</v>
      </c>
      <c r="E67" s="96" t="s">
        <v>114</v>
      </c>
      <c r="F67" s="97" t="s">
        <v>270</v>
      </c>
      <c r="G67" s="98">
        <f t="shared" si="22"/>
        <v>6770</v>
      </c>
      <c r="H67" s="99">
        <f t="shared" si="23"/>
        <v>7210</v>
      </c>
      <c r="I67" s="99">
        <f t="shared" si="24"/>
        <v>7210</v>
      </c>
      <c r="J67" s="99">
        <f t="shared" si="25"/>
        <v>8380</v>
      </c>
      <c r="K67" s="57"/>
      <c r="L67" s="156" t="s">
        <v>384</v>
      </c>
      <c r="M67" s="52" t="s">
        <v>398</v>
      </c>
      <c r="N67" s="40">
        <v>0</v>
      </c>
      <c r="O67" s="53">
        <f>VLOOKUP(B67,DRAYAGE!$A$1:$C$107,3,FALSE)</f>
        <v>2805</v>
      </c>
      <c r="P67" s="40" t="str">
        <f>VLOOKUP($B67,DRAYAGE!$A$1:$Q$23,14,FALSE)</f>
        <v>Rail fee, chassis split, drop, toll</v>
      </c>
      <c r="Q67" s="40" t="s">
        <v>478</v>
      </c>
      <c r="R67" s="54">
        <v>11000</v>
      </c>
      <c r="S67" s="101">
        <f t="shared" si="19"/>
        <v>3960</v>
      </c>
      <c r="T67" s="54">
        <f>T63</f>
        <v>4400</v>
      </c>
      <c r="U67" s="103">
        <f t="shared" si="26"/>
        <v>4400</v>
      </c>
      <c r="V67" s="104">
        <f t="shared" si="27"/>
        <v>5570.4</v>
      </c>
    </row>
    <row r="68" spans="1:29" s="40" customFormat="1" ht="18.75" x14ac:dyDescent="0.25">
      <c r="A68" s="144" t="s">
        <v>505</v>
      </c>
      <c r="B68" s="51" t="s">
        <v>394</v>
      </c>
      <c r="C68" s="94" t="s">
        <v>54</v>
      </c>
      <c r="D68" s="95" t="s">
        <v>383</v>
      </c>
      <c r="E68" s="96" t="s">
        <v>114</v>
      </c>
      <c r="F68" s="97" t="s">
        <v>270</v>
      </c>
      <c r="G68" s="98">
        <f t="shared" si="22"/>
        <v>5840</v>
      </c>
      <c r="H68" s="99">
        <f t="shared" si="23"/>
        <v>6290</v>
      </c>
      <c r="I68" s="99">
        <f t="shared" si="24"/>
        <v>6290</v>
      </c>
      <c r="J68" s="99">
        <f t="shared" si="25"/>
        <v>7490</v>
      </c>
      <c r="K68" s="57"/>
      <c r="L68" s="156" t="s">
        <v>384</v>
      </c>
      <c r="M68" s="52" t="s">
        <v>401</v>
      </c>
      <c r="N68" s="40">
        <v>0</v>
      </c>
      <c r="O68" s="53">
        <f>VLOOKUP(B68,DRAYAGE!$A$1:$C$107,3,FALSE)</f>
        <v>1785</v>
      </c>
      <c r="P68" s="40" t="str">
        <f>VLOOKUP($B68,DRAYAGE!$A$1:$Q$23,14,FALSE)</f>
        <v>chassis split, drop</v>
      </c>
      <c r="Q68" s="40" t="s">
        <v>479</v>
      </c>
      <c r="R68" s="101">
        <v>9900</v>
      </c>
      <c r="S68" s="101">
        <f t="shared" si="19"/>
        <v>4050</v>
      </c>
      <c r="T68" s="54">
        <f>4200+300</f>
        <v>4500</v>
      </c>
      <c r="U68" s="103">
        <f t="shared" si="26"/>
        <v>4500</v>
      </c>
      <c r="V68" s="104">
        <f t="shared" si="27"/>
        <v>5697</v>
      </c>
    </row>
    <row r="69" spans="1:29" s="40" customFormat="1" ht="15.75" x14ac:dyDescent="0.25">
      <c r="A69" s="134" t="s">
        <v>436</v>
      </c>
      <c r="B69" s="179" t="s">
        <v>488</v>
      </c>
      <c r="C69" s="88"/>
      <c r="D69" s="88"/>
      <c r="E69" s="210"/>
      <c r="F69" s="211"/>
      <c r="G69" s="88"/>
      <c r="H69" s="88"/>
      <c r="I69" s="88"/>
      <c r="J69" s="88"/>
      <c r="K69" s="57"/>
      <c r="L69" s="89" t="s">
        <v>48</v>
      </c>
      <c r="M69" s="89" t="s">
        <v>261</v>
      </c>
      <c r="N69" s="90" t="s">
        <v>51</v>
      </c>
      <c r="O69" s="91" t="s">
        <v>50</v>
      </c>
      <c r="P69" s="91" t="s">
        <v>262</v>
      </c>
      <c r="Q69" s="91" t="s">
        <v>263</v>
      </c>
      <c r="R69" s="92" t="s">
        <v>52</v>
      </c>
      <c r="S69" s="92" t="s">
        <v>52</v>
      </c>
      <c r="T69" s="92" t="s">
        <v>53</v>
      </c>
      <c r="U69" s="92" t="s">
        <v>265</v>
      </c>
      <c r="V69" s="92" t="s">
        <v>266</v>
      </c>
      <c r="W69" s="92" t="s">
        <v>267</v>
      </c>
      <c r="X69" s="92" t="s">
        <v>268</v>
      </c>
      <c r="Y69" s="92" t="s">
        <v>52</v>
      </c>
      <c r="Z69" s="92" t="s">
        <v>53</v>
      </c>
      <c r="AA69" s="92" t="s">
        <v>265</v>
      </c>
      <c r="AB69" s="92" t="s">
        <v>266</v>
      </c>
      <c r="AC69" s="93" t="s">
        <v>269</v>
      </c>
    </row>
    <row r="70" spans="1:29" s="40" customFormat="1" ht="18.75" x14ac:dyDescent="0.25">
      <c r="A70" s="133" t="s">
        <v>437</v>
      </c>
      <c r="B70" s="51" t="s">
        <v>390</v>
      </c>
      <c r="C70" s="94" t="s">
        <v>54</v>
      </c>
      <c r="D70" s="95" t="s">
        <v>383</v>
      </c>
      <c r="E70" s="96" t="s">
        <v>114</v>
      </c>
      <c r="F70" s="97" t="s">
        <v>270</v>
      </c>
      <c r="G70" s="98">
        <f t="shared" ref="G70:G76" si="28">CEILING(S70+W70+X70+O70+N70+Y70,10)</f>
        <v>6130</v>
      </c>
      <c r="H70" s="99">
        <f t="shared" ref="H70:H76" si="29">CEILING(T70+W70+X70+O70+N70+Z70,10)</f>
        <v>6590</v>
      </c>
      <c r="I70" s="99">
        <f t="shared" ref="I70:I76" si="30">CEILING(U70+W70+X70+O70+N70+AA70,10)</f>
        <v>6590</v>
      </c>
      <c r="J70" s="99">
        <f t="shared" ref="J70:J76" si="31">CEILING(V70+W70+X70+O70+N70+AB70,10)</f>
        <v>7840</v>
      </c>
      <c r="K70" s="57"/>
      <c r="L70" s="156" t="s">
        <v>384</v>
      </c>
      <c r="M70" s="52" t="s">
        <v>397</v>
      </c>
      <c r="N70" s="40">
        <v>0</v>
      </c>
      <c r="O70" s="53">
        <f>VLOOKUP(B70,DRAYAGE!$A$1:$C$107,3,FALSE)</f>
        <v>1915</v>
      </c>
      <c r="P70" s="40" t="s">
        <v>411</v>
      </c>
      <c r="Q70" s="40" t="str">
        <f t="shared" ref="Q70:Q76" si="32">Q62</f>
        <v>LAX-144741/10-30-2022</v>
      </c>
      <c r="R70" s="101">
        <v>8865</v>
      </c>
      <c r="S70" s="101">
        <f t="shared" ref="S70:S76" si="33">0.9*T70</f>
        <v>4207.5</v>
      </c>
      <c r="T70" s="54">
        <f>T62+175</f>
        <v>4675</v>
      </c>
      <c r="U70" s="103">
        <f t="shared" ref="U70:U76" si="34">T70</f>
        <v>4675</v>
      </c>
      <c r="V70" s="104">
        <f t="shared" ref="V70:V76" si="35">U70*1.266</f>
        <v>5918.55</v>
      </c>
    </row>
    <row r="71" spans="1:29" s="40" customFormat="1" ht="18.75" x14ac:dyDescent="0.25">
      <c r="A71" s="133" t="s">
        <v>437</v>
      </c>
      <c r="B71" s="51" t="s">
        <v>391</v>
      </c>
      <c r="C71" s="94" t="s">
        <v>54</v>
      </c>
      <c r="D71" s="95" t="s">
        <v>383</v>
      </c>
      <c r="E71" s="96" t="s">
        <v>114</v>
      </c>
      <c r="F71" s="97" t="s">
        <v>270</v>
      </c>
      <c r="G71" s="98">
        <f t="shared" si="28"/>
        <v>10740</v>
      </c>
      <c r="H71" s="99">
        <f t="shared" si="29"/>
        <v>11200</v>
      </c>
      <c r="I71" s="99">
        <f t="shared" si="30"/>
        <v>11200</v>
      </c>
      <c r="J71" s="99">
        <f t="shared" si="31"/>
        <v>12420</v>
      </c>
      <c r="K71" s="57"/>
      <c r="L71" s="156" t="s">
        <v>384</v>
      </c>
      <c r="M71" s="52" t="s">
        <v>398</v>
      </c>
      <c r="N71" s="40">
        <v>0</v>
      </c>
      <c r="O71" s="53">
        <f>VLOOKUP(B71,DRAYAGE!$A$1:$C$107,3,FALSE)</f>
        <v>6620</v>
      </c>
      <c r="P71" s="40" t="s">
        <v>413</v>
      </c>
      <c r="Q71" s="40" t="str">
        <f t="shared" si="32"/>
        <v>LAX-144760/10-30-2022</v>
      </c>
      <c r="R71" s="101">
        <v>8820</v>
      </c>
      <c r="S71" s="101">
        <f t="shared" si="33"/>
        <v>4117.5</v>
      </c>
      <c r="T71" s="54">
        <f>T63+175</f>
        <v>4575</v>
      </c>
      <c r="U71" s="103">
        <f t="shared" si="34"/>
        <v>4575</v>
      </c>
      <c r="V71" s="104">
        <f t="shared" si="35"/>
        <v>5791.95</v>
      </c>
    </row>
    <row r="72" spans="1:29" s="40" customFormat="1" ht="18.75" x14ac:dyDescent="0.25">
      <c r="A72" s="133" t="s">
        <v>437</v>
      </c>
      <c r="B72" s="51" t="s">
        <v>396</v>
      </c>
      <c r="C72" s="94" t="s">
        <v>54</v>
      </c>
      <c r="D72" s="95" t="s">
        <v>383</v>
      </c>
      <c r="E72" s="96" t="s">
        <v>114</v>
      </c>
      <c r="F72" s="97" t="s">
        <v>270</v>
      </c>
      <c r="G72" s="98">
        <f t="shared" si="28"/>
        <v>7530</v>
      </c>
      <c r="H72" s="99">
        <f t="shared" si="29"/>
        <v>8000</v>
      </c>
      <c r="I72" s="99">
        <f t="shared" si="30"/>
        <v>8000</v>
      </c>
      <c r="J72" s="99">
        <f t="shared" si="31"/>
        <v>9240</v>
      </c>
      <c r="K72" s="57"/>
      <c r="L72" s="156" t="s">
        <v>384</v>
      </c>
      <c r="M72" s="52" t="s">
        <v>399</v>
      </c>
      <c r="N72" s="40">
        <v>0</v>
      </c>
      <c r="O72" s="53">
        <f>VLOOKUP(B72,DRAYAGE!$A$1:$C$107,3,FALSE)</f>
        <v>3320</v>
      </c>
      <c r="P72" s="40" t="s">
        <v>428</v>
      </c>
      <c r="Q72" s="40" t="str">
        <f t="shared" si="32"/>
        <v>LAX-144770/10-30-2022</v>
      </c>
      <c r="R72" s="101">
        <v>9225</v>
      </c>
      <c r="S72" s="101">
        <f t="shared" si="33"/>
        <v>4207.5</v>
      </c>
      <c r="T72" s="54">
        <f>T64+175</f>
        <v>4675</v>
      </c>
      <c r="U72" s="103">
        <f t="shared" si="34"/>
        <v>4675</v>
      </c>
      <c r="V72" s="104">
        <f t="shared" si="35"/>
        <v>5918.55</v>
      </c>
    </row>
    <row r="73" spans="1:29" s="40" customFormat="1" ht="18.75" x14ac:dyDescent="0.25">
      <c r="A73" s="133" t="s">
        <v>437</v>
      </c>
      <c r="B73" s="51" t="s">
        <v>392</v>
      </c>
      <c r="C73" s="94" t="s">
        <v>54</v>
      </c>
      <c r="D73" s="95" t="s">
        <v>383</v>
      </c>
      <c r="E73" s="96" t="s">
        <v>114</v>
      </c>
      <c r="F73" s="97" t="s">
        <v>270</v>
      </c>
      <c r="G73" s="98">
        <f t="shared" si="28"/>
        <v>8280</v>
      </c>
      <c r="H73" s="99">
        <f t="shared" si="29"/>
        <v>8730</v>
      </c>
      <c r="I73" s="99">
        <f t="shared" si="30"/>
        <v>8730</v>
      </c>
      <c r="J73" s="99">
        <f t="shared" si="31"/>
        <v>9950</v>
      </c>
      <c r="K73" s="57"/>
      <c r="L73" s="156" t="s">
        <v>384</v>
      </c>
      <c r="M73" s="52" t="s">
        <v>398</v>
      </c>
      <c r="N73" s="40">
        <v>0</v>
      </c>
      <c r="O73" s="53">
        <f>VLOOKUP(B73,DRAYAGE!$A$1:$C$107,3,FALSE)</f>
        <v>4155</v>
      </c>
      <c r="P73" s="40" t="s">
        <v>415</v>
      </c>
      <c r="Q73" s="40" t="str">
        <f t="shared" si="32"/>
        <v>LAX-144767/10-30-2022</v>
      </c>
      <c r="R73" s="101">
        <v>8820</v>
      </c>
      <c r="S73" s="101">
        <f t="shared" si="33"/>
        <v>4117.5</v>
      </c>
      <c r="T73" s="54">
        <f>T71</f>
        <v>4575</v>
      </c>
      <c r="U73" s="103">
        <f t="shared" si="34"/>
        <v>4575</v>
      </c>
      <c r="V73" s="104">
        <f t="shared" si="35"/>
        <v>5791.95</v>
      </c>
    </row>
    <row r="74" spans="1:29" s="40" customFormat="1" ht="18.75" x14ac:dyDescent="0.25">
      <c r="A74" s="133" t="s">
        <v>437</v>
      </c>
      <c r="B74" s="51" t="s">
        <v>395</v>
      </c>
      <c r="C74" s="94" t="s">
        <v>54</v>
      </c>
      <c r="D74" s="95" t="s">
        <v>383</v>
      </c>
      <c r="E74" s="96" t="s">
        <v>114</v>
      </c>
      <c r="F74" s="97" t="s">
        <v>270</v>
      </c>
      <c r="G74" s="98">
        <f t="shared" si="28"/>
        <v>6400</v>
      </c>
      <c r="H74" s="99">
        <f t="shared" si="29"/>
        <v>6860</v>
      </c>
      <c r="I74" s="99">
        <f t="shared" si="30"/>
        <v>6860</v>
      </c>
      <c r="J74" s="99">
        <f t="shared" si="31"/>
        <v>8080</v>
      </c>
      <c r="K74" s="57"/>
      <c r="L74" s="156" t="s">
        <v>384</v>
      </c>
      <c r="M74" s="52" t="s">
        <v>400</v>
      </c>
      <c r="N74" s="40">
        <v>0</v>
      </c>
      <c r="O74" s="53">
        <f>VLOOKUP(B74,DRAYAGE!$A$1:$C$107,3,FALSE)</f>
        <v>2280</v>
      </c>
      <c r="P74" s="40" t="s">
        <v>414</v>
      </c>
      <c r="Q74" s="40" t="str">
        <f t="shared" si="32"/>
        <v>LAX-144768/10-30-2022</v>
      </c>
      <c r="R74" s="101">
        <v>9225</v>
      </c>
      <c r="S74" s="101">
        <f t="shared" si="33"/>
        <v>4117.5</v>
      </c>
      <c r="T74" s="54">
        <f>T66+175</f>
        <v>4575</v>
      </c>
      <c r="U74" s="103">
        <f t="shared" si="34"/>
        <v>4575</v>
      </c>
      <c r="V74" s="104">
        <f t="shared" si="35"/>
        <v>5791.95</v>
      </c>
    </row>
    <row r="75" spans="1:29" s="40" customFormat="1" ht="18.75" x14ac:dyDescent="0.25">
      <c r="A75" s="133" t="s">
        <v>437</v>
      </c>
      <c r="B75" s="51" t="s">
        <v>393</v>
      </c>
      <c r="C75" s="94" t="s">
        <v>54</v>
      </c>
      <c r="D75" s="95" t="s">
        <v>383</v>
      </c>
      <c r="E75" s="96" t="s">
        <v>114</v>
      </c>
      <c r="F75" s="97" t="s">
        <v>270</v>
      </c>
      <c r="G75" s="98">
        <f t="shared" si="28"/>
        <v>6930</v>
      </c>
      <c r="H75" s="99">
        <f t="shared" si="29"/>
        <v>7380</v>
      </c>
      <c r="I75" s="99">
        <f t="shared" si="30"/>
        <v>7380</v>
      </c>
      <c r="J75" s="99">
        <f t="shared" si="31"/>
        <v>8600</v>
      </c>
      <c r="K75" s="57"/>
      <c r="L75" s="156" t="s">
        <v>384</v>
      </c>
      <c r="M75" s="52" t="s">
        <v>398</v>
      </c>
      <c r="N75" s="40">
        <v>0</v>
      </c>
      <c r="O75" s="53">
        <f>VLOOKUP(B75,DRAYAGE!$A$1:$C$107,3,FALSE)</f>
        <v>2805</v>
      </c>
      <c r="P75" s="40" t="s">
        <v>415</v>
      </c>
      <c r="Q75" s="40" t="str">
        <f t="shared" si="32"/>
        <v>LAX-144766/10-30-2022</v>
      </c>
      <c r="R75" s="101">
        <v>8820</v>
      </c>
      <c r="S75" s="101">
        <f t="shared" si="33"/>
        <v>4117.5</v>
      </c>
      <c r="T75" s="54">
        <f>T71</f>
        <v>4575</v>
      </c>
      <c r="U75" s="103">
        <f t="shared" si="34"/>
        <v>4575</v>
      </c>
      <c r="V75" s="104">
        <f t="shared" si="35"/>
        <v>5791.95</v>
      </c>
    </row>
    <row r="76" spans="1:29" s="40" customFormat="1" ht="14.45" customHeight="1" x14ac:dyDescent="0.25">
      <c r="A76" s="133" t="s">
        <v>437</v>
      </c>
      <c r="B76" s="51" t="s">
        <v>394</v>
      </c>
      <c r="C76" s="94" t="s">
        <v>54</v>
      </c>
      <c r="D76" s="95" t="s">
        <v>383</v>
      </c>
      <c r="E76" s="96" t="s">
        <v>114</v>
      </c>
      <c r="F76" s="97" t="s">
        <v>270</v>
      </c>
      <c r="G76" s="98">
        <f t="shared" si="28"/>
        <v>6000</v>
      </c>
      <c r="H76" s="99">
        <f t="shared" si="29"/>
        <v>6460</v>
      </c>
      <c r="I76" s="99">
        <f t="shared" si="30"/>
        <v>6460</v>
      </c>
      <c r="J76" s="99">
        <f t="shared" si="31"/>
        <v>7710</v>
      </c>
      <c r="K76" s="57"/>
      <c r="L76" s="156" t="s">
        <v>384</v>
      </c>
      <c r="M76" s="52" t="s">
        <v>401</v>
      </c>
      <c r="N76" s="40">
        <v>0</v>
      </c>
      <c r="O76" s="53">
        <f>VLOOKUP(B76,DRAYAGE!$A$1:$C$107,3,FALSE)</f>
        <v>1785</v>
      </c>
      <c r="P76" s="40" t="s">
        <v>416</v>
      </c>
      <c r="Q76" s="40" t="str">
        <f t="shared" si="32"/>
        <v>LAX-144761/10-30-2022</v>
      </c>
      <c r="R76" s="101">
        <v>8640</v>
      </c>
      <c r="S76" s="101">
        <f t="shared" si="33"/>
        <v>4207.5</v>
      </c>
      <c r="T76" s="54">
        <f>T68+175</f>
        <v>4675</v>
      </c>
      <c r="U76" s="103">
        <f t="shared" si="34"/>
        <v>4675</v>
      </c>
      <c r="V76" s="104">
        <f t="shared" si="35"/>
        <v>5918.55</v>
      </c>
    </row>
    <row r="77" spans="1:29" s="40" customFormat="1" ht="14.45" customHeight="1" x14ac:dyDescent="0.25">
      <c r="A77" s="212" t="s">
        <v>271</v>
      </c>
      <c r="B77" s="212"/>
      <c r="C77" s="212"/>
      <c r="D77" s="212"/>
      <c r="E77" s="212"/>
      <c r="F77" s="212"/>
      <c r="G77" s="212"/>
      <c r="H77" s="212"/>
      <c r="I77" s="212"/>
      <c r="J77" s="212"/>
      <c r="K77" s="57"/>
      <c r="L77" s="100"/>
      <c r="M77" s="100"/>
      <c r="R77" s="37"/>
      <c r="S77" s="37"/>
      <c r="T77" s="37"/>
      <c r="U77" s="37"/>
      <c r="V77" s="37"/>
    </row>
    <row r="78" spans="1:29" s="40" customFormat="1" ht="21.4" customHeight="1" x14ac:dyDescent="0.25">
      <c r="A78" s="167"/>
      <c r="B78" s="168"/>
      <c r="C78" s="168"/>
      <c r="D78" s="168"/>
      <c r="E78" s="168"/>
      <c r="F78" s="168"/>
      <c r="G78" s="168"/>
      <c r="H78" s="168"/>
      <c r="I78" s="168"/>
      <c r="J78" s="168"/>
      <c r="K78" s="57"/>
      <c r="L78" s="100"/>
      <c r="M78" s="100"/>
      <c r="S78" s="37"/>
      <c r="T78" s="37"/>
      <c r="U78" s="37"/>
      <c r="V78" s="37"/>
      <c r="W78" s="37"/>
    </row>
    <row r="79" spans="1:29" s="37" customFormat="1" ht="14.45" customHeight="1" x14ac:dyDescent="0.25">
      <c r="A79" s="180" t="s">
        <v>111</v>
      </c>
      <c r="B79" s="180"/>
      <c r="C79" s="180"/>
      <c r="D79" s="180"/>
      <c r="E79" s="180"/>
      <c r="F79" s="180"/>
      <c r="G79" s="180"/>
      <c r="H79" s="180"/>
      <c r="I79" s="180"/>
      <c r="J79" s="180"/>
      <c r="K79" s="57"/>
    </row>
    <row r="80" spans="1:29" s="37" customFormat="1" ht="14.45" customHeight="1" x14ac:dyDescent="0.25">
      <c r="A80" s="208" t="s">
        <v>112</v>
      </c>
      <c r="B80" s="208"/>
      <c r="C80" s="208"/>
      <c r="D80" s="208"/>
      <c r="E80" s="208"/>
      <c r="F80" s="208"/>
      <c r="G80" s="208"/>
      <c r="H80" s="208"/>
      <c r="I80" s="208"/>
      <c r="J80" s="208"/>
      <c r="K80" s="57"/>
    </row>
    <row r="81" spans="1:17" s="37" customFormat="1" ht="14.45" customHeight="1" x14ac:dyDescent="0.25">
      <c r="A81" s="186" t="s">
        <v>67</v>
      </c>
      <c r="B81" s="186"/>
      <c r="C81" s="186"/>
      <c r="D81" s="186"/>
      <c r="E81" s="186" t="s">
        <v>68</v>
      </c>
      <c r="F81" s="186"/>
      <c r="G81" s="186"/>
      <c r="H81" s="186"/>
      <c r="I81" s="186"/>
      <c r="J81" s="186"/>
      <c r="K81" s="57"/>
      <c r="L81" s="209" t="s">
        <v>113</v>
      </c>
      <c r="M81" s="209"/>
      <c r="N81" s="209"/>
      <c r="O81" s="209"/>
      <c r="P81" s="209"/>
      <c r="Q81" s="209"/>
    </row>
    <row r="82" spans="1:17" s="37" customFormat="1" ht="14.45" customHeight="1" x14ac:dyDescent="0.25">
      <c r="A82" s="196" t="s">
        <v>69</v>
      </c>
      <c r="B82" s="196"/>
      <c r="C82" s="196"/>
      <c r="D82" s="196"/>
      <c r="E82" s="58" t="s">
        <v>114</v>
      </c>
      <c r="F82" s="196" t="s">
        <v>70</v>
      </c>
      <c r="G82" s="196"/>
      <c r="H82" s="196"/>
      <c r="I82" s="196"/>
      <c r="J82" s="196"/>
      <c r="K82" s="57"/>
      <c r="L82" s="197" t="s">
        <v>115</v>
      </c>
      <c r="M82" s="197"/>
      <c r="N82" s="197"/>
      <c r="O82" s="197"/>
      <c r="P82" s="197"/>
      <c r="Q82" s="197"/>
    </row>
    <row r="83" spans="1:17" s="37" customFormat="1" ht="14.45" customHeight="1" x14ac:dyDescent="0.25">
      <c r="A83" s="196" t="s">
        <v>71</v>
      </c>
      <c r="B83" s="196"/>
      <c r="C83" s="196"/>
      <c r="D83" s="201"/>
      <c r="E83" s="58" t="s">
        <v>114</v>
      </c>
      <c r="F83" s="196" t="s">
        <v>116</v>
      </c>
      <c r="G83" s="196"/>
      <c r="H83" s="196"/>
      <c r="I83" s="196"/>
      <c r="J83" s="196"/>
      <c r="K83" s="57"/>
      <c r="L83" s="197"/>
      <c r="M83" s="197"/>
      <c r="N83" s="197"/>
      <c r="O83" s="197"/>
      <c r="P83" s="197"/>
      <c r="Q83" s="197"/>
    </row>
    <row r="84" spans="1:17" s="37" customFormat="1" ht="18" customHeight="1" x14ac:dyDescent="0.25">
      <c r="A84" s="196" t="s">
        <v>117</v>
      </c>
      <c r="B84" s="196"/>
      <c r="C84" s="196"/>
      <c r="D84" s="201"/>
      <c r="E84" s="58" t="s">
        <v>114</v>
      </c>
      <c r="F84" s="196" t="s">
        <v>306</v>
      </c>
      <c r="G84" s="196"/>
      <c r="H84" s="196"/>
      <c r="I84" s="196"/>
      <c r="J84" s="196"/>
      <c r="K84" s="57"/>
      <c r="L84" s="59" t="s">
        <v>118</v>
      </c>
      <c r="M84" s="129"/>
      <c r="N84" s="129"/>
      <c r="O84" s="129"/>
      <c r="P84" s="129"/>
      <c r="Q84" s="129"/>
    </row>
    <row r="85" spans="1:17" s="177" customFormat="1" ht="18" customHeight="1" x14ac:dyDescent="0.25">
      <c r="A85" s="203" t="s">
        <v>502</v>
      </c>
      <c r="B85" s="206"/>
      <c r="C85" s="206"/>
      <c r="D85" s="207"/>
      <c r="E85" s="115" t="s">
        <v>127</v>
      </c>
      <c r="F85" s="203" t="s">
        <v>503</v>
      </c>
      <c r="G85" s="206"/>
      <c r="H85" s="206"/>
      <c r="I85" s="206"/>
      <c r="J85" s="207"/>
      <c r="K85" s="174"/>
      <c r="L85" s="175"/>
      <c r="M85" s="176"/>
      <c r="N85" s="176"/>
      <c r="O85" s="176"/>
      <c r="P85" s="176"/>
      <c r="Q85" s="176"/>
    </row>
    <row r="86" spans="1:17" s="37" customFormat="1" ht="32.65" customHeight="1" x14ac:dyDescent="0.25">
      <c r="A86" s="202" t="s">
        <v>388</v>
      </c>
      <c r="B86" s="202"/>
      <c r="C86" s="202"/>
      <c r="D86" s="203"/>
      <c r="E86" s="58" t="s">
        <v>127</v>
      </c>
      <c r="F86" s="185" t="s">
        <v>423</v>
      </c>
      <c r="G86" s="185"/>
      <c r="H86" s="185"/>
      <c r="I86" s="185"/>
      <c r="J86" s="185"/>
      <c r="K86" s="57"/>
      <c r="L86" s="59" t="s">
        <v>118</v>
      </c>
      <c r="M86" s="129"/>
      <c r="N86" s="129"/>
      <c r="O86" s="129"/>
      <c r="P86" s="129"/>
      <c r="Q86" s="129"/>
    </row>
    <row r="87" spans="1:17" s="37" customFormat="1" ht="36.950000000000003" customHeight="1" x14ac:dyDescent="0.25">
      <c r="A87" s="196" t="s">
        <v>367</v>
      </c>
      <c r="B87" s="196"/>
      <c r="C87" s="196"/>
      <c r="D87" s="201"/>
      <c r="E87" s="58" t="s">
        <v>114</v>
      </c>
      <c r="F87" s="185" t="s">
        <v>368</v>
      </c>
      <c r="G87" s="185"/>
      <c r="H87" s="185"/>
      <c r="I87" s="185"/>
      <c r="J87" s="185"/>
      <c r="K87" s="57"/>
      <c r="L87" s="59" t="s">
        <v>118</v>
      </c>
      <c r="M87" s="129"/>
      <c r="N87" s="129"/>
      <c r="O87" s="129"/>
      <c r="P87" s="129"/>
      <c r="Q87" s="129"/>
    </row>
    <row r="88" spans="1:17" s="37" customFormat="1" ht="70.349999999999994" customHeight="1" x14ac:dyDescent="0.25">
      <c r="A88" s="204" t="s">
        <v>438</v>
      </c>
      <c r="B88" s="204"/>
      <c r="C88" s="204"/>
      <c r="D88" s="205"/>
      <c r="E88" s="58" t="s">
        <v>114</v>
      </c>
      <c r="F88" s="204" t="s">
        <v>439</v>
      </c>
      <c r="G88" s="204"/>
      <c r="H88" s="204"/>
      <c r="I88" s="204"/>
      <c r="J88" s="204"/>
      <c r="K88" s="132"/>
      <c r="L88" s="59" t="s">
        <v>118</v>
      </c>
      <c r="M88" s="129"/>
      <c r="N88" s="129"/>
      <c r="O88" s="129"/>
      <c r="P88" s="129"/>
      <c r="Q88" s="129"/>
    </row>
    <row r="89" spans="1:17" s="37" customFormat="1" ht="14.45" customHeight="1" x14ac:dyDescent="0.25">
      <c r="A89" s="196" t="s">
        <v>119</v>
      </c>
      <c r="B89" s="196"/>
      <c r="C89" s="196"/>
      <c r="D89" s="196"/>
      <c r="E89" s="58" t="s">
        <v>114</v>
      </c>
      <c r="F89" s="196" t="s">
        <v>120</v>
      </c>
      <c r="G89" s="196"/>
      <c r="H89" s="196"/>
      <c r="I89" s="196"/>
      <c r="J89" s="196"/>
      <c r="K89" s="132"/>
      <c r="L89" s="197" t="s">
        <v>121</v>
      </c>
      <c r="M89" s="197"/>
      <c r="N89" s="197"/>
      <c r="O89" s="197"/>
      <c r="P89" s="197"/>
      <c r="Q89" s="197"/>
    </row>
    <row r="90" spans="1:17" s="37" customFormat="1" ht="14.45" customHeight="1" x14ac:dyDescent="0.25">
      <c r="A90" s="196" t="s">
        <v>122</v>
      </c>
      <c r="B90" s="196"/>
      <c r="C90" s="196"/>
      <c r="D90" s="196"/>
      <c r="E90" s="58" t="s">
        <v>114</v>
      </c>
      <c r="F90" s="196" t="s">
        <v>123</v>
      </c>
      <c r="G90" s="196"/>
      <c r="H90" s="196"/>
      <c r="I90" s="196"/>
      <c r="J90" s="196"/>
      <c r="K90" s="132"/>
      <c r="L90" s="197"/>
      <c r="M90" s="197"/>
      <c r="N90" s="197"/>
      <c r="O90" s="197"/>
      <c r="P90" s="197"/>
      <c r="Q90" s="197"/>
    </row>
    <row r="91" spans="1:17" s="37" customFormat="1" ht="14.45" customHeight="1" x14ac:dyDescent="0.25">
      <c r="A91" s="196" t="s">
        <v>277</v>
      </c>
      <c r="B91" s="196"/>
      <c r="C91" s="196"/>
      <c r="D91" s="196"/>
      <c r="E91" s="58" t="s">
        <v>114</v>
      </c>
      <c r="F91" s="196" t="s">
        <v>278</v>
      </c>
      <c r="G91" s="196"/>
      <c r="H91" s="196"/>
      <c r="I91" s="196"/>
      <c r="J91" s="196"/>
      <c r="K91" s="132"/>
      <c r="L91" s="197"/>
      <c r="M91" s="197"/>
      <c r="N91" s="197"/>
      <c r="O91" s="197"/>
      <c r="P91" s="197"/>
      <c r="Q91" s="197"/>
    </row>
    <row r="92" spans="1:17" s="37" customFormat="1" ht="14.45" customHeight="1" x14ac:dyDescent="0.25">
      <c r="A92" s="196" t="s">
        <v>124</v>
      </c>
      <c r="B92" s="196"/>
      <c r="C92" s="196"/>
      <c r="D92" s="196"/>
      <c r="E92" s="58" t="s">
        <v>114</v>
      </c>
      <c r="F92" s="196" t="s">
        <v>125</v>
      </c>
      <c r="G92" s="196"/>
      <c r="H92" s="196"/>
      <c r="I92" s="196"/>
      <c r="J92" s="196"/>
      <c r="K92" s="132"/>
      <c r="L92" s="197"/>
      <c r="M92" s="197"/>
      <c r="N92" s="197"/>
      <c r="O92" s="197"/>
      <c r="P92" s="197"/>
      <c r="Q92" s="197"/>
    </row>
    <row r="93" spans="1:17" s="37" customFormat="1" ht="18.95" customHeight="1" x14ac:dyDescent="0.25">
      <c r="A93" s="196" t="s">
        <v>126</v>
      </c>
      <c r="B93" s="196"/>
      <c r="C93" s="196"/>
      <c r="D93" s="201"/>
      <c r="E93" s="58" t="s">
        <v>127</v>
      </c>
      <c r="F93" s="128" t="s">
        <v>409</v>
      </c>
      <c r="G93" s="185" t="s">
        <v>410</v>
      </c>
      <c r="H93" s="185"/>
      <c r="I93" s="185"/>
      <c r="J93" s="185"/>
      <c r="K93" s="132"/>
      <c r="L93" s="197" t="s">
        <v>130</v>
      </c>
      <c r="M93" s="197"/>
      <c r="N93" s="197"/>
      <c r="O93" s="197"/>
      <c r="P93" s="197"/>
      <c r="Q93" s="197"/>
    </row>
    <row r="94" spans="1:17" s="37" customFormat="1" ht="24.95" customHeight="1" x14ac:dyDescent="0.25">
      <c r="A94" s="196" t="s">
        <v>126</v>
      </c>
      <c r="B94" s="196"/>
      <c r="C94" s="196"/>
      <c r="D94" s="196"/>
      <c r="E94" s="58" t="s">
        <v>127</v>
      </c>
      <c r="F94" s="128" t="s">
        <v>131</v>
      </c>
      <c r="G94" s="185" t="s">
        <v>374</v>
      </c>
      <c r="H94" s="185"/>
      <c r="I94" s="185"/>
      <c r="J94" s="185"/>
      <c r="K94" s="132"/>
      <c r="L94" s="197" t="s">
        <v>130</v>
      </c>
      <c r="M94" s="197"/>
      <c r="N94" s="197"/>
      <c r="O94" s="197"/>
      <c r="P94" s="197"/>
      <c r="Q94" s="197"/>
    </row>
    <row r="95" spans="1:17" s="37" customFormat="1" ht="24.95" customHeight="1" x14ac:dyDescent="0.25">
      <c r="A95" s="196" t="s">
        <v>372</v>
      </c>
      <c r="B95" s="196"/>
      <c r="C95" s="196"/>
      <c r="D95" s="196"/>
      <c r="E95" s="58" t="s">
        <v>127</v>
      </c>
      <c r="F95" s="128" t="s">
        <v>131</v>
      </c>
      <c r="G95" s="185" t="s">
        <v>385</v>
      </c>
      <c r="H95" s="185"/>
      <c r="I95" s="185"/>
      <c r="J95" s="185"/>
      <c r="K95" s="132"/>
      <c r="L95" s="197" t="s">
        <v>130</v>
      </c>
      <c r="M95" s="197"/>
      <c r="N95" s="197"/>
      <c r="O95" s="197"/>
      <c r="P95" s="197"/>
      <c r="Q95" s="197"/>
    </row>
    <row r="96" spans="1:17" s="37" customFormat="1" ht="37.5" customHeight="1" x14ac:dyDescent="0.25">
      <c r="A96" s="198" t="s">
        <v>311</v>
      </c>
      <c r="B96" s="199"/>
      <c r="C96" s="199"/>
      <c r="D96" s="200"/>
      <c r="E96" s="198" t="s">
        <v>312</v>
      </c>
      <c r="F96" s="199"/>
      <c r="G96" s="199"/>
      <c r="H96" s="199"/>
      <c r="I96" s="199"/>
      <c r="J96" s="200"/>
      <c r="K96" s="132"/>
      <c r="L96" s="197"/>
      <c r="M96" s="197"/>
      <c r="N96" s="197"/>
      <c r="O96" s="197"/>
      <c r="P96" s="197"/>
      <c r="Q96" s="197"/>
    </row>
    <row r="97" spans="1:13" s="37" customFormat="1" ht="14.45" customHeight="1" x14ac:dyDescent="0.25">
      <c r="A97" s="180" t="s">
        <v>133</v>
      </c>
      <c r="B97" s="180"/>
      <c r="C97" s="180"/>
      <c r="D97" s="180"/>
      <c r="E97" s="180"/>
      <c r="F97" s="180"/>
      <c r="G97" s="180"/>
      <c r="H97" s="180"/>
      <c r="I97" s="180"/>
      <c r="J97" s="180"/>
      <c r="K97" s="57"/>
      <c r="L97" s="129"/>
      <c r="M97" s="129"/>
    </row>
    <row r="98" spans="1:13" s="37" customFormat="1" ht="14.45" customHeight="1" x14ac:dyDescent="0.2">
      <c r="A98" s="60" t="s">
        <v>134</v>
      </c>
      <c r="B98" s="60" t="s">
        <v>135</v>
      </c>
      <c r="C98" s="60" t="s">
        <v>136</v>
      </c>
      <c r="D98" s="193" t="s">
        <v>137</v>
      </c>
      <c r="E98" s="194"/>
      <c r="F98" s="195"/>
      <c r="G98" s="61" t="s">
        <v>138</v>
      </c>
      <c r="H98" s="60" t="s">
        <v>139</v>
      </c>
      <c r="I98" s="61" t="s">
        <v>140</v>
      </c>
      <c r="J98" s="61" t="s">
        <v>141</v>
      </c>
      <c r="K98" s="57"/>
      <c r="L98" s="129"/>
      <c r="M98" s="129"/>
    </row>
    <row r="99" spans="1:13" s="37" customFormat="1" ht="14.45" customHeight="1" x14ac:dyDescent="0.2">
      <c r="A99" s="62" t="s">
        <v>142</v>
      </c>
      <c r="B99" s="62" t="s">
        <v>49</v>
      </c>
      <c r="C99" s="62" t="s">
        <v>143</v>
      </c>
      <c r="D99" s="187" t="s">
        <v>144</v>
      </c>
      <c r="E99" s="188"/>
      <c r="F99" s="189"/>
      <c r="G99" s="63">
        <v>50</v>
      </c>
      <c r="H99" s="62" t="s">
        <v>145</v>
      </c>
      <c r="I99" s="63">
        <v>150</v>
      </c>
      <c r="J99" s="63" t="s">
        <v>110</v>
      </c>
      <c r="K99" s="57"/>
      <c r="L99" s="129"/>
      <c r="M99" s="129"/>
    </row>
    <row r="100" spans="1:13" s="37" customFormat="1" ht="14.45" customHeight="1" x14ac:dyDescent="0.2">
      <c r="A100" s="62" t="s">
        <v>142</v>
      </c>
      <c r="B100" s="62" t="s">
        <v>146</v>
      </c>
      <c r="C100" s="62" t="s">
        <v>147</v>
      </c>
      <c r="D100" s="187" t="s">
        <v>148</v>
      </c>
      <c r="E100" s="188"/>
      <c r="F100" s="189"/>
      <c r="G100" s="63">
        <v>3</v>
      </c>
      <c r="H100" s="62" t="s">
        <v>149</v>
      </c>
      <c r="I100" s="63">
        <v>3</v>
      </c>
      <c r="J100" s="63" t="s">
        <v>110</v>
      </c>
      <c r="K100" s="57"/>
      <c r="L100" s="129"/>
      <c r="M100" s="129"/>
    </row>
    <row r="101" spans="1:13" s="37" customFormat="1" ht="14.45" customHeight="1" x14ac:dyDescent="0.2">
      <c r="A101" s="62" t="s">
        <v>150</v>
      </c>
      <c r="B101" s="62" t="s">
        <v>146</v>
      </c>
      <c r="C101" s="62" t="s">
        <v>147</v>
      </c>
      <c r="D101" s="187" t="s">
        <v>151</v>
      </c>
      <c r="E101" s="188"/>
      <c r="F101" s="189"/>
      <c r="G101" s="63">
        <v>3</v>
      </c>
      <c r="H101" s="62" t="s">
        <v>152</v>
      </c>
      <c r="I101" s="63">
        <v>3</v>
      </c>
      <c r="J101" s="63" t="s">
        <v>110</v>
      </c>
      <c r="K101" s="57"/>
      <c r="L101" s="129"/>
      <c r="M101" s="129"/>
    </row>
    <row r="102" spans="1:13" s="37" customFormat="1" ht="14.45" customHeight="1" x14ac:dyDescent="0.2">
      <c r="A102" s="62" t="s">
        <v>173</v>
      </c>
      <c r="B102" s="62" t="s">
        <v>49</v>
      </c>
      <c r="C102" s="62" t="s">
        <v>143</v>
      </c>
      <c r="D102" s="187" t="s">
        <v>313</v>
      </c>
      <c r="E102" s="188"/>
      <c r="F102" s="189"/>
      <c r="G102" s="66">
        <v>75</v>
      </c>
      <c r="H102" s="62" t="s">
        <v>145</v>
      </c>
      <c r="I102" s="66">
        <f>75*3</f>
        <v>225</v>
      </c>
      <c r="J102" s="66" t="s">
        <v>314</v>
      </c>
      <c r="K102" s="132"/>
      <c r="L102" s="129"/>
      <c r="M102" s="129"/>
    </row>
    <row r="103" spans="1:13" s="37" customFormat="1" ht="14.45" customHeight="1" x14ac:dyDescent="0.2">
      <c r="A103" s="62" t="s">
        <v>142</v>
      </c>
      <c r="B103" s="62" t="s">
        <v>49</v>
      </c>
      <c r="C103" s="62" t="s">
        <v>143</v>
      </c>
      <c r="D103" s="187" t="s">
        <v>279</v>
      </c>
      <c r="E103" s="188"/>
      <c r="F103" s="189"/>
      <c r="G103" s="63">
        <v>150</v>
      </c>
      <c r="H103" s="62" t="s">
        <v>280</v>
      </c>
      <c r="I103" s="63" t="s">
        <v>153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2" t="s">
        <v>154</v>
      </c>
      <c r="B104" s="62" t="s">
        <v>49</v>
      </c>
      <c r="C104" s="62" t="s">
        <v>143</v>
      </c>
      <c r="D104" s="187" t="s">
        <v>155</v>
      </c>
      <c r="E104" s="188"/>
      <c r="F104" s="189"/>
      <c r="G104" s="63">
        <v>250</v>
      </c>
      <c r="H104" s="62" t="s">
        <v>49</v>
      </c>
      <c r="I104" s="63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5" t="s">
        <v>156</v>
      </c>
      <c r="B105" s="65" t="s">
        <v>49</v>
      </c>
      <c r="C105" s="65" t="s">
        <v>143</v>
      </c>
      <c r="D105" s="187" t="s">
        <v>157</v>
      </c>
      <c r="E105" s="188"/>
      <c r="F105" s="189"/>
      <c r="G105" s="63">
        <v>250</v>
      </c>
      <c r="H105" s="62" t="s">
        <v>49</v>
      </c>
      <c r="I105" s="63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142</v>
      </c>
      <c r="B106" s="62" t="s">
        <v>49</v>
      </c>
      <c r="C106" s="62" t="s">
        <v>143</v>
      </c>
      <c r="D106" s="187" t="s">
        <v>281</v>
      </c>
      <c r="E106" s="188"/>
      <c r="F106" s="189"/>
      <c r="G106" s="63">
        <v>200</v>
      </c>
      <c r="H106" s="62" t="s">
        <v>280</v>
      </c>
      <c r="I106" s="63" t="s">
        <v>153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142</v>
      </c>
      <c r="B107" s="62" t="s">
        <v>49</v>
      </c>
      <c r="C107" s="62" t="s">
        <v>143</v>
      </c>
      <c r="D107" s="187" t="s">
        <v>158</v>
      </c>
      <c r="E107" s="188"/>
      <c r="F107" s="189"/>
      <c r="G107" s="66">
        <v>150</v>
      </c>
      <c r="H107" s="62" t="s">
        <v>49</v>
      </c>
      <c r="I107" s="66" t="s">
        <v>153</v>
      </c>
      <c r="J107" s="63" t="s">
        <v>110</v>
      </c>
      <c r="K107" s="57"/>
      <c r="L107" s="129"/>
      <c r="M107" s="129"/>
    </row>
    <row r="108" spans="1:13" s="37" customFormat="1" ht="14.45" customHeight="1" x14ac:dyDescent="0.2">
      <c r="A108" s="62" t="s">
        <v>150</v>
      </c>
      <c r="B108" s="67" t="s">
        <v>49</v>
      </c>
      <c r="C108" s="62" t="s">
        <v>143</v>
      </c>
      <c r="D108" s="187" t="s">
        <v>159</v>
      </c>
      <c r="E108" s="188"/>
      <c r="F108" s="189"/>
      <c r="G108" s="68">
        <v>180</v>
      </c>
      <c r="H108" s="67" t="s">
        <v>49</v>
      </c>
      <c r="I108" s="68" t="s">
        <v>153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160</v>
      </c>
      <c r="B109" s="67" t="s">
        <v>49</v>
      </c>
      <c r="C109" s="62" t="s">
        <v>143</v>
      </c>
      <c r="D109" s="187" t="s">
        <v>161</v>
      </c>
      <c r="E109" s="188"/>
      <c r="F109" s="189"/>
      <c r="G109" s="69">
        <v>47.9</v>
      </c>
      <c r="H109" s="67" t="s">
        <v>24</v>
      </c>
      <c r="I109" s="69">
        <v>47.9</v>
      </c>
      <c r="J109" s="63" t="s">
        <v>110</v>
      </c>
      <c r="K109" s="57"/>
      <c r="L109" s="129"/>
      <c r="M109" s="129"/>
    </row>
    <row r="110" spans="1:13" s="37" customFormat="1" ht="14.45" customHeight="1" x14ac:dyDescent="0.2">
      <c r="A110" s="62" t="s">
        <v>160</v>
      </c>
      <c r="B110" s="67" t="s">
        <v>49</v>
      </c>
      <c r="C110" s="62" t="s">
        <v>143</v>
      </c>
      <c r="D110" s="187" t="s">
        <v>161</v>
      </c>
      <c r="E110" s="188"/>
      <c r="F110" s="189"/>
      <c r="G110" s="69">
        <v>65.400000000000006</v>
      </c>
      <c r="H110" s="67" t="s">
        <v>162</v>
      </c>
      <c r="I110" s="69">
        <v>65.400000000000006</v>
      </c>
      <c r="J110" s="63" t="s">
        <v>110</v>
      </c>
      <c r="K110" s="57"/>
      <c r="L110" s="129"/>
      <c r="M110" s="129"/>
    </row>
    <row r="111" spans="1:13" s="37" customFormat="1" ht="14.1" customHeight="1" x14ac:dyDescent="0.2">
      <c r="A111" s="62" t="s">
        <v>163</v>
      </c>
      <c r="B111" s="67" t="s">
        <v>49</v>
      </c>
      <c r="C111" s="62" t="s">
        <v>143</v>
      </c>
      <c r="D111" s="187" t="s">
        <v>164</v>
      </c>
      <c r="E111" s="188"/>
      <c r="F111" s="189"/>
      <c r="G111" s="69">
        <v>48</v>
      </c>
      <c r="H111" s="67" t="s">
        <v>49</v>
      </c>
      <c r="I111" s="69">
        <v>48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163</v>
      </c>
      <c r="B112" s="67" t="s">
        <v>49</v>
      </c>
      <c r="C112" s="62" t="s">
        <v>143</v>
      </c>
      <c r="D112" s="187" t="s">
        <v>165</v>
      </c>
      <c r="E112" s="188"/>
      <c r="F112" s="189"/>
      <c r="G112" s="69">
        <v>18</v>
      </c>
      <c r="H112" s="67" t="s">
        <v>49</v>
      </c>
      <c r="I112" s="69">
        <v>18</v>
      </c>
      <c r="J112" s="63" t="s">
        <v>110</v>
      </c>
      <c r="K112" s="57"/>
      <c r="L112" s="129"/>
      <c r="M112" s="129"/>
    </row>
    <row r="113" spans="1:13" s="37" customFormat="1" ht="14.45" customHeight="1" x14ac:dyDescent="0.2">
      <c r="A113" s="62" t="s">
        <v>163</v>
      </c>
      <c r="B113" s="67" t="s">
        <v>49</v>
      </c>
      <c r="C113" s="62" t="s">
        <v>143</v>
      </c>
      <c r="D113" s="187" t="s">
        <v>166</v>
      </c>
      <c r="E113" s="188"/>
      <c r="F113" s="189"/>
      <c r="G113" s="69">
        <v>42</v>
      </c>
      <c r="H113" s="67" t="s">
        <v>49</v>
      </c>
      <c r="I113" s="69">
        <v>42</v>
      </c>
      <c r="J113" s="63" t="s">
        <v>110</v>
      </c>
      <c r="K113" s="57"/>
      <c r="L113" s="129"/>
      <c r="M113" s="129"/>
    </row>
    <row r="114" spans="1:13" s="37" customFormat="1" ht="14.45" customHeight="1" x14ac:dyDescent="0.2">
      <c r="A114" s="62" t="s">
        <v>167</v>
      </c>
      <c r="B114" s="62" t="s">
        <v>49</v>
      </c>
      <c r="C114" s="62" t="s">
        <v>143</v>
      </c>
      <c r="D114" s="187" t="s">
        <v>168</v>
      </c>
      <c r="E114" s="188"/>
      <c r="F114" s="189"/>
      <c r="G114" s="66">
        <v>54</v>
      </c>
      <c r="H114" s="62" t="s">
        <v>49</v>
      </c>
      <c r="I114" s="66">
        <v>54</v>
      </c>
      <c r="J114" s="63" t="s">
        <v>110</v>
      </c>
      <c r="K114" s="57"/>
      <c r="L114" s="129"/>
      <c r="M114" s="129"/>
    </row>
    <row r="115" spans="1:13" s="37" customFormat="1" ht="14.45" customHeight="1" x14ac:dyDescent="0.2">
      <c r="A115" s="67" t="s">
        <v>169</v>
      </c>
      <c r="B115" s="67" t="s">
        <v>49</v>
      </c>
      <c r="C115" s="67" t="s">
        <v>147</v>
      </c>
      <c r="D115" s="187" t="s">
        <v>170</v>
      </c>
      <c r="E115" s="188"/>
      <c r="F115" s="189"/>
      <c r="G115" s="70">
        <v>35</v>
      </c>
      <c r="H115" s="70" t="s">
        <v>280</v>
      </c>
      <c r="I115" s="70">
        <v>35</v>
      </c>
      <c r="J115" s="63" t="s">
        <v>110</v>
      </c>
      <c r="K115" s="57"/>
      <c r="L115" s="129"/>
      <c r="M115" s="129"/>
    </row>
    <row r="116" spans="1:13" s="37" customFormat="1" ht="14.45" customHeight="1" x14ac:dyDescent="0.2">
      <c r="A116" s="62" t="s">
        <v>142</v>
      </c>
      <c r="B116" s="62" t="s">
        <v>49</v>
      </c>
      <c r="C116" s="62" t="s">
        <v>143</v>
      </c>
      <c r="D116" s="187" t="s">
        <v>171</v>
      </c>
      <c r="E116" s="188"/>
      <c r="F116" s="189"/>
      <c r="G116" s="63">
        <v>85</v>
      </c>
      <c r="H116" s="62" t="s">
        <v>172</v>
      </c>
      <c r="I116" s="63" t="s">
        <v>153</v>
      </c>
      <c r="J116" s="63" t="s">
        <v>110</v>
      </c>
      <c r="K116" s="57"/>
      <c r="L116" s="129"/>
      <c r="M116" s="129"/>
    </row>
    <row r="117" spans="1:13" s="37" customFormat="1" ht="14.45" customHeight="1" x14ac:dyDescent="0.2">
      <c r="A117" s="62" t="s">
        <v>173</v>
      </c>
      <c r="B117" s="62" t="s">
        <v>146</v>
      </c>
      <c r="C117" s="62" t="s">
        <v>147</v>
      </c>
      <c r="D117" s="187" t="s">
        <v>174</v>
      </c>
      <c r="E117" s="188"/>
      <c r="F117" s="189"/>
      <c r="G117" s="63">
        <v>4</v>
      </c>
      <c r="H117" s="62" t="s">
        <v>149</v>
      </c>
      <c r="I117" s="63">
        <v>4</v>
      </c>
      <c r="J117" s="63" t="s">
        <v>110</v>
      </c>
      <c r="K117" s="57"/>
      <c r="L117" s="129"/>
      <c r="M117" s="129"/>
    </row>
    <row r="118" spans="1:13" s="37" customFormat="1" ht="24" customHeight="1" x14ac:dyDescent="0.2">
      <c r="A118" s="62" t="s">
        <v>173</v>
      </c>
      <c r="B118" s="62" t="s">
        <v>49</v>
      </c>
      <c r="C118" s="62" t="s">
        <v>143</v>
      </c>
      <c r="D118" s="187" t="s">
        <v>175</v>
      </c>
      <c r="E118" s="188"/>
      <c r="F118" s="189"/>
      <c r="G118" s="137" t="s">
        <v>348</v>
      </c>
      <c r="H118" s="62" t="s">
        <v>24</v>
      </c>
      <c r="I118" s="66" t="s">
        <v>153</v>
      </c>
      <c r="J118" s="63" t="s">
        <v>282</v>
      </c>
      <c r="K118" s="57"/>
      <c r="L118" s="129"/>
      <c r="M118" s="129"/>
    </row>
    <row r="119" spans="1:13" s="37" customFormat="1" ht="27" customHeight="1" x14ac:dyDescent="0.2">
      <c r="A119" s="62" t="s">
        <v>173</v>
      </c>
      <c r="B119" s="62" t="s">
        <v>49</v>
      </c>
      <c r="C119" s="62" t="s">
        <v>143</v>
      </c>
      <c r="D119" s="187" t="s">
        <v>176</v>
      </c>
      <c r="E119" s="188"/>
      <c r="F119" s="189"/>
      <c r="G119" s="137" t="s">
        <v>348</v>
      </c>
      <c r="H119" s="62" t="s">
        <v>162</v>
      </c>
      <c r="I119" s="66" t="s">
        <v>153</v>
      </c>
      <c r="J119" s="63" t="s">
        <v>282</v>
      </c>
      <c r="K119" s="57"/>
      <c r="L119" s="129"/>
      <c r="M119" s="129"/>
    </row>
    <row r="120" spans="1:13" s="152" customFormat="1" ht="52.35" customHeight="1" x14ac:dyDescent="0.2">
      <c r="A120" s="67" t="s">
        <v>142</v>
      </c>
      <c r="B120" s="67" t="s">
        <v>49</v>
      </c>
      <c r="C120" s="147" t="s">
        <v>362</v>
      </c>
      <c r="D120" s="190" t="s">
        <v>363</v>
      </c>
      <c r="E120" s="191"/>
      <c r="F120" s="192"/>
      <c r="G120" s="146" t="s">
        <v>371</v>
      </c>
      <c r="H120" s="148" t="s">
        <v>280</v>
      </c>
      <c r="I120" s="69" t="s">
        <v>153</v>
      </c>
      <c r="J120" s="149" t="s">
        <v>365</v>
      </c>
      <c r="K120" s="111"/>
      <c r="L120" s="151"/>
      <c r="M120" s="151"/>
    </row>
    <row r="121" spans="1:13" s="37" customFormat="1" ht="14.45" customHeight="1" x14ac:dyDescent="0.2">
      <c r="A121" s="62" t="s">
        <v>173</v>
      </c>
      <c r="B121" s="62" t="s">
        <v>146</v>
      </c>
      <c r="C121" s="62" t="s">
        <v>147</v>
      </c>
      <c r="D121" s="187" t="s">
        <v>177</v>
      </c>
      <c r="E121" s="188"/>
      <c r="F121" s="189"/>
      <c r="G121" s="63">
        <v>2</v>
      </c>
      <c r="H121" s="62" t="s">
        <v>149</v>
      </c>
      <c r="I121" s="63">
        <v>2</v>
      </c>
      <c r="J121" s="63" t="s">
        <v>110</v>
      </c>
      <c r="K121" s="57"/>
      <c r="L121" s="129"/>
      <c r="M121" s="129"/>
    </row>
    <row r="122" spans="1:13" s="37" customFormat="1" ht="14.45" customHeight="1" x14ac:dyDescent="0.2">
      <c r="A122" s="62" t="s">
        <v>173</v>
      </c>
      <c r="B122" s="62" t="s">
        <v>146</v>
      </c>
      <c r="C122" s="62" t="s">
        <v>283</v>
      </c>
      <c r="D122" s="187" t="s">
        <v>284</v>
      </c>
      <c r="E122" s="188"/>
      <c r="F122" s="189"/>
      <c r="G122" s="63">
        <v>10</v>
      </c>
      <c r="H122" s="62" t="s">
        <v>285</v>
      </c>
      <c r="I122" s="63" t="s">
        <v>153</v>
      </c>
      <c r="J122" s="63" t="s">
        <v>110</v>
      </c>
      <c r="K122" s="57"/>
      <c r="L122" s="129"/>
      <c r="M122" s="129"/>
    </row>
    <row r="123" spans="1:13" s="37" customFormat="1" ht="14.45" customHeight="1" x14ac:dyDescent="0.2">
      <c r="A123" s="62" t="s">
        <v>142</v>
      </c>
      <c r="B123" s="62" t="s">
        <v>49</v>
      </c>
      <c r="C123" s="62" t="s">
        <v>143</v>
      </c>
      <c r="D123" s="187" t="s">
        <v>178</v>
      </c>
      <c r="E123" s="188"/>
      <c r="F123" s="189"/>
      <c r="G123" s="63">
        <v>50</v>
      </c>
      <c r="H123" s="62" t="s">
        <v>145</v>
      </c>
      <c r="I123" s="63" t="s">
        <v>153</v>
      </c>
      <c r="J123" s="63" t="s">
        <v>110</v>
      </c>
      <c r="K123" s="57"/>
      <c r="L123" s="129"/>
      <c r="M123" s="129"/>
    </row>
    <row r="124" spans="1:13" s="37" customFormat="1" ht="14.45" customHeight="1" x14ac:dyDescent="0.2">
      <c r="A124" s="62" t="s">
        <v>173</v>
      </c>
      <c r="B124" s="62" t="s">
        <v>49</v>
      </c>
      <c r="C124" s="62" t="s">
        <v>143</v>
      </c>
      <c r="D124" s="187" t="s">
        <v>179</v>
      </c>
      <c r="E124" s="188"/>
      <c r="F124" s="189"/>
      <c r="G124" s="63">
        <v>175</v>
      </c>
      <c r="H124" s="62" t="s">
        <v>49</v>
      </c>
      <c r="I124" s="63" t="s">
        <v>153</v>
      </c>
      <c r="J124" s="63" t="s">
        <v>110</v>
      </c>
      <c r="K124" s="57"/>
      <c r="L124" s="129"/>
      <c r="M124" s="129"/>
    </row>
    <row r="125" spans="1:13" s="37" customFormat="1" ht="14.45" customHeight="1" x14ac:dyDescent="0.2">
      <c r="A125" s="62" t="s">
        <v>142</v>
      </c>
      <c r="B125" s="62" t="s">
        <v>49</v>
      </c>
      <c r="C125" s="62" t="s">
        <v>147</v>
      </c>
      <c r="D125" s="187" t="s">
        <v>180</v>
      </c>
      <c r="E125" s="188"/>
      <c r="F125" s="189"/>
      <c r="G125" s="63">
        <v>40</v>
      </c>
      <c r="H125" s="62" t="s">
        <v>181</v>
      </c>
      <c r="I125" s="63" t="s">
        <v>153</v>
      </c>
      <c r="J125" s="63" t="s">
        <v>110</v>
      </c>
      <c r="K125" s="57"/>
      <c r="L125" s="129"/>
      <c r="M125" s="129"/>
    </row>
    <row r="126" spans="1:13" s="37" customFormat="1" ht="14.45" customHeight="1" x14ac:dyDescent="0.2">
      <c r="A126" s="62" t="s">
        <v>173</v>
      </c>
      <c r="B126" s="62" t="s">
        <v>146</v>
      </c>
      <c r="C126" s="62" t="s">
        <v>147</v>
      </c>
      <c r="D126" s="187" t="s">
        <v>182</v>
      </c>
      <c r="E126" s="188"/>
      <c r="F126" s="189"/>
      <c r="G126" s="63">
        <v>7.5</v>
      </c>
      <c r="H126" s="62" t="s">
        <v>152</v>
      </c>
      <c r="I126" s="63">
        <v>75</v>
      </c>
      <c r="J126" s="63" t="s">
        <v>110</v>
      </c>
      <c r="K126" s="57"/>
      <c r="L126" s="129"/>
      <c r="M126" s="129"/>
    </row>
    <row r="127" spans="1:13" s="37" customFormat="1" ht="14.45" customHeight="1" x14ac:dyDescent="0.2">
      <c r="A127" s="62" t="s">
        <v>142</v>
      </c>
      <c r="B127" s="62" t="s">
        <v>146</v>
      </c>
      <c r="C127" s="62" t="s">
        <v>147</v>
      </c>
      <c r="D127" s="187" t="s">
        <v>183</v>
      </c>
      <c r="E127" s="188"/>
      <c r="F127" s="189"/>
      <c r="G127" s="63">
        <v>20</v>
      </c>
      <c r="H127" s="62" t="s">
        <v>184</v>
      </c>
      <c r="I127" s="63" t="s">
        <v>153</v>
      </c>
      <c r="J127" s="63" t="s">
        <v>110</v>
      </c>
      <c r="K127" s="57"/>
      <c r="L127" s="129"/>
      <c r="M127" s="129"/>
    </row>
    <row r="128" spans="1:13" s="37" customFormat="1" ht="14.45" customHeight="1" x14ac:dyDescent="0.2">
      <c r="A128" s="62" t="s">
        <v>142</v>
      </c>
      <c r="B128" s="62" t="s">
        <v>146</v>
      </c>
      <c r="C128" s="62" t="s">
        <v>147</v>
      </c>
      <c r="D128" s="187" t="s">
        <v>185</v>
      </c>
      <c r="E128" s="188"/>
      <c r="F128" s="189"/>
      <c r="G128" s="63">
        <v>25</v>
      </c>
      <c r="H128" s="62" t="s">
        <v>184</v>
      </c>
      <c r="I128" s="63" t="s">
        <v>153</v>
      </c>
      <c r="J128" s="63" t="s">
        <v>110</v>
      </c>
      <c r="K128" s="57"/>
      <c r="L128" s="129"/>
      <c r="M128" s="129"/>
    </row>
    <row r="129" spans="1:29" s="37" customFormat="1" ht="14.45" customHeight="1" x14ac:dyDescent="0.2">
      <c r="A129" s="62" t="s">
        <v>142</v>
      </c>
      <c r="B129" s="62" t="s">
        <v>142</v>
      </c>
      <c r="C129" s="62" t="s">
        <v>147</v>
      </c>
      <c r="D129" s="187" t="s">
        <v>186</v>
      </c>
      <c r="E129" s="188"/>
      <c r="F129" s="189"/>
      <c r="G129" s="68">
        <v>75</v>
      </c>
      <c r="H129" s="62" t="s">
        <v>181</v>
      </c>
      <c r="I129" s="63" t="s">
        <v>153</v>
      </c>
      <c r="J129" s="63" t="s">
        <v>110</v>
      </c>
      <c r="K129" s="57"/>
      <c r="L129" s="129"/>
      <c r="M129" s="129"/>
    </row>
    <row r="130" spans="1:29" s="37" customFormat="1" ht="14.45" customHeight="1" x14ac:dyDescent="0.2">
      <c r="A130" s="62" t="s">
        <v>142</v>
      </c>
      <c r="B130" s="62" t="s">
        <v>142</v>
      </c>
      <c r="C130" s="62" t="s">
        <v>147</v>
      </c>
      <c r="D130" s="187" t="s">
        <v>187</v>
      </c>
      <c r="E130" s="188"/>
      <c r="F130" s="189"/>
      <c r="G130" s="63">
        <v>35</v>
      </c>
      <c r="H130" s="62" t="s">
        <v>181</v>
      </c>
      <c r="I130" s="63" t="s">
        <v>153</v>
      </c>
      <c r="J130" s="63" t="s">
        <v>110</v>
      </c>
      <c r="K130" s="57"/>
      <c r="L130" s="129"/>
      <c r="M130" s="129"/>
    </row>
    <row r="131" spans="1:29" s="37" customFormat="1" ht="14.45" customHeight="1" x14ac:dyDescent="0.2">
      <c r="A131" s="62" t="s">
        <v>142</v>
      </c>
      <c r="B131" s="62" t="s">
        <v>146</v>
      </c>
      <c r="C131" s="62" t="s">
        <v>143</v>
      </c>
      <c r="D131" s="187" t="s">
        <v>188</v>
      </c>
      <c r="E131" s="188"/>
      <c r="F131" s="189"/>
      <c r="G131" s="63">
        <v>100</v>
      </c>
      <c r="H131" s="62" t="s">
        <v>181</v>
      </c>
      <c r="I131" s="63" t="s">
        <v>153</v>
      </c>
      <c r="J131" s="63" t="s">
        <v>110</v>
      </c>
      <c r="K131" s="57"/>
      <c r="L131" s="129"/>
      <c r="M131" s="129"/>
    </row>
    <row r="132" spans="1:29" s="37" customFormat="1" ht="14.45" customHeight="1" x14ac:dyDescent="0.2">
      <c r="A132" s="62" t="s">
        <v>142</v>
      </c>
      <c r="B132" s="62" t="s">
        <v>146</v>
      </c>
      <c r="C132" s="62" t="s">
        <v>143</v>
      </c>
      <c r="D132" s="187" t="s">
        <v>189</v>
      </c>
      <c r="E132" s="188"/>
      <c r="F132" s="189"/>
      <c r="G132" s="63">
        <v>100</v>
      </c>
      <c r="H132" s="62" t="s">
        <v>190</v>
      </c>
      <c r="I132" s="63" t="s">
        <v>153</v>
      </c>
      <c r="J132" s="63" t="s">
        <v>110</v>
      </c>
      <c r="K132" s="57"/>
      <c r="O132" s="38"/>
      <c r="P132" s="38"/>
    </row>
    <row r="133" spans="1:29" s="37" customFormat="1" ht="14.45" customHeight="1" x14ac:dyDescent="0.2">
      <c r="A133" s="62" t="s">
        <v>142</v>
      </c>
      <c r="B133" s="62" t="s">
        <v>146</v>
      </c>
      <c r="C133" s="62" t="s">
        <v>143</v>
      </c>
      <c r="D133" s="187" t="s">
        <v>191</v>
      </c>
      <c r="E133" s="188"/>
      <c r="F133" s="189"/>
      <c r="G133" s="63">
        <v>100</v>
      </c>
      <c r="H133" s="62" t="s">
        <v>181</v>
      </c>
      <c r="I133" s="63" t="s">
        <v>153</v>
      </c>
      <c r="J133" s="63" t="s">
        <v>110</v>
      </c>
      <c r="K133" s="57"/>
      <c r="O133" s="39"/>
      <c r="P133" s="39"/>
    </row>
    <row r="134" spans="1:29" s="37" customFormat="1" ht="14.45" customHeight="1" x14ac:dyDescent="0.2">
      <c r="A134" s="62" t="s">
        <v>173</v>
      </c>
      <c r="B134" s="62" t="s">
        <v>146</v>
      </c>
      <c r="C134" s="62" t="s">
        <v>143</v>
      </c>
      <c r="D134" s="187" t="s">
        <v>189</v>
      </c>
      <c r="E134" s="188"/>
      <c r="F134" s="189"/>
      <c r="G134" s="63">
        <v>50</v>
      </c>
      <c r="H134" s="62" t="s">
        <v>192</v>
      </c>
      <c r="I134" s="63" t="s">
        <v>153</v>
      </c>
      <c r="J134" s="63" t="s">
        <v>110</v>
      </c>
      <c r="K134" s="57"/>
      <c r="O134" s="39"/>
      <c r="P134" s="39"/>
    </row>
    <row r="135" spans="1:29" s="37" customFormat="1" ht="14.45" customHeight="1" x14ac:dyDescent="0.2">
      <c r="A135" s="62" t="s">
        <v>173</v>
      </c>
      <c r="B135" s="62" t="s">
        <v>146</v>
      </c>
      <c r="C135" s="62" t="s">
        <v>143</v>
      </c>
      <c r="D135" s="187" t="s">
        <v>191</v>
      </c>
      <c r="E135" s="188"/>
      <c r="F135" s="189"/>
      <c r="G135" s="63">
        <v>50</v>
      </c>
      <c r="H135" s="62" t="s">
        <v>181</v>
      </c>
      <c r="I135" s="63" t="s">
        <v>153</v>
      </c>
      <c r="J135" s="63" t="s">
        <v>110</v>
      </c>
      <c r="K135" s="57"/>
      <c r="O135" s="38"/>
      <c r="P135" s="38"/>
    </row>
    <row r="136" spans="1:29" s="37" customFormat="1" ht="14.45" customHeight="1" x14ac:dyDescent="0.25">
      <c r="A136" s="62" t="s">
        <v>142</v>
      </c>
      <c r="B136" s="62" t="s">
        <v>146</v>
      </c>
      <c r="C136" s="62" t="s">
        <v>143</v>
      </c>
      <c r="D136" s="187" t="s">
        <v>193</v>
      </c>
      <c r="E136" s="188"/>
      <c r="F136" s="189"/>
      <c r="G136" s="63">
        <v>85</v>
      </c>
      <c r="H136" s="62" t="s">
        <v>194</v>
      </c>
      <c r="I136" s="63" t="s">
        <v>153</v>
      </c>
      <c r="J136" s="63" t="s">
        <v>110</v>
      </c>
      <c r="K136" s="57"/>
      <c r="O136" s="36"/>
      <c r="P136" s="36"/>
    </row>
    <row r="137" spans="1:29" s="37" customFormat="1" ht="14.45" customHeight="1" x14ac:dyDescent="0.25">
      <c r="A137" s="62" t="s">
        <v>173</v>
      </c>
      <c r="B137" s="62" t="s">
        <v>146</v>
      </c>
      <c r="C137" s="62" t="s">
        <v>195</v>
      </c>
      <c r="D137" s="187" t="s">
        <v>196</v>
      </c>
      <c r="E137" s="188"/>
      <c r="F137" s="189"/>
      <c r="G137" s="63">
        <v>0.1</v>
      </c>
      <c r="H137" s="62" t="s">
        <v>197</v>
      </c>
      <c r="I137" s="63">
        <v>150</v>
      </c>
      <c r="J137" s="63" t="s">
        <v>110</v>
      </c>
      <c r="K137" s="57"/>
      <c r="O137" s="36"/>
      <c r="P137" s="36"/>
    </row>
    <row r="138" spans="1:29" s="37" customFormat="1" ht="14.45" customHeight="1" x14ac:dyDescent="0.25">
      <c r="A138" s="62" t="s">
        <v>142</v>
      </c>
      <c r="B138" s="62" t="s">
        <v>49</v>
      </c>
      <c r="C138" s="62" t="s">
        <v>198</v>
      </c>
      <c r="D138" s="187" t="s">
        <v>199</v>
      </c>
      <c r="E138" s="188"/>
      <c r="F138" s="189"/>
      <c r="G138" s="63">
        <v>35</v>
      </c>
      <c r="H138" s="62" t="s">
        <v>181</v>
      </c>
      <c r="I138" s="63" t="s">
        <v>153</v>
      </c>
      <c r="J138" s="63" t="s">
        <v>110</v>
      </c>
      <c r="K138" s="57"/>
      <c r="O138" s="36"/>
      <c r="P138" s="36"/>
    </row>
    <row r="139" spans="1:29" s="37" customFormat="1" ht="14.45" customHeight="1" x14ac:dyDescent="0.25">
      <c r="A139" s="62" t="s">
        <v>142</v>
      </c>
      <c r="B139" s="62" t="s">
        <v>146</v>
      </c>
      <c r="C139" s="62" t="s">
        <v>198</v>
      </c>
      <c r="D139" s="187" t="s">
        <v>200</v>
      </c>
      <c r="E139" s="188"/>
      <c r="F139" s="189"/>
      <c r="G139" s="63">
        <v>7</v>
      </c>
      <c r="H139" s="62" t="s">
        <v>152</v>
      </c>
      <c r="I139" s="63">
        <v>7</v>
      </c>
      <c r="J139" s="63" t="s">
        <v>110</v>
      </c>
      <c r="K139" s="57"/>
      <c r="O139" s="36"/>
      <c r="P139" s="36"/>
    </row>
    <row r="140" spans="1:29" s="37" customFormat="1" ht="14.1" customHeight="1" x14ac:dyDescent="0.25">
      <c r="A140" s="62" t="s">
        <v>142</v>
      </c>
      <c r="B140" s="62" t="s">
        <v>142</v>
      </c>
      <c r="C140" s="62" t="s">
        <v>201</v>
      </c>
      <c r="D140" s="187" t="s">
        <v>202</v>
      </c>
      <c r="E140" s="188"/>
      <c r="F140" s="189"/>
      <c r="G140" s="63">
        <v>40</v>
      </c>
      <c r="H140" s="62" t="s">
        <v>203</v>
      </c>
      <c r="I140" s="63" t="s">
        <v>153</v>
      </c>
      <c r="J140" s="63" t="s">
        <v>110</v>
      </c>
      <c r="K140" s="57"/>
      <c r="O140" s="36"/>
      <c r="P140" s="36"/>
    </row>
    <row r="141" spans="1:29" s="37" customFormat="1" ht="14.1" customHeight="1" x14ac:dyDescent="0.25">
      <c r="A141" s="62" t="s">
        <v>142</v>
      </c>
      <c r="B141" s="62" t="s">
        <v>49</v>
      </c>
      <c r="C141" s="62" t="s">
        <v>143</v>
      </c>
      <c r="D141" s="187" t="s">
        <v>204</v>
      </c>
      <c r="E141" s="188"/>
      <c r="F141" s="189"/>
      <c r="G141" s="63">
        <v>50</v>
      </c>
      <c r="H141" s="62" t="s">
        <v>49</v>
      </c>
      <c r="I141" s="63" t="s">
        <v>153</v>
      </c>
      <c r="J141" s="63" t="s">
        <v>110</v>
      </c>
      <c r="K141" s="57"/>
      <c r="L141" s="38"/>
      <c r="M141" s="38"/>
      <c r="N141" s="38"/>
      <c r="O141" s="36"/>
      <c r="P141" s="36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 spans="1:29" s="39" customFormat="1" ht="14.1" customHeight="1" x14ac:dyDescent="0.25">
      <c r="A142" s="62" t="s">
        <v>142</v>
      </c>
      <c r="B142" s="62" t="s">
        <v>49</v>
      </c>
      <c r="C142" s="62" t="s">
        <v>143</v>
      </c>
      <c r="D142" s="187" t="s">
        <v>205</v>
      </c>
      <c r="E142" s="188"/>
      <c r="F142" s="189"/>
      <c r="G142" s="63">
        <v>200</v>
      </c>
      <c r="H142" s="62" t="s">
        <v>206</v>
      </c>
      <c r="I142" s="63" t="s">
        <v>153</v>
      </c>
      <c r="J142" s="63" t="s">
        <v>110</v>
      </c>
      <c r="K142" s="57"/>
      <c r="O142" s="36"/>
      <c r="P142" s="36"/>
    </row>
    <row r="143" spans="1:29" s="39" customFormat="1" ht="14.1" customHeight="1" x14ac:dyDescent="0.25">
      <c r="A143" s="62" t="s">
        <v>142</v>
      </c>
      <c r="B143" s="62" t="s">
        <v>49</v>
      </c>
      <c r="C143" s="62" t="s">
        <v>143</v>
      </c>
      <c r="D143" s="187" t="s">
        <v>207</v>
      </c>
      <c r="E143" s="188"/>
      <c r="F143" s="189"/>
      <c r="G143" s="63">
        <v>250</v>
      </c>
      <c r="H143" s="62" t="s">
        <v>208</v>
      </c>
      <c r="I143" s="63">
        <v>100</v>
      </c>
      <c r="J143" s="63" t="s">
        <v>110</v>
      </c>
      <c r="K143" s="57"/>
      <c r="L143" s="38"/>
      <c r="M143" s="38"/>
      <c r="N143" s="38"/>
      <c r="O143" s="36"/>
      <c r="P143" s="36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 spans="1:29" s="38" customFormat="1" ht="14.1" customHeight="1" x14ac:dyDescent="0.25">
      <c r="A144" s="62" t="s">
        <v>142</v>
      </c>
      <c r="B144" s="62" t="s">
        <v>49</v>
      </c>
      <c r="C144" s="62" t="s">
        <v>201</v>
      </c>
      <c r="D144" s="187" t="s">
        <v>209</v>
      </c>
      <c r="E144" s="188"/>
      <c r="F144" s="189"/>
      <c r="G144" s="63" t="s">
        <v>210</v>
      </c>
      <c r="H144" s="62"/>
      <c r="I144" s="63" t="s">
        <v>153</v>
      </c>
      <c r="J144" s="63" t="s">
        <v>110</v>
      </c>
      <c r="K144" s="57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:11" s="36" customFormat="1" x14ac:dyDescent="0.25">
      <c r="A145" s="62" t="s">
        <v>142</v>
      </c>
      <c r="B145" s="62" t="s">
        <v>49</v>
      </c>
      <c r="C145" s="62" t="s">
        <v>201</v>
      </c>
      <c r="D145" s="187" t="s">
        <v>211</v>
      </c>
      <c r="E145" s="188"/>
      <c r="F145" s="189"/>
      <c r="G145" s="63" t="s">
        <v>212</v>
      </c>
      <c r="H145" s="62"/>
      <c r="I145" s="63" t="s">
        <v>153</v>
      </c>
      <c r="J145" s="63" t="s">
        <v>110</v>
      </c>
      <c r="K145" s="72"/>
    </row>
    <row r="146" spans="1:11" s="36" customFormat="1" x14ac:dyDescent="0.25">
      <c r="A146" s="62" t="s">
        <v>213</v>
      </c>
      <c r="B146" s="62" t="s">
        <v>49</v>
      </c>
      <c r="C146" s="62" t="s">
        <v>214</v>
      </c>
      <c r="D146" s="187" t="s">
        <v>215</v>
      </c>
      <c r="E146" s="188"/>
      <c r="F146" s="189"/>
      <c r="G146" s="63">
        <v>100</v>
      </c>
      <c r="H146" s="62" t="s">
        <v>49</v>
      </c>
      <c r="I146" s="63">
        <v>100</v>
      </c>
      <c r="J146" s="63" t="s">
        <v>110</v>
      </c>
      <c r="K146" s="72"/>
    </row>
    <row r="147" spans="1:11" s="36" customFormat="1" x14ac:dyDescent="0.25">
      <c r="A147" s="62" t="s">
        <v>213</v>
      </c>
      <c r="B147" s="62" t="s">
        <v>216</v>
      </c>
      <c r="C147" s="62" t="s">
        <v>147</v>
      </c>
      <c r="D147" s="187" t="s">
        <v>217</v>
      </c>
      <c r="E147" s="188"/>
      <c r="F147" s="189"/>
      <c r="G147" s="63">
        <v>50</v>
      </c>
      <c r="H147" s="62"/>
      <c r="I147" s="63">
        <v>50</v>
      </c>
      <c r="J147" s="63" t="s">
        <v>110</v>
      </c>
      <c r="K147" s="72"/>
    </row>
    <row r="148" spans="1:11" s="36" customFormat="1" x14ac:dyDescent="0.25">
      <c r="A148" s="62" t="s">
        <v>150</v>
      </c>
      <c r="B148" s="62" t="s">
        <v>49</v>
      </c>
      <c r="C148" s="62" t="s">
        <v>218</v>
      </c>
      <c r="D148" s="187" t="s">
        <v>219</v>
      </c>
      <c r="E148" s="188"/>
      <c r="F148" s="189"/>
      <c r="G148" s="69" t="s">
        <v>220</v>
      </c>
      <c r="H148" s="67" t="s">
        <v>49</v>
      </c>
      <c r="I148" s="69" t="s">
        <v>153</v>
      </c>
      <c r="J148" s="63" t="s">
        <v>110</v>
      </c>
      <c r="K148" s="72"/>
    </row>
    <row r="149" spans="1:11" s="36" customFormat="1" x14ac:dyDescent="0.25">
      <c r="A149" s="62" t="s">
        <v>221</v>
      </c>
      <c r="B149" s="62" t="s">
        <v>49</v>
      </c>
      <c r="C149" s="62" t="s">
        <v>201</v>
      </c>
      <c r="D149" s="187" t="s">
        <v>222</v>
      </c>
      <c r="E149" s="188"/>
      <c r="F149" s="189"/>
      <c r="G149" s="69" t="s">
        <v>220</v>
      </c>
      <c r="H149" s="67" t="s">
        <v>49</v>
      </c>
      <c r="I149" s="69" t="s">
        <v>153</v>
      </c>
      <c r="J149" s="63" t="s">
        <v>110</v>
      </c>
      <c r="K149" s="72"/>
    </row>
    <row r="150" spans="1:11" s="36" customFormat="1" x14ac:dyDescent="0.25">
      <c r="A150" s="62" t="s">
        <v>142</v>
      </c>
      <c r="B150" s="62" t="s">
        <v>49</v>
      </c>
      <c r="C150" s="62" t="s">
        <v>223</v>
      </c>
      <c r="D150" s="187" t="s">
        <v>224</v>
      </c>
      <c r="E150" s="188"/>
      <c r="F150" s="189"/>
      <c r="G150" s="63" t="s">
        <v>225</v>
      </c>
      <c r="H150" s="62"/>
      <c r="I150" s="63" t="s">
        <v>153</v>
      </c>
      <c r="J150" s="63" t="s">
        <v>110</v>
      </c>
      <c r="K150" s="72"/>
    </row>
    <row r="151" spans="1:11" s="36" customFormat="1" x14ac:dyDescent="0.25">
      <c r="A151" s="62" t="s">
        <v>142</v>
      </c>
      <c r="B151" s="62" t="s">
        <v>49</v>
      </c>
      <c r="C151" s="62" t="s">
        <v>226</v>
      </c>
      <c r="D151" s="187" t="s">
        <v>227</v>
      </c>
      <c r="E151" s="188"/>
      <c r="F151" s="189"/>
      <c r="G151" s="66">
        <v>150</v>
      </c>
      <c r="H151" s="62" t="s">
        <v>49</v>
      </c>
      <c r="I151" s="66">
        <v>150</v>
      </c>
      <c r="J151" s="63" t="s">
        <v>110</v>
      </c>
      <c r="K151" s="72"/>
    </row>
    <row r="152" spans="1:11" s="36" customFormat="1" x14ac:dyDescent="0.25">
      <c r="A152" s="62" t="s">
        <v>142</v>
      </c>
      <c r="B152" s="62" t="s">
        <v>49</v>
      </c>
      <c r="C152" s="62" t="s">
        <v>228</v>
      </c>
      <c r="D152" s="187" t="s">
        <v>229</v>
      </c>
      <c r="E152" s="188"/>
      <c r="F152" s="189"/>
      <c r="G152" s="66">
        <v>25</v>
      </c>
      <c r="H152" s="62" t="s">
        <v>230</v>
      </c>
      <c r="I152" s="66">
        <v>25</v>
      </c>
      <c r="J152" s="63" t="s">
        <v>110</v>
      </c>
      <c r="K152" s="72"/>
    </row>
    <row r="153" spans="1:11" s="36" customFormat="1" x14ac:dyDescent="0.25">
      <c r="A153" s="62" t="s">
        <v>142</v>
      </c>
      <c r="B153" s="62" t="s">
        <v>146</v>
      </c>
      <c r="C153" s="62" t="s">
        <v>198</v>
      </c>
      <c r="D153" s="187" t="s">
        <v>231</v>
      </c>
      <c r="E153" s="188"/>
      <c r="F153" s="189"/>
      <c r="G153" s="66" t="s">
        <v>232</v>
      </c>
      <c r="H153" s="62" t="s">
        <v>149</v>
      </c>
      <c r="I153" s="66" t="s">
        <v>153</v>
      </c>
      <c r="J153" s="63" t="s">
        <v>110</v>
      </c>
      <c r="K153" s="72"/>
    </row>
    <row r="154" spans="1:11" s="36" customFormat="1" x14ac:dyDescent="0.25">
      <c r="A154" s="62" t="s">
        <v>173</v>
      </c>
      <c r="B154" s="62" t="s">
        <v>146</v>
      </c>
      <c r="C154" s="62" t="s">
        <v>233</v>
      </c>
      <c r="D154" s="187" t="s">
        <v>234</v>
      </c>
      <c r="E154" s="188"/>
      <c r="F154" s="189"/>
      <c r="G154" s="66">
        <v>0.5</v>
      </c>
      <c r="H154" s="62" t="s">
        <v>235</v>
      </c>
      <c r="I154" s="66">
        <v>50</v>
      </c>
      <c r="J154" s="63" t="s">
        <v>110</v>
      </c>
      <c r="K154" s="72"/>
    </row>
    <row r="155" spans="1:11" s="36" customFormat="1" x14ac:dyDescent="0.25">
      <c r="A155" s="62" t="s">
        <v>173</v>
      </c>
      <c r="B155" s="62" t="s">
        <v>146</v>
      </c>
      <c r="C155" s="62" t="s">
        <v>201</v>
      </c>
      <c r="D155" s="187" t="s">
        <v>237</v>
      </c>
      <c r="E155" s="188"/>
      <c r="F155" s="189"/>
      <c r="G155" s="66" t="s">
        <v>238</v>
      </c>
      <c r="H155" s="62" t="s">
        <v>235</v>
      </c>
      <c r="I155" s="66">
        <v>50</v>
      </c>
      <c r="J155" s="63" t="s">
        <v>110</v>
      </c>
      <c r="K155" s="72"/>
    </row>
    <row r="156" spans="1:11" s="36" customFormat="1" x14ac:dyDescent="0.25">
      <c r="A156" s="62" t="s">
        <v>239</v>
      </c>
      <c r="B156" s="62" t="s">
        <v>49</v>
      </c>
      <c r="C156" s="62" t="s">
        <v>143</v>
      </c>
      <c r="D156" s="187" t="s">
        <v>240</v>
      </c>
      <c r="E156" s="188"/>
      <c r="F156" s="189"/>
      <c r="G156" s="69" t="s">
        <v>220</v>
      </c>
      <c r="H156" s="67" t="s">
        <v>49</v>
      </c>
      <c r="I156" s="69" t="s">
        <v>153</v>
      </c>
      <c r="J156" s="63" t="s">
        <v>110</v>
      </c>
      <c r="K156" s="72"/>
    </row>
    <row r="157" spans="1:11" s="36" customFormat="1" x14ac:dyDescent="0.25">
      <c r="A157" s="62" t="s">
        <v>142</v>
      </c>
      <c r="B157" s="62" t="s">
        <v>142</v>
      </c>
      <c r="C157" s="62" t="s">
        <v>147</v>
      </c>
      <c r="D157" s="187" t="s">
        <v>241</v>
      </c>
      <c r="E157" s="188"/>
      <c r="F157" s="189"/>
      <c r="G157" s="66" t="s">
        <v>242</v>
      </c>
      <c r="H157" s="62"/>
      <c r="I157" s="66">
        <v>15</v>
      </c>
      <c r="J157" s="63" t="s">
        <v>110</v>
      </c>
      <c r="K157" s="72"/>
    </row>
    <row r="158" spans="1:11" s="36" customFormat="1" x14ac:dyDescent="0.25">
      <c r="A158" s="62" t="s">
        <v>243</v>
      </c>
      <c r="B158" s="62" t="s">
        <v>49</v>
      </c>
      <c r="C158" s="62" t="s">
        <v>143</v>
      </c>
      <c r="D158" s="187" t="s">
        <v>244</v>
      </c>
      <c r="E158" s="188"/>
      <c r="F158" s="189"/>
      <c r="G158" s="66">
        <v>200</v>
      </c>
      <c r="H158" s="62" t="s">
        <v>49</v>
      </c>
      <c r="I158" s="63">
        <v>200</v>
      </c>
      <c r="J158" s="63" t="s">
        <v>110</v>
      </c>
      <c r="K158" s="72"/>
    </row>
    <row r="159" spans="1:11" s="36" customFormat="1" x14ac:dyDescent="0.25">
      <c r="A159" s="62" t="s">
        <v>245</v>
      </c>
      <c r="B159" s="62" t="s">
        <v>49</v>
      </c>
      <c r="C159" s="62" t="s">
        <v>143</v>
      </c>
      <c r="D159" s="187" t="s">
        <v>246</v>
      </c>
      <c r="E159" s="188"/>
      <c r="F159" s="189"/>
      <c r="G159" s="66">
        <v>250</v>
      </c>
      <c r="H159" s="62" t="s">
        <v>49</v>
      </c>
      <c r="I159" s="63">
        <v>100</v>
      </c>
      <c r="J159" s="63" t="s">
        <v>110</v>
      </c>
      <c r="K159" s="72"/>
    </row>
    <row r="160" spans="1:11" s="36" customFormat="1" x14ac:dyDescent="0.25">
      <c r="A160" s="62" t="s">
        <v>247</v>
      </c>
      <c r="B160" s="62" t="s">
        <v>49</v>
      </c>
      <c r="C160" s="62" t="s">
        <v>143</v>
      </c>
      <c r="D160" s="187" t="s">
        <v>248</v>
      </c>
      <c r="E160" s="188"/>
      <c r="F160" s="189"/>
      <c r="G160" s="63">
        <v>250</v>
      </c>
      <c r="H160" s="62" t="s">
        <v>49</v>
      </c>
      <c r="I160" s="63">
        <v>200</v>
      </c>
      <c r="J160" s="63" t="s">
        <v>110</v>
      </c>
      <c r="K160" s="72"/>
    </row>
    <row r="161" spans="1:11" s="36" customFormat="1" x14ac:dyDescent="0.25">
      <c r="A161" s="62" t="s">
        <v>142</v>
      </c>
      <c r="B161" s="62" t="s">
        <v>49</v>
      </c>
      <c r="C161" s="62" t="s">
        <v>143</v>
      </c>
      <c r="D161" s="187" t="s">
        <v>249</v>
      </c>
      <c r="E161" s="188"/>
      <c r="F161" s="189"/>
      <c r="G161" s="63"/>
      <c r="H161" s="62" t="s">
        <v>49</v>
      </c>
      <c r="I161" s="63" t="s">
        <v>153</v>
      </c>
      <c r="J161" s="63" t="s">
        <v>110</v>
      </c>
      <c r="K161" s="72"/>
    </row>
    <row r="162" spans="1:11" s="36" customFormat="1" x14ac:dyDescent="0.25">
      <c r="A162" s="62" t="s">
        <v>250</v>
      </c>
      <c r="B162" s="62" t="s">
        <v>49</v>
      </c>
      <c r="C162" s="62" t="s">
        <v>143</v>
      </c>
      <c r="D162" s="187" t="s">
        <v>251</v>
      </c>
      <c r="E162" s="188"/>
      <c r="F162" s="189"/>
      <c r="G162" s="66">
        <v>350</v>
      </c>
      <c r="H162" s="62" t="s">
        <v>49</v>
      </c>
      <c r="I162" s="63">
        <v>350</v>
      </c>
      <c r="J162" s="63" t="s">
        <v>110</v>
      </c>
      <c r="K162" s="72"/>
    </row>
    <row r="163" spans="1:11" s="36" customFormat="1" x14ac:dyDescent="0.25">
      <c r="A163" s="118"/>
      <c r="B163" s="118"/>
      <c r="C163" s="118"/>
      <c r="D163" s="119"/>
      <c r="E163" s="119"/>
      <c r="F163" s="119"/>
      <c r="G163" s="120"/>
      <c r="H163" s="118"/>
      <c r="I163" s="121"/>
      <c r="J163" s="121"/>
      <c r="K163" s="72"/>
    </row>
    <row r="164" spans="1:11" s="36" customFormat="1" x14ac:dyDescent="0.25">
      <c r="A164" s="180" t="s">
        <v>72</v>
      </c>
      <c r="B164" s="180"/>
      <c r="C164" s="180"/>
      <c r="D164" s="180"/>
      <c r="E164" s="180"/>
      <c r="F164" s="180"/>
      <c r="G164" s="180"/>
      <c r="H164" s="180"/>
      <c r="I164" s="180"/>
      <c r="J164" s="180"/>
      <c r="K164" s="72"/>
    </row>
    <row r="165" spans="1:11" s="36" customFormat="1" x14ac:dyDescent="0.25">
      <c r="A165" s="186" t="s">
        <v>67</v>
      </c>
      <c r="B165" s="186"/>
      <c r="C165" s="186"/>
      <c r="D165" s="186"/>
      <c r="E165" s="186" t="s">
        <v>68</v>
      </c>
      <c r="F165" s="186"/>
      <c r="G165" s="186"/>
      <c r="H165" s="186"/>
      <c r="I165" s="186"/>
      <c r="J165" s="186"/>
      <c r="K165" s="72"/>
    </row>
    <row r="166" spans="1:11" s="36" customFormat="1" x14ac:dyDescent="0.25">
      <c r="A166" s="185" t="s">
        <v>73</v>
      </c>
      <c r="B166" s="185"/>
      <c r="C166" s="185"/>
      <c r="D166" s="185"/>
      <c r="E166" s="185" t="s">
        <v>254</v>
      </c>
      <c r="F166" s="185"/>
      <c r="G166" s="185"/>
      <c r="H166" s="185"/>
      <c r="I166" s="185"/>
      <c r="J166" s="185"/>
      <c r="K166" s="72"/>
    </row>
    <row r="167" spans="1:11" s="36" customFormat="1" ht="15" customHeight="1" x14ac:dyDescent="0.25">
      <c r="A167" s="185" t="s">
        <v>252</v>
      </c>
      <c r="B167" s="185"/>
      <c r="C167" s="185"/>
      <c r="D167" s="185"/>
      <c r="E167" s="185" t="s">
        <v>253</v>
      </c>
      <c r="F167" s="185"/>
      <c r="G167" s="185"/>
      <c r="H167" s="185"/>
      <c r="I167" s="185"/>
      <c r="J167" s="185"/>
      <c r="K167" s="72"/>
    </row>
    <row r="168" spans="1:11" s="36" customFormat="1" ht="15" customHeight="1" x14ac:dyDescent="0.25">
      <c r="A168" s="185" t="s">
        <v>74</v>
      </c>
      <c r="B168" s="185"/>
      <c r="C168" s="185"/>
      <c r="D168" s="185"/>
      <c r="E168" s="185" t="s">
        <v>75</v>
      </c>
      <c r="F168" s="185"/>
      <c r="G168" s="185"/>
      <c r="H168" s="185"/>
      <c r="I168" s="185"/>
      <c r="J168" s="185"/>
      <c r="K168" s="72"/>
    </row>
    <row r="169" spans="1:11" s="36" customFormat="1" x14ac:dyDescent="0.25">
      <c r="A169" s="185" t="s">
        <v>76</v>
      </c>
      <c r="B169" s="185"/>
      <c r="C169" s="185"/>
      <c r="D169" s="185"/>
      <c r="E169" s="185" t="s">
        <v>77</v>
      </c>
      <c r="F169" s="185"/>
      <c r="G169" s="185"/>
      <c r="H169" s="185"/>
      <c r="I169" s="185"/>
      <c r="J169" s="185"/>
      <c r="K169" s="72"/>
    </row>
    <row r="170" spans="1:11" s="36" customFormat="1" ht="15" customHeight="1" x14ac:dyDescent="0.25">
      <c r="A170" s="185" t="s">
        <v>78</v>
      </c>
      <c r="B170" s="185"/>
      <c r="C170" s="185"/>
      <c r="D170" s="185"/>
      <c r="E170" s="185" t="s">
        <v>79</v>
      </c>
      <c r="F170" s="185"/>
      <c r="G170" s="185"/>
      <c r="H170" s="185"/>
      <c r="I170" s="185"/>
      <c r="J170" s="185"/>
      <c r="K170" s="72"/>
    </row>
    <row r="171" spans="1:11" s="36" customFormat="1" ht="15" customHeight="1" x14ac:dyDescent="0.25">
      <c r="A171" s="180" t="s">
        <v>89</v>
      </c>
      <c r="B171" s="180"/>
      <c r="C171" s="180"/>
      <c r="D171" s="180"/>
      <c r="E171" s="180"/>
      <c r="F171" s="180"/>
      <c r="G171" s="180"/>
      <c r="H171" s="180"/>
      <c r="I171" s="180"/>
      <c r="J171" s="180"/>
      <c r="K171" s="72"/>
    </row>
    <row r="172" spans="1:11" s="36" customFormat="1" x14ac:dyDescent="0.25">
      <c r="A172" s="181" t="s">
        <v>80</v>
      </c>
      <c r="B172" s="181"/>
      <c r="C172" s="181"/>
      <c r="D172" s="181"/>
      <c r="E172" s="181"/>
      <c r="F172" s="181"/>
      <c r="G172" s="181"/>
      <c r="H172" s="181"/>
      <c r="I172" s="181"/>
      <c r="J172" s="181"/>
      <c r="K172" s="72"/>
    </row>
    <row r="173" spans="1:11" s="36" customFormat="1" ht="15" customHeight="1" x14ac:dyDescent="0.2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72"/>
    </row>
    <row r="174" spans="1:11" s="36" customFormat="1" x14ac:dyDescent="0.25">
      <c r="A174" s="182" t="s">
        <v>90</v>
      </c>
      <c r="B174" s="182"/>
      <c r="C174" s="182"/>
      <c r="D174" s="182"/>
      <c r="E174" s="182"/>
      <c r="F174" s="182"/>
      <c r="G174" s="182"/>
      <c r="H174" s="182"/>
      <c r="I174" s="182"/>
      <c r="J174" s="182"/>
      <c r="K174" s="72"/>
    </row>
    <row r="175" spans="1:11" s="36" customFormat="1" ht="15" customHeight="1" x14ac:dyDescent="0.25">
      <c r="A175" s="182"/>
      <c r="B175" s="182"/>
      <c r="C175" s="182"/>
      <c r="D175" s="182"/>
      <c r="E175" s="182"/>
      <c r="F175" s="182"/>
      <c r="G175" s="182"/>
      <c r="H175" s="182"/>
      <c r="I175" s="182"/>
      <c r="J175" s="182"/>
      <c r="K175" s="72"/>
    </row>
    <row r="176" spans="1:11" s="42" customFormat="1" ht="13.9" customHeight="1" x14ac:dyDescent="0.25">
      <c r="A176" s="183" t="s">
        <v>353</v>
      </c>
      <c r="B176" s="183"/>
      <c r="C176" s="183"/>
      <c r="D176" s="183"/>
      <c r="E176" s="183"/>
      <c r="F176" s="183"/>
      <c r="G176" s="183"/>
      <c r="H176" s="183"/>
      <c r="I176" s="183"/>
      <c r="J176" s="48"/>
    </row>
    <row r="177" spans="1:10" s="49" customFormat="1" ht="13.9" customHeight="1" x14ac:dyDescent="0.25">
      <c r="A177" s="184" t="s">
        <v>354</v>
      </c>
      <c r="B177" s="184"/>
      <c r="C177" s="184"/>
      <c r="D177" s="184"/>
      <c r="E177" s="184"/>
      <c r="F177" s="184"/>
      <c r="G177" s="184"/>
      <c r="H177" s="184"/>
      <c r="I177" s="184"/>
      <c r="J177" s="48"/>
    </row>
    <row r="178" spans="1:10" x14ac:dyDescent="0.25">
      <c r="J178" s="48"/>
    </row>
    <row r="179" spans="1:10" x14ac:dyDescent="0.25">
      <c r="J179" s="48"/>
    </row>
    <row r="180" spans="1:10" x14ac:dyDescent="0.25">
      <c r="J180" s="48"/>
    </row>
  </sheetData>
  <protectedRanges>
    <protectedRange algorithmName="SHA-512" hashValue="VF6HSW3Iy4xJ9rvYE/9xGHEoimGCygSu8D4FeqmdsD954MzAHwkkxLcwSP9Q5ui8KTGpWBzFAFpp2yGVfuii3Q==" saltValue="Ht0jMOW+8eakbuvlYpVr7Q==" spinCount="100000" sqref="G55:J60 G30:J32 G34:J36 G38:J43 G13:J28 G78:J78 G70:J76 G62:J68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4:J44 G46:J49 G51:J53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77:J77" name="Range1_3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98:WWE162" xr:uid="{FA694B6A-433F-4FA4-84BF-050781CB5F76}">
    <filterColumn colId="3" showButton="0"/>
    <filterColumn colId="4" showButton="0"/>
  </autoFilter>
  <mergeCells count="154"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  <mergeCell ref="E12:F12"/>
    <mergeCell ref="E29:F29"/>
    <mergeCell ref="E33:F33"/>
    <mergeCell ref="E37:F37"/>
    <mergeCell ref="B6:C6"/>
    <mergeCell ref="G6:I6"/>
    <mergeCell ref="E8:I8"/>
    <mergeCell ref="A10:J10"/>
    <mergeCell ref="N10:R10"/>
    <mergeCell ref="A79:J79"/>
    <mergeCell ref="A80:J80"/>
    <mergeCell ref="A81:D81"/>
    <mergeCell ref="E81:J81"/>
    <mergeCell ref="L81:Q81"/>
    <mergeCell ref="A82:D82"/>
    <mergeCell ref="F82:J82"/>
    <mergeCell ref="L82:Q82"/>
    <mergeCell ref="E45:F45"/>
    <mergeCell ref="E50:F50"/>
    <mergeCell ref="E54:F54"/>
    <mergeCell ref="E61:F61"/>
    <mergeCell ref="E69:F69"/>
    <mergeCell ref="A77:J77"/>
    <mergeCell ref="A86:D86"/>
    <mergeCell ref="F86:J86"/>
    <mergeCell ref="A87:D87"/>
    <mergeCell ref="F87:J87"/>
    <mergeCell ref="A88:D88"/>
    <mergeCell ref="F88:J88"/>
    <mergeCell ref="A83:D83"/>
    <mergeCell ref="F83:J83"/>
    <mergeCell ref="L83:Q83"/>
    <mergeCell ref="A84:D84"/>
    <mergeCell ref="F84:J84"/>
    <mergeCell ref="A85:D85"/>
    <mergeCell ref="F85:J85"/>
    <mergeCell ref="A91:D91"/>
    <mergeCell ref="F91:J91"/>
    <mergeCell ref="L91:Q91"/>
    <mergeCell ref="A92:D92"/>
    <mergeCell ref="F92:J92"/>
    <mergeCell ref="L92:Q92"/>
    <mergeCell ref="A89:D89"/>
    <mergeCell ref="F89:J89"/>
    <mergeCell ref="L89:Q89"/>
    <mergeCell ref="A90:D90"/>
    <mergeCell ref="F90:J90"/>
    <mergeCell ref="L90:Q90"/>
    <mergeCell ref="A95:D95"/>
    <mergeCell ref="G95:J95"/>
    <mergeCell ref="L95:Q95"/>
    <mergeCell ref="A96:D96"/>
    <mergeCell ref="E96:J96"/>
    <mergeCell ref="L96:Q96"/>
    <mergeCell ref="A93:D93"/>
    <mergeCell ref="G93:J93"/>
    <mergeCell ref="L93:Q93"/>
    <mergeCell ref="A94:D94"/>
    <mergeCell ref="G94:J94"/>
    <mergeCell ref="L94:Q94"/>
    <mergeCell ref="D103:F103"/>
    <mergeCell ref="D104:F104"/>
    <mergeCell ref="D105:F105"/>
    <mergeCell ref="D106:F106"/>
    <mergeCell ref="D107:F107"/>
    <mergeCell ref="D108:F108"/>
    <mergeCell ref="A97:J97"/>
    <mergeCell ref="D98:F98"/>
    <mergeCell ref="D99:F99"/>
    <mergeCell ref="D100:F100"/>
    <mergeCell ref="D101:F101"/>
    <mergeCell ref="D102:F102"/>
    <mergeCell ref="D115:F115"/>
    <mergeCell ref="D116:F116"/>
    <mergeCell ref="D117:F117"/>
    <mergeCell ref="D118:F118"/>
    <mergeCell ref="D119:F119"/>
    <mergeCell ref="D120:F120"/>
    <mergeCell ref="D109:F109"/>
    <mergeCell ref="D110:F110"/>
    <mergeCell ref="D111:F111"/>
    <mergeCell ref="D112:F112"/>
    <mergeCell ref="D113:F113"/>
    <mergeCell ref="D114:F114"/>
    <mergeCell ref="D127:F127"/>
    <mergeCell ref="D128:F128"/>
    <mergeCell ref="D129:F129"/>
    <mergeCell ref="D130:F130"/>
    <mergeCell ref="D131:F131"/>
    <mergeCell ref="D132:F132"/>
    <mergeCell ref="D121:F121"/>
    <mergeCell ref="D122:F122"/>
    <mergeCell ref="D123:F123"/>
    <mergeCell ref="D124:F124"/>
    <mergeCell ref="D125:F125"/>
    <mergeCell ref="D126:F126"/>
    <mergeCell ref="D139:F139"/>
    <mergeCell ref="D140:F140"/>
    <mergeCell ref="D141:F141"/>
    <mergeCell ref="D142:F142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51:F151"/>
    <mergeCell ref="D152:F152"/>
    <mergeCell ref="D153:F153"/>
    <mergeCell ref="D154:F154"/>
    <mergeCell ref="D155:F155"/>
    <mergeCell ref="D156:F156"/>
    <mergeCell ref="D145:F145"/>
    <mergeCell ref="D146:F146"/>
    <mergeCell ref="D147:F147"/>
    <mergeCell ref="D148:F148"/>
    <mergeCell ref="D149:F149"/>
    <mergeCell ref="D150:F150"/>
    <mergeCell ref="A164:J164"/>
    <mergeCell ref="A165:D165"/>
    <mergeCell ref="E165:J165"/>
    <mergeCell ref="A166:D166"/>
    <mergeCell ref="E166:J166"/>
    <mergeCell ref="A167:D167"/>
    <mergeCell ref="E167:J167"/>
    <mergeCell ref="D157:F157"/>
    <mergeCell ref="D158:F158"/>
    <mergeCell ref="D159:F159"/>
    <mergeCell ref="D160:F160"/>
    <mergeCell ref="D161:F161"/>
    <mergeCell ref="D162:F162"/>
    <mergeCell ref="A171:J171"/>
    <mergeCell ref="A172:J173"/>
    <mergeCell ref="A174:J175"/>
    <mergeCell ref="A176:I176"/>
    <mergeCell ref="A177:I177"/>
    <mergeCell ref="A168:D168"/>
    <mergeCell ref="E168:J168"/>
    <mergeCell ref="A169:D169"/>
    <mergeCell ref="E169:J169"/>
    <mergeCell ref="A170:D170"/>
    <mergeCell ref="E170:J170"/>
  </mergeCells>
  <hyperlinks>
    <hyperlink ref="G6" r:id="rId1" xr:uid="{9881A870-E97A-462D-91BF-D6AF5BE1A850}"/>
    <hyperlink ref="G4" r:id="rId2" display="jchang.lax@oecgroup.com" xr:uid="{71AE5BE6-A241-466B-91C8-D5E696C95DC8}"/>
  </hyperlinks>
  <pageMargins left="0.35" right="0.35" top="0.35" bottom="0.35" header="0.3" footer="0.3"/>
  <pageSetup scale="46" fitToHeight="4" orientation="portrait" r:id="rId3"/>
  <rowBreaks count="1" manualBreakCount="1">
    <brk id="78" max="9" man="1"/>
  </rowBreaks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A9C4AD-BDE8-46E0-B957-15F6BFAE776B}">
          <x14:formula1>
            <xm:f>'C:\Users\twang\AppData\Local\Microsoft\Windows\Temporary Internet Files\Content.Outlook\U7WJNCNV\[QUOTE TEMPLATE 05-01-21.xltx]Sheet1'!#REF!</xm:f>
          </x14:formula1>
          <xm:sqref>E89:E90 E55:E60 E70:E76 E34:E36 E30:E32 E92:E95 E46:E49 E38:E44 E62:E68 E82:E86</xm:sqref>
        </x14:dataValidation>
        <x14:dataValidation type="list" allowBlank="1" showInputMessage="1" showErrorMessage="1" xr:uid="{14BB0D76-14BF-4F49-BAC4-C81558649D47}">
          <x14:formula1>
            <xm:f>'C:\Users\twang\AppData\Local\Microsoft\Windows\Temporary Internet Files\Content.Outlook\U7WJNCNV\[QUOTE TEMPLATE 05-01-21.xltx]Sheet1'!#REF!</xm:f>
          </x14:formula1>
          <xm:sqref>C70:C76 C34:C36 C30:C32 C46:C49 C38:C44 C55:C60 Q13:Q14 C62:C68 C13:C28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9C9B-DB96-40CA-8E0D-4BB0FE62B954}">
  <sheetPr>
    <pageSetUpPr fitToPage="1"/>
  </sheetPr>
  <dimension ref="A1:AC159"/>
  <sheetViews>
    <sheetView zoomScale="90" zoomScaleNormal="90" zoomScaleSheetLayoutView="82" workbookViewId="0">
      <pane xSplit="4" topLeftCell="E1" activePane="topRight" state="frozen"/>
      <selection activeCell="A19" sqref="A19"/>
      <selection pane="topRight" activeCell="B56" sqref="B56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36</v>
      </c>
      <c r="B4" s="213" t="s">
        <v>37</v>
      </c>
      <c r="C4" s="213"/>
      <c r="D4" s="127"/>
      <c r="F4" s="41" t="s">
        <v>36</v>
      </c>
      <c r="G4" s="214" t="s">
        <v>305</v>
      </c>
      <c r="H4" s="213"/>
      <c r="I4" s="213"/>
      <c r="J4" s="4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J5" s="4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305</v>
      </c>
      <c r="H6" s="213"/>
      <c r="I6" s="213"/>
      <c r="J6" s="4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239"/>
      <c r="B7" s="239"/>
      <c r="C7" s="239"/>
      <c r="D7" s="239"/>
      <c r="E7" s="239"/>
      <c r="F7" s="239"/>
      <c r="G7" s="239"/>
      <c r="H7" s="239"/>
      <c r="I7" s="239"/>
      <c r="J7" s="239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44635</v>
      </c>
      <c r="C8" s="45" t="s">
        <v>91</v>
      </c>
      <c r="D8" s="44">
        <v>44651</v>
      </c>
      <c r="E8" s="213" t="s">
        <v>92</v>
      </c>
      <c r="F8" s="213"/>
      <c r="G8" s="213"/>
      <c r="H8" s="213"/>
      <c r="I8" s="213"/>
      <c r="J8" s="4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213" t="s">
        <v>40</v>
      </c>
      <c r="C9" s="213"/>
      <c r="D9" s="213"/>
      <c r="E9" s="213"/>
      <c r="F9" s="213"/>
      <c r="G9" s="213"/>
      <c r="H9" s="213"/>
      <c r="I9" s="213"/>
      <c r="J9" s="43"/>
      <c r="K9" s="12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 t="s">
        <v>257</v>
      </c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88" t="s">
        <v>82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  <c r="L12" s="89" t="s">
        <v>48</v>
      </c>
      <c r="M12" s="89" t="s">
        <v>261</v>
      </c>
      <c r="N12" s="90" t="s">
        <v>51</v>
      </c>
      <c r="O12" s="91" t="s">
        <v>50</v>
      </c>
      <c r="P12" s="91" t="s">
        <v>262</v>
      </c>
      <c r="Q12" s="91" t="s">
        <v>263</v>
      </c>
      <c r="R12" s="91" t="s">
        <v>264</v>
      </c>
      <c r="S12" s="92" t="s">
        <v>52</v>
      </c>
      <c r="T12" s="92" t="s">
        <v>53</v>
      </c>
      <c r="U12" s="92" t="s">
        <v>265</v>
      </c>
      <c r="V12" s="92" t="s">
        <v>266</v>
      </c>
      <c r="W12" s="92" t="s">
        <v>267</v>
      </c>
      <c r="X12" s="92" t="s">
        <v>268</v>
      </c>
      <c r="Y12" s="92" t="s">
        <v>52</v>
      </c>
      <c r="Z12" s="92" t="s">
        <v>53</v>
      </c>
      <c r="AA12" s="92" t="s">
        <v>265</v>
      </c>
      <c r="AB12" s="92" t="s">
        <v>266</v>
      </c>
      <c r="AC12" s="93" t="s">
        <v>269</v>
      </c>
    </row>
    <row r="13" spans="1:29" s="40" customFormat="1" ht="18.75" x14ac:dyDescent="0.25">
      <c r="A13" s="133" t="s">
        <v>81</v>
      </c>
      <c r="B13" s="133" t="s">
        <v>16</v>
      </c>
      <c r="C13" s="94" t="s">
        <v>54</v>
      </c>
      <c r="D13" s="95" t="s">
        <v>308</v>
      </c>
      <c r="E13" s="96" t="s">
        <v>114</v>
      </c>
      <c r="F13" s="97" t="s">
        <v>270</v>
      </c>
      <c r="G13" s="98" t="e">
        <f t="shared" ref="G13:G27" si="0">CEILING(S13+W13+X13+O13+N13+Y13,10)</f>
        <v>#N/A</v>
      </c>
      <c r="H13" s="99" t="e">
        <f t="shared" ref="H13:H27" si="1">CEILING(T13+W13+X13+O13+N13+Z13,10)</f>
        <v>#N/A</v>
      </c>
      <c r="I13" s="99" t="e">
        <f t="shared" ref="I13:I27" si="2">CEILING(U13+W13+X13+O13+N13+AA13,10)</f>
        <v>#N/A</v>
      </c>
      <c r="J13" s="99" t="e">
        <f t="shared" ref="J13:J27" si="3">CEILING(V13+W13+X13+O13+N13+AB13,10)</f>
        <v>#N/A</v>
      </c>
      <c r="K13" s="57"/>
      <c r="L13" s="100" t="s">
        <v>272</v>
      </c>
      <c r="M13" s="52" t="s">
        <v>292</v>
      </c>
      <c r="N13" s="40">
        <v>0</v>
      </c>
      <c r="O13" s="53" t="e">
        <f>VLOOKUP(B13,DRAYAGE!$A$1:$C$6,3,FALSE)</f>
        <v>#N/A</v>
      </c>
      <c r="P13" s="40" t="s">
        <v>298</v>
      </c>
      <c r="S13" s="101">
        <f t="shared" ref="S13:S27" si="4">0.9*T13</f>
        <v>8100</v>
      </c>
      <c r="T13" s="54">
        <v>9000</v>
      </c>
      <c r="U13" s="103">
        <f>T13</f>
        <v>9000</v>
      </c>
      <c r="V13" s="104">
        <f t="shared" ref="V13:V27" si="5">U13*1.266</f>
        <v>11394</v>
      </c>
      <c r="X13" s="40">
        <v>0</v>
      </c>
    </row>
    <row r="14" spans="1:29" s="40" customFormat="1" ht="14.45" customHeight="1" x14ac:dyDescent="0.25">
      <c r="A14" s="133" t="s">
        <v>55</v>
      </c>
      <c r="B14" s="133" t="s">
        <v>16</v>
      </c>
      <c r="C14" s="94" t="s">
        <v>54</v>
      </c>
      <c r="D14" s="95" t="s">
        <v>308</v>
      </c>
      <c r="E14" s="96" t="s">
        <v>114</v>
      </c>
      <c r="F14" s="97" t="s">
        <v>270</v>
      </c>
      <c r="G14" s="98" t="e">
        <f t="shared" si="0"/>
        <v>#N/A</v>
      </c>
      <c r="H14" s="99" t="e">
        <f t="shared" si="1"/>
        <v>#N/A</v>
      </c>
      <c r="I14" s="99" t="e">
        <f t="shared" si="2"/>
        <v>#N/A</v>
      </c>
      <c r="J14" s="99" t="e">
        <f t="shared" si="3"/>
        <v>#N/A</v>
      </c>
      <c r="K14" s="57"/>
      <c r="L14" s="100" t="s">
        <v>272</v>
      </c>
      <c r="M14" s="52" t="s">
        <v>292</v>
      </c>
      <c r="N14" s="40">
        <v>0</v>
      </c>
      <c r="O14" s="53" t="e">
        <f>VLOOKUP(B14,DRAYAGE!$A$1:$C$6,3,FALSE)</f>
        <v>#N/A</v>
      </c>
      <c r="P14" s="40" t="s">
        <v>298</v>
      </c>
      <c r="S14" s="101">
        <f t="shared" si="4"/>
        <v>8100</v>
      </c>
      <c r="T14" s="54">
        <v>9000</v>
      </c>
      <c r="U14" s="103">
        <f t="shared" ref="U14:U58" si="6">T14</f>
        <v>9000</v>
      </c>
      <c r="V14" s="104">
        <f t="shared" si="5"/>
        <v>11394</v>
      </c>
      <c r="X14" s="40">
        <v>0</v>
      </c>
    </row>
    <row r="15" spans="1:29" s="40" customFormat="1" ht="14.45" customHeight="1" x14ac:dyDescent="0.25">
      <c r="A15" s="133" t="s">
        <v>56</v>
      </c>
      <c r="B15" s="133" t="s">
        <v>16</v>
      </c>
      <c r="C15" s="94" t="s">
        <v>54</v>
      </c>
      <c r="D15" s="95" t="s">
        <v>308</v>
      </c>
      <c r="E15" s="96" t="s">
        <v>114</v>
      </c>
      <c r="F15" s="97" t="s">
        <v>270</v>
      </c>
      <c r="G15" s="98" t="e">
        <f t="shared" si="0"/>
        <v>#N/A</v>
      </c>
      <c r="H15" s="99" t="e">
        <f t="shared" si="1"/>
        <v>#N/A</v>
      </c>
      <c r="I15" s="99" t="e">
        <f t="shared" si="2"/>
        <v>#N/A</v>
      </c>
      <c r="J15" s="99" t="e">
        <f t="shared" si="3"/>
        <v>#N/A</v>
      </c>
      <c r="K15" s="57"/>
      <c r="L15" s="100" t="s">
        <v>272</v>
      </c>
      <c r="M15" s="52" t="s">
        <v>292</v>
      </c>
      <c r="N15" s="40">
        <v>0</v>
      </c>
      <c r="O15" s="53" t="e">
        <f>VLOOKUP(B15,DRAYAGE!$A$1:$C$6,3,FALSE)</f>
        <v>#N/A</v>
      </c>
      <c r="P15" s="40" t="s">
        <v>298</v>
      </c>
      <c r="S15" s="101">
        <f t="shared" si="4"/>
        <v>12150</v>
      </c>
      <c r="T15" s="54">
        <v>13500</v>
      </c>
      <c r="U15" s="103">
        <f t="shared" si="6"/>
        <v>13500</v>
      </c>
      <c r="V15" s="104">
        <f t="shared" si="5"/>
        <v>17091</v>
      </c>
      <c r="X15" s="40">
        <v>0</v>
      </c>
    </row>
    <row r="16" spans="1:29" s="40" customFormat="1" ht="14.45" customHeight="1" x14ac:dyDescent="0.25">
      <c r="A16" s="133" t="s">
        <v>57</v>
      </c>
      <c r="B16" s="133" t="s">
        <v>16</v>
      </c>
      <c r="C16" s="94" t="s">
        <v>54</v>
      </c>
      <c r="D16" s="95" t="s">
        <v>308</v>
      </c>
      <c r="E16" s="96" t="s">
        <v>114</v>
      </c>
      <c r="F16" s="97" t="s">
        <v>270</v>
      </c>
      <c r="G16" s="98" t="e">
        <f t="shared" si="0"/>
        <v>#N/A</v>
      </c>
      <c r="H16" s="99" t="e">
        <f t="shared" si="1"/>
        <v>#N/A</v>
      </c>
      <c r="I16" s="99" t="e">
        <f t="shared" si="2"/>
        <v>#N/A</v>
      </c>
      <c r="J16" s="99" t="e">
        <f t="shared" si="3"/>
        <v>#N/A</v>
      </c>
      <c r="K16" s="57"/>
      <c r="L16" s="100" t="s">
        <v>272</v>
      </c>
      <c r="M16" s="52" t="s">
        <v>292</v>
      </c>
      <c r="N16" s="40">
        <v>0</v>
      </c>
      <c r="O16" s="53" t="e">
        <f>VLOOKUP(B16,DRAYAGE!$A$1:$C$6,3,FALSE)</f>
        <v>#N/A</v>
      </c>
      <c r="P16" s="40" t="s">
        <v>298</v>
      </c>
      <c r="S16" s="101">
        <f t="shared" si="4"/>
        <v>12600</v>
      </c>
      <c r="T16" s="54">
        <v>14000</v>
      </c>
      <c r="U16" s="103">
        <f t="shared" si="6"/>
        <v>14000</v>
      </c>
      <c r="V16" s="104">
        <f t="shared" si="5"/>
        <v>17724</v>
      </c>
      <c r="X16" s="40">
        <v>0</v>
      </c>
    </row>
    <row r="17" spans="1:29" s="40" customFormat="1" ht="14.45" customHeight="1" x14ac:dyDescent="0.25">
      <c r="A17" s="133" t="s">
        <v>59</v>
      </c>
      <c r="B17" s="133" t="s">
        <v>16</v>
      </c>
      <c r="C17" s="94" t="s">
        <v>54</v>
      </c>
      <c r="D17" s="95" t="s">
        <v>308</v>
      </c>
      <c r="E17" s="96" t="s">
        <v>114</v>
      </c>
      <c r="F17" s="97" t="s">
        <v>270</v>
      </c>
      <c r="G17" s="98" t="e">
        <f t="shared" si="0"/>
        <v>#N/A</v>
      </c>
      <c r="H17" s="99" t="e">
        <f t="shared" si="1"/>
        <v>#N/A</v>
      </c>
      <c r="I17" s="99" t="e">
        <f t="shared" si="2"/>
        <v>#N/A</v>
      </c>
      <c r="J17" s="99" t="e">
        <f t="shared" si="3"/>
        <v>#N/A</v>
      </c>
      <c r="K17" s="57"/>
      <c r="L17" s="100" t="s">
        <v>272</v>
      </c>
      <c r="M17" s="52" t="s">
        <v>292</v>
      </c>
      <c r="N17" s="40">
        <v>0</v>
      </c>
      <c r="O17" s="53" t="e">
        <f>VLOOKUP(B17,DRAYAGE!$A$1:$C$6,3,FALSE)</f>
        <v>#N/A</v>
      </c>
      <c r="P17" s="40" t="s">
        <v>298</v>
      </c>
      <c r="S17" s="101">
        <f t="shared" si="4"/>
        <v>8100</v>
      </c>
      <c r="T17" s="54">
        <v>9000</v>
      </c>
      <c r="U17" s="103">
        <f t="shared" si="6"/>
        <v>9000</v>
      </c>
      <c r="V17" s="104">
        <f t="shared" si="5"/>
        <v>11394</v>
      </c>
      <c r="X17" s="40">
        <v>0</v>
      </c>
    </row>
    <row r="18" spans="1:29" s="40" customFormat="1" ht="18.75" x14ac:dyDescent="0.25">
      <c r="A18" s="133" t="s">
        <v>60</v>
      </c>
      <c r="B18" s="133" t="s">
        <v>16</v>
      </c>
      <c r="C18" s="94" t="s">
        <v>54</v>
      </c>
      <c r="D18" s="95" t="s">
        <v>308</v>
      </c>
      <c r="E18" s="96" t="s">
        <v>114</v>
      </c>
      <c r="F18" s="97" t="s">
        <v>270</v>
      </c>
      <c r="G18" s="98" t="e">
        <f t="shared" si="0"/>
        <v>#N/A</v>
      </c>
      <c r="H18" s="99" t="e">
        <f t="shared" si="1"/>
        <v>#N/A</v>
      </c>
      <c r="I18" s="99" t="e">
        <f t="shared" si="2"/>
        <v>#N/A</v>
      </c>
      <c r="J18" s="99" t="e">
        <f t="shared" si="3"/>
        <v>#N/A</v>
      </c>
      <c r="K18" s="57"/>
      <c r="L18" s="100" t="s">
        <v>272</v>
      </c>
      <c r="M18" s="52" t="s">
        <v>292</v>
      </c>
      <c r="N18" s="40">
        <v>0</v>
      </c>
      <c r="O18" s="53" t="e">
        <f>VLOOKUP(B18,DRAYAGE!$A$1:$C$6,3,FALSE)</f>
        <v>#N/A</v>
      </c>
      <c r="P18" s="40" t="s">
        <v>298</v>
      </c>
      <c r="S18" s="101">
        <f t="shared" si="4"/>
        <v>8100</v>
      </c>
      <c r="T18" s="54">
        <v>9000</v>
      </c>
      <c r="U18" s="103">
        <f t="shared" si="6"/>
        <v>9000</v>
      </c>
      <c r="V18" s="104">
        <f t="shared" si="5"/>
        <v>11394</v>
      </c>
      <c r="X18" s="40">
        <v>0</v>
      </c>
    </row>
    <row r="19" spans="1:29" s="40" customFormat="1" ht="14.45" customHeight="1" x14ac:dyDescent="0.25">
      <c r="A19" s="133" t="s">
        <v>61</v>
      </c>
      <c r="B19" s="133" t="s">
        <v>16</v>
      </c>
      <c r="C19" s="94" t="s">
        <v>54</v>
      </c>
      <c r="D19" s="95" t="s">
        <v>308</v>
      </c>
      <c r="E19" s="96" t="s">
        <v>114</v>
      </c>
      <c r="F19" s="97" t="s">
        <v>270</v>
      </c>
      <c r="G19" s="98" t="e">
        <f t="shared" si="0"/>
        <v>#N/A</v>
      </c>
      <c r="H19" s="99" t="e">
        <f t="shared" si="1"/>
        <v>#N/A</v>
      </c>
      <c r="I19" s="99" t="e">
        <f t="shared" si="2"/>
        <v>#N/A</v>
      </c>
      <c r="J19" s="99" t="e">
        <f t="shared" si="3"/>
        <v>#N/A</v>
      </c>
      <c r="K19" s="57"/>
      <c r="L19" s="100" t="s">
        <v>272</v>
      </c>
      <c r="M19" s="52" t="s">
        <v>292</v>
      </c>
      <c r="N19" s="40">
        <v>0</v>
      </c>
      <c r="O19" s="53" t="e">
        <f>VLOOKUP(B19,DRAYAGE!$A$1:$C$6,3,FALSE)</f>
        <v>#N/A</v>
      </c>
      <c r="P19" s="40" t="s">
        <v>298</v>
      </c>
      <c r="S19" s="101">
        <f t="shared" si="4"/>
        <v>8100</v>
      </c>
      <c r="T19" s="54">
        <v>9000</v>
      </c>
      <c r="U19" s="103">
        <f t="shared" si="6"/>
        <v>9000</v>
      </c>
      <c r="V19" s="104">
        <f t="shared" si="5"/>
        <v>11394</v>
      </c>
      <c r="X19" s="40">
        <v>0</v>
      </c>
    </row>
    <row r="20" spans="1:29" s="45" customFormat="1" ht="14.45" customHeight="1" x14ac:dyDescent="0.25">
      <c r="A20" s="133" t="s">
        <v>276</v>
      </c>
      <c r="B20" s="133" t="s">
        <v>16</v>
      </c>
      <c r="C20" s="106" t="s">
        <v>54</v>
      </c>
      <c r="D20" s="95" t="s">
        <v>308</v>
      </c>
      <c r="E20" s="107" t="s">
        <v>114</v>
      </c>
      <c r="F20" s="108" t="s">
        <v>270</v>
      </c>
      <c r="G20" s="109" t="e">
        <f t="shared" si="0"/>
        <v>#N/A</v>
      </c>
      <c r="H20" s="110" t="e">
        <f t="shared" si="1"/>
        <v>#N/A</v>
      </c>
      <c r="I20" s="110" t="e">
        <f t="shared" si="2"/>
        <v>#N/A</v>
      </c>
      <c r="J20" s="110" t="e">
        <f t="shared" si="3"/>
        <v>#N/A</v>
      </c>
      <c r="K20" s="111"/>
      <c r="L20" s="112" t="s">
        <v>272</v>
      </c>
      <c r="M20" s="52" t="s">
        <v>292</v>
      </c>
      <c r="N20" s="45">
        <v>0</v>
      </c>
      <c r="O20" s="53" t="e">
        <f>VLOOKUP(B20,DRAYAGE!$A$1:$C$6,3,FALSE)</f>
        <v>#N/A</v>
      </c>
      <c r="P20" s="40" t="s">
        <v>298</v>
      </c>
      <c r="S20" s="113">
        <f t="shared" si="4"/>
        <v>9000</v>
      </c>
      <c r="T20" s="54">
        <v>10000</v>
      </c>
      <c r="U20" s="103">
        <f t="shared" si="6"/>
        <v>10000</v>
      </c>
      <c r="V20" s="114">
        <f t="shared" si="5"/>
        <v>12660</v>
      </c>
      <c r="X20" s="45">
        <v>0</v>
      </c>
      <c r="Y20" s="40">
        <f t="shared" ref="Y20:Y27" si="7">0.9*Z20</f>
        <v>135</v>
      </c>
      <c r="Z20" s="45">
        <v>150</v>
      </c>
      <c r="AA20" s="40">
        <f t="shared" ref="AA20:AA27" si="8">Z20</f>
        <v>150</v>
      </c>
      <c r="AB20" s="40">
        <f t="shared" ref="AB20:AB27" si="9">Z20*1.266</f>
        <v>189.9</v>
      </c>
    </row>
    <row r="21" spans="1:29" s="40" customFormat="1" ht="14.45" customHeight="1" x14ac:dyDescent="0.25">
      <c r="A21" s="133" t="s">
        <v>108</v>
      </c>
      <c r="B21" s="133" t="s">
        <v>16</v>
      </c>
      <c r="C21" s="94" t="s">
        <v>54</v>
      </c>
      <c r="D21" s="95" t="s">
        <v>308</v>
      </c>
      <c r="E21" s="96" t="s">
        <v>114</v>
      </c>
      <c r="F21" s="97" t="s">
        <v>270</v>
      </c>
      <c r="G21" s="98" t="e">
        <f t="shared" si="0"/>
        <v>#N/A</v>
      </c>
      <c r="H21" s="99" t="e">
        <f t="shared" si="1"/>
        <v>#N/A</v>
      </c>
      <c r="I21" s="99" t="e">
        <f t="shared" si="2"/>
        <v>#N/A</v>
      </c>
      <c r="J21" s="99" t="e">
        <f t="shared" si="3"/>
        <v>#N/A</v>
      </c>
      <c r="K21" s="57"/>
      <c r="L21" s="100" t="s">
        <v>272</v>
      </c>
      <c r="M21" s="52" t="s">
        <v>292</v>
      </c>
      <c r="N21" s="40">
        <v>0</v>
      </c>
      <c r="O21" s="53" t="e">
        <f>VLOOKUP(B21,DRAYAGE!$A$1:$C$6,3,FALSE)</f>
        <v>#N/A</v>
      </c>
      <c r="P21" s="40" t="s">
        <v>298</v>
      </c>
      <c r="S21" s="101">
        <f t="shared" si="4"/>
        <v>9000</v>
      </c>
      <c r="T21" s="54">
        <v>10000</v>
      </c>
      <c r="U21" s="103">
        <f t="shared" si="6"/>
        <v>10000</v>
      </c>
      <c r="V21" s="104">
        <f t="shared" si="5"/>
        <v>12660</v>
      </c>
      <c r="X21" s="40">
        <v>0</v>
      </c>
    </row>
    <row r="22" spans="1:29" s="40" customFormat="1" ht="14.45" customHeight="1" x14ac:dyDescent="0.25">
      <c r="A22" s="133" t="s">
        <v>62</v>
      </c>
      <c r="B22" s="133" t="s">
        <v>16</v>
      </c>
      <c r="C22" s="94" t="s">
        <v>54</v>
      </c>
      <c r="D22" s="95" t="s">
        <v>308</v>
      </c>
      <c r="E22" s="96" t="s">
        <v>114</v>
      </c>
      <c r="F22" s="97" t="s">
        <v>270</v>
      </c>
      <c r="G22" s="98" t="e">
        <f t="shared" si="0"/>
        <v>#N/A</v>
      </c>
      <c r="H22" s="99" t="e">
        <f t="shared" si="1"/>
        <v>#N/A</v>
      </c>
      <c r="I22" s="99" t="e">
        <f t="shared" si="2"/>
        <v>#N/A</v>
      </c>
      <c r="J22" s="99" t="e">
        <f t="shared" si="3"/>
        <v>#N/A</v>
      </c>
      <c r="K22" s="57"/>
      <c r="L22" s="100" t="s">
        <v>272</v>
      </c>
      <c r="M22" s="52" t="s">
        <v>292</v>
      </c>
      <c r="N22" s="40">
        <v>0</v>
      </c>
      <c r="O22" s="53" t="e">
        <f>VLOOKUP(B22,DRAYAGE!$A$1:$C$6,3,FALSE)</f>
        <v>#N/A</v>
      </c>
      <c r="P22" s="40" t="s">
        <v>298</v>
      </c>
      <c r="S22" s="101">
        <f t="shared" si="4"/>
        <v>10800</v>
      </c>
      <c r="T22" s="54">
        <v>12000</v>
      </c>
      <c r="U22" s="103">
        <f t="shared" si="6"/>
        <v>12000</v>
      </c>
      <c r="V22" s="104">
        <f t="shared" si="5"/>
        <v>15192</v>
      </c>
      <c r="X22" s="40">
        <v>0</v>
      </c>
      <c r="Y22" s="40">
        <f t="shared" si="7"/>
        <v>180</v>
      </c>
      <c r="Z22" s="40">
        <v>200</v>
      </c>
      <c r="AA22" s="40">
        <f t="shared" si="8"/>
        <v>200</v>
      </c>
      <c r="AB22" s="40">
        <f t="shared" si="9"/>
        <v>253.2</v>
      </c>
    </row>
    <row r="23" spans="1:29" s="40" customFormat="1" ht="18.75" x14ac:dyDescent="0.25">
      <c r="A23" s="133" t="s">
        <v>64</v>
      </c>
      <c r="B23" s="133" t="s">
        <v>16</v>
      </c>
      <c r="C23" s="94" t="s">
        <v>54</v>
      </c>
      <c r="D23" s="95" t="s">
        <v>308</v>
      </c>
      <c r="E23" s="96" t="s">
        <v>114</v>
      </c>
      <c r="F23" s="97" t="s">
        <v>270</v>
      </c>
      <c r="G23" s="98" t="e">
        <f t="shared" si="0"/>
        <v>#N/A</v>
      </c>
      <c r="H23" s="99" t="e">
        <f t="shared" si="1"/>
        <v>#N/A</v>
      </c>
      <c r="I23" s="99" t="e">
        <f t="shared" si="2"/>
        <v>#N/A</v>
      </c>
      <c r="J23" s="99" t="e">
        <f t="shared" si="3"/>
        <v>#N/A</v>
      </c>
      <c r="K23" s="57"/>
      <c r="L23" s="100" t="s">
        <v>272</v>
      </c>
      <c r="M23" s="52" t="s">
        <v>292</v>
      </c>
      <c r="N23" s="40">
        <v>0</v>
      </c>
      <c r="O23" s="53" t="e">
        <f>VLOOKUP(B23,DRAYAGE!$A$1:$C$6,3,FALSE)</f>
        <v>#N/A</v>
      </c>
      <c r="P23" s="40" t="s">
        <v>298</v>
      </c>
      <c r="S23" s="101">
        <f t="shared" si="4"/>
        <v>12600</v>
      </c>
      <c r="T23" s="54">
        <v>14000</v>
      </c>
      <c r="U23" s="103">
        <f t="shared" si="6"/>
        <v>14000</v>
      </c>
      <c r="V23" s="104">
        <f t="shared" si="5"/>
        <v>17724</v>
      </c>
      <c r="X23" s="40">
        <v>0</v>
      </c>
    </row>
    <row r="24" spans="1:29" s="40" customFormat="1" ht="14.45" customHeight="1" x14ac:dyDescent="0.25">
      <c r="A24" s="133" t="s">
        <v>66</v>
      </c>
      <c r="B24" s="133" t="s">
        <v>16</v>
      </c>
      <c r="C24" s="94" t="s">
        <v>54</v>
      </c>
      <c r="D24" s="95" t="s">
        <v>308</v>
      </c>
      <c r="E24" s="96" t="s">
        <v>114</v>
      </c>
      <c r="F24" s="97" t="s">
        <v>270</v>
      </c>
      <c r="G24" s="98" t="e">
        <f t="shared" si="0"/>
        <v>#N/A</v>
      </c>
      <c r="H24" s="99" t="e">
        <f t="shared" si="1"/>
        <v>#N/A</v>
      </c>
      <c r="I24" s="99" t="e">
        <f t="shared" si="2"/>
        <v>#N/A</v>
      </c>
      <c r="J24" s="99" t="e">
        <f t="shared" si="3"/>
        <v>#N/A</v>
      </c>
      <c r="K24" s="57"/>
      <c r="L24" s="100" t="s">
        <v>272</v>
      </c>
      <c r="M24" s="52" t="s">
        <v>292</v>
      </c>
      <c r="N24" s="40">
        <v>0</v>
      </c>
      <c r="O24" s="53" t="e">
        <f>VLOOKUP(B24,DRAYAGE!$A$1:$C$6,3,FALSE)</f>
        <v>#N/A</v>
      </c>
      <c r="P24" s="40" t="s">
        <v>298</v>
      </c>
      <c r="S24" s="101">
        <f t="shared" si="4"/>
        <v>9000</v>
      </c>
      <c r="T24" s="54">
        <v>10000</v>
      </c>
      <c r="U24" s="103">
        <f t="shared" si="6"/>
        <v>10000</v>
      </c>
      <c r="V24" s="104">
        <f t="shared" si="5"/>
        <v>12660</v>
      </c>
      <c r="X24" s="40">
        <v>0</v>
      </c>
    </row>
    <row r="25" spans="1:29" s="40" customFormat="1" ht="14.45" customHeight="1" x14ac:dyDescent="0.25">
      <c r="A25" s="133" t="s">
        <v>65</v>
      </c>
      <c r="B25" s="133" t="s">
        <v>16</v>
      </c>
      <c r="C25" s="94" t="s">
        <v>54</v>
      </c>
      <c r="D25" s="95" t="s">
        <v>308</v>
      </c>
      <c r="E25" s="96" t="s">
        <v>114</v>
      </c>
      <c r="F25" s="97" t="s">
        <v>270</v>
      </c>
      <c r="G25" s="98" t="e">
        <f t="shared" si="0"/>
        <v>#N/A</v>
      </c>
      <c r="H25" s="99" t="e">
        <f t="shared" si="1"/>
        <v>#N/A</v>
      </c>
      <c r="I25" s="99" t="e">
        <f t="shared" si="2"/>
        <v>#N/A</v>
      </c>
      <c r="J25" s="99" t="e">
        <f t="shared" si="3"/>
        <v>#N/A</v>
      </c>
      <c r="K25" s="57"/>
      <c r="L25" s="100" t="s">
        <v>272</v>
      </c>
      <c r="M25" s="52" t="s">
        <v>292</v>
      </c>
      <c r="N25" s="40">
        <v>0</v>
      </c>
      <c r="O25" s="53" t="e">
        <f>VLOOKUP(B25,DRAYAGE!$A$1:$C$6,3,FALSE)</f>
        <v>#N/A</v>
      </c>
      <c r="P25" s="40" t="s">
        <v>298</v>
      </c>
      <c r="S25" s="101">
        <f t="shared" si="4"/>
        <v>10800</v>
      </c>
      <c r="T25" s="54">
        <v>12000</v>
      </c>
      <c r="U25" s="103">
        <f t="shared" si="6"/>
        <v>12000</v>
      </c>
      <c r="V25" s="104">
        <f t="shared" si="5"/>
        <v>15192</v>
      </c>
      <c r="X25" s="40">
        <v>0</v>
      </c>
      <c r="Y25" s="40">
        <f t="shared" si="7"/>
        <v>360</v>
      </c>
      <c r="Z25" s="40">
        <v>400</v>
      </c>
      <c r="AA25" s="40">
        <f t="shared" si="8"/>
        <v>400</v>
      </c>
      <c r="AB25" s="40">
        <f t="shared" si="9"/>
        <v>506.4</v>
      </c>
    </row>
    <row r="26" spans="1:29" s="40" customFormat="1" ht="14.45" customHeight="1" x14ac:dyDescent="0.25">
      <c r="A26" s="133" t="s">
        <v>63</v>
      </c>
      <c r="B26" s="133" t="s">
        <v>16</v>
      </c>
      <c r="C26" s="94" t="s">
        <v>54</v>
      </c>
      <c r="D26" s="95" t="s">
        <v>308</v>
      </c>
      <c r="E26" s="96" t="s">
        <v>114</v>
      </c>
      <c r="F26" s="97" t="s">
        <v>270</v>
      </c>
      <c r="G26" s="98" t="e">
        <f t="shared" si="0"/>
        <v>#N/A</v>
      </c>
      <c r="H26" s="99" t="e">
        <f t="shared" si="1"/>
        <v>#N/A</v>
      </c>
      <c r="I26" s="99" t="e">
        <f t="shared" si="2"/>
        <v>#N/A</v>
      </c>
      <c r="J26" s="99" t="e">
        <f t="shared" si="3"/>
        <v>#N/A</v>
      </c>
      <c r="K26" s="57"/>
      <c r="L26" s="100" t="s">
        <v>272</v>
      </c>
      <c r="M26" s="52" t="s">
        <v>292</v>
      </c>
      <c r="N26" s="40">
        <v>0</v>
      </c>
      <c r="O26" s="53" t="e">
        <f>VLOOKUP(B26,DRAYAGE!$A$1:$C$6,3,FALSE)</f>
        <v>#N/A</v>
      </c>
      <c r="P26" s="40" t="s">
        <v>298</v>
      </c>
      <c r="S26" s="101">
        <f t="shared" si="4"/>
        <v>10800</v>
      </c>
      <c r="T26" s="54">
        <v>12000</v>
      </c>
      <c r="U26" s="103">
        <f t="shared" si="6"/>
        <v>12000</v>
      </c>
      <c r="V26" s="104">
        <f t="shared" si="5"/>
        <v>15192</v>
      </c>
      <c r="X26" s="40">
        <v>0</v>
      </c>
      <c r="Y26" s="40">
        <f t="shared" si="7"/>
        <v>135</v>
      </c>
      <c r="Z26" s="40">
        <v>150</v>
      </c>
      <c r="AA26" s="40">
        <f t="shared" si="8"/>
        <v>150</v>
      </c>
      <c r="AB26" s="40">
        <f t="shared" si="9"/>
        <v>189.9</v>
      </c>
    </row>
    <row r="27" spans="1:29" s="45" customFormat="1" ht="14.45" customHeight="1" x14ac:dyDescent="0.25">
      <c r="A27" s="133" t="s">
        <v>275</v>
      </c>
      <c r="B27" s="133" t="s">
        <v>16</v>
      </c>
      <c r="C27" s="106" t="s">
        <v>54</v>
      </c>
      <c r="D27" s="95" t="s">
        <v>308</v>
      </c>
      <c r="E27" s="107" t="s">
        <v>114</v>
      </c>
      <c r="F27" s="108" t="s">
        <v>270</v>
      </c>
      <c r="G27" s="98" t="e">
        <f t="shared" si="0"/>
        <v>#N/A</v>
      </c>
      <c r="H27" s="99" t="e">
        <f t="shared" si="1"/>
        <v>#N/A</v>
      </c>
      <c r="I27" s="99" t="e">
        <f t="shared" si="2"/>
        <v>#N/A</v>
      </c>
      <c r="J27" s="99" t="e">
        <f t="shared" si="3"/>
        <v>#N/A</v>
      </c>
      <c r="K27" s="111"/>
      <c r="L27" s="112" t="s">
        <v>272</v>
      </c>
      <c r="M27" s="52" t="s">
        <v>292</v>
      </c>
      <c r="N27" s="45">
        <v>0</v>
      </c>
      <c r="O27" s="53" t="e">
        <f>VLOOKUP(B27,DRAYAGE!$A$1:$C$6,3,FALSE)</f>
        <v>#N/A</v>
      </c>
      <c r="P27" s="40" t="s">
        <v>298</v>
      </c>
      <c r="R27" s="105"/>
      <c r="S27" s="113">
        <f t="shared" si="4"/>
        <v>10800</v>
      </c>
      <c r="T27" s="54">
        <v>12000</v>
      </c>
      <c r="U27" s="103">
        <f t="shared" si="6"/>
        <v>12000</v>
      </c>
      <c r="V27" s="114">
        <f t="shared" si="5"/>
        <v>15192</v>
      </c>
      <c r="X27" s="45">
        <v>0</v>
      </c>
      <c r="Y27" s="40">
        <f t="shared" si="7"/>
        <v>450</v>
      </c>
      <c r="Z27" s="45">
        <v>500</v>
      </c>
      <c r="AA27" s="40">
        <f t="shared" si="8"/>
        <v>500</v>
      </c>
      <c r="AB27" s="40">
        <f t="shared" si="9"/>
        <v>633</v>
      </c>
    </row>
    <row r="28" spans="1:29" s="40" customFormat="1" ht="14.45" customHeight="1" x14ac:dyDescent="0.25">
      <c r="A28" s="46" t="s">
        <v>83</v>
      </c>
      <c r="B28" s="88"/>
      <c r="C28" s="88"/>
      <c r="D28" s="88"/>
      <c r="E28" s="210"/>
      <c r="F28" s="211"/>
      <c r="G28" s="88"/>
      <c r="H28" s="88"/>
      <c r="I28" s="88"/>
      <c r="J28" s="88"/>
      <c r="K28" s="57"/>
      <c r="L28" s="89" t="s">
        <v>48</v>
      </c>
      <c r="M28" s="89" t="s">
        <v>261</v>
      </c>
      <c r="N28" s="90" t="s">
        <v>51</v>
      </c>
      <c r="O28" s="91" t="s">
        <v>50</v>
      </c>
      <c r="P28" s="91" t="s">
        <v>262</v>
      </c>
      <c r="Q28" s="91" t="s">
        <v>263</v>
      </c>
      <c r="R28" s="91" t="s">
        <v>264</v>
      </c>
      <c r="S28" s="92" t="s">
        <v>52</v>
      </c>
      <c r="T28" s="92">
        <v>0</v>
      </c>
      <c r="U28" s="92" t="s">
        <v>265</v>
      </c>
      <c r="V28" s="92" t="s">
        <v>266</v>
      </c>
      <c r="W28" s="92" t="s">
        <v>267</v>
      </c>
      <c r="X28" s="92" t="s">
        <v>268</v>
      </c>
      <c r="Y28" s="92" t="s">
        <v>52</v>
      </c>
      <c r="Z28" s="92" t="s">
        <v>53</v>
      </c>
      <c r="AA28" s="92" t="s">
        <v>265</v>
      </c>
      <c r="AB28" s="92" t="s">
        <v>266</v>
      </c>
      <c r="AC28" s="93" t="s">
        <v>269</v>
      </c>
    </row>
    <row r="29" spans="1:29" s="40" customFormat="1" ht="14.45" customHeight="1" x14ac:dyDescent="0.25">
      <c r="A29" s="133" t="s">
        <v>58</v>
      </c>
      <c r="B29" s="133" t="s">
        <v>21</v>
      </c>
      <c r="C29" s="94" t="s">
        <v>54</v>
      </c>
      <c r="D29" s="95" t="s">
        <v>308</v>
      </c>
      <c r="E29" s="96" t="s">
        <v>114</v>
      </c>
      <c r="F29" s="97" t="s">
        <v>270</v>
      </c>
      <c r="G29" s="98" t="e">
        <f>CEILING(S29+W29+X29+O29+N29+Y29,10)</f>
        <v>#N/A</v>
      </c>
      <c r="H29" s="99" t="e">
        <f>CEILING(T29+W29+X29+O29+N29+Z29,10)</f>
        <v>#N/A</v>
      </c>
      <c r="I29" s="99" t="e">
        <f>CEILING(U29+W29+X29+O29+N29+AA29,10)</f>
        <v>#N/A</v>
      </c>
      <c r="J29" s="99" t="e">
        <f>CEILING(V29+W29+X29+O29+N29+AB29,10)</f>
        <v>#N/A</v>
      </c>
      <c r="K29" s="57"/>
      <c r="L29" s="100" t="s">
        <v>272</v>
      </c>
      <c r="M29" s="52" t="s">
        <v>293</v>
      </c>
      <c r="N29" s="40">
        <v>0</v>
      </c>
      <c r="O29" s="53" t="e">
        <f>VLOOKUP(B29,DRAYAGE!$A$1:$C$6,3,FALSE)</f>
        <v>#N/A</v>
      </c>
      <c r="P29" s="40" t="s">
        <v>299</v>
      </c>
      <c r="S29" s="101">
        <f>0.9*T29</f>
        <v>15300</v>
      </c>
      <c r="T29" s="54">
        <v>17000</v>
      </c>
      <c r="U29" s="103">
        <f t="shared" si="6"/>
        <v>17000</v>
      </c>
      <c r="V29" s="104">
        <f>U29*1.266</f>
        <v>21522</v>
      </c>
    </row>
    <row r="30" spans="1:29" s="40" customFormat="1" ht="14.45" customHeight="1" x14ac:dyDescent="0.25">
      <c r="A30" s="133" t="s">
        <v>55</v>
      </c>
      <c r="B30" s="133" t="s">
        <v>21</v>
      </c>
      <c r="C30" s="94" t="s">
        <v>54</v>
      </c>
      <c r="D30" s="95" t="s">
        <v>308</v>
      </c>
      <c r="E30" s="96" t="s">
        <v>114</v>
      </c>
      <c r="F30" s="97" t="s">
        <v>270</v>
      </c>
      <c r="G30" s="98" t="e">
        <f>CEILING(S30+W30+X30+O30+N30+Y30,10)</f>
        <v>#N/A</v>
      </c>
      <c r="H30" s="99" t="e">
        <f>CEILING(T30+W30+X30+O30+N30+Z30,10)</f>
        <v>#N/A</v>
      </c>
      <c r="I30" s="99" t="e">
        <f>CEILING(U30+W30+X30+O30+N30+AA30,10)</f>
        <v>#N/A</v>
      </c>
      <c r="J30" s="99" t="e">
        <f>CEILING(V30+W30+X30+O30+N30+AB30,10)</f>
        <v>#N/A</v>
      </c>
      <c r="K30" s="57"/>
      <c r="L30" s="100" t="s">
        <v>272</v>
      </c>
      <c r="M30" s="52" t="s">
        <v>293</v>
      </c>
      <c r="N30" s="40">
        <v>0</v>
      </c>
      <c r="O30" s="53" t="e">
        <f>VLOOKUP(B30,DRAYAGE!$A$1:$C$6,3,FALSE)</f>
        <v>#N/A</v>
      </c>
      <c r="P30" s="40" t="s">
        <v>299</v>
      </c>
      <c r="S30" s="101">
        <f>0.9*T30</f>
        <v>10800</v>
      </c>
      <c r="T30" s="54">
        <v>12000</v>
      </c>
      <c r="U30" s="103">
        <f t="shared" si="6"/>
        <v>12000</v>
      </c>
      <c r="V30" s="104">
        <f>U30*1.266</f>
        <v>15192</v>
      </c>
    </row>
    <row r="31" spans="1:29" s="40" customFormat="1" ht="14.45" customHeight="1" x14ac:dyDescent="0.25">
      <c r="A31" s="133" t="s">
        <v>61</v>
      </c>
      <c r="B31" s="133" t="s">
        <v>21</v>
      </c>
      <c r="C31" s="94" t="s">
        <v>54</v>
      </c>
      <c r="D31" s="95" t="s">
        <v>308</v>
      </c>
      <c r="E31" s="96" t="s">
        <v>114</v>
      </c>
      <c r="F31" s="97" t="s">
        <v>270</v>
      </c>
      <c r="G31" s="98" t="e">
        <f>CEILING(S31+W31+X31+O31+N31+Y31,10)</f>
        <v>#N/A</v>
      </c>
      <c r="H31" s="99" t="e">
        <f>CEILING(T31+W31+X31+O31+N31+Z31,10)</f>
        <v>#N/A</v>
      </c>
      <c r="I31" s="99" t="e">
        <f>CEILING(U31+W31+X31+O31+N31+AA31,10)</f>
        <v>#N/A</v>
      </c>
      <c r="J31" s="99" t="e">
        <f>CEILING(V31+W31+X31+O31+N31+AB31,10)</f>
        <v>#N/A</v>
      </c>
      <c r="K31" s="57"/>
      <c r="L31" s="100" t="s">
        <v>272</v>
      </c>
      <c r="M31" s="52" t="s">
        <v>293</v>
      </c>
      <c r="N31" s="40">
        <v>0</v>
      </c>
      <c r="O31" s="53" t="e">
        <f>VLOOKUP(B31,DRAYAGE!$A$1:$C$6,3,FALSE)</f>
        <v>#N/A</v>
      </c>
      <c r="P31" s="40" t="s">
        <v>299</v>
      </c>
      <c r="S31" s="101">
        <f>0.9*T31</f>
        <v>12600</v>
      </c>
      <c r="T31" s="54">
        <v>14000</v>
      </c>
      <c r="U31" s="103">
        <f t="shared" si="6"/>
        <v>14000</v>
      </c>
      <c r="V31" s="104">
        <f>U31*1.266</f>
        <v>17724</v>
      </c>
    </row>
    <row r="32" spans="1:29" s="40" customFormat="1" ht="14.45" customHeight="1" x14ac:dyDescent="0.25">
      <c r="A32" s="46" t="s">
        <v>84</v>
      </c>
      <c r="B32" s="88"/>
      <c r="C32" s="88"/>
      <c r="D32" s="88"/>
      <c r="E32" s="210"/>
      <c r="F32" s="211"/>
      <c r="G32" s="88"/>
      <c r="H32" s="88"/>
      <c r="I32" s="88"/>
      <c r="J32" s="88"/>
      <c r="K32" s="57"/>
      <c r="L32" s="89" t="s">
        <v>48</v>
      </c>
      <c r="M32" s="89" t="s">
        <v>261</v>
      </c>
      <c r="N32" s="90" t="s">
        <v>51</v>
      </c>
      <c r="O32" s="91" t="s">
        <v>50</v>
      </c>
      <c r="P32" s="91" t="s">
        <v>262</v>
      </c>
      <c r="Q32" s="91" t="s">
        <v>263</v>
      </c>
      <c r="R32" s="91" t="s">
        <v>264</v>
      </c>
      <c r="S32" s="92" t="s">
        <v>52</v>
      </c>
      <c r="T32" s="92" t="s">
        <v>53</v>
      </c>
      <c r="U32" s="92" t="s">
        <v>265</v>
      </c>
      <c r="V32" s="92" t="s">
        <v>266</v>
      </c>
      <c r="W32" s="92" t="s">
        <v>267</v>
      </c>
      <c r="X32" s="92" t="s">
        <v>268</v>
      </c>
      <c r="Y32" s="92" t="s">
        <v>52</v>
      </c>
      <c r="Z32" s="92" t="s">
        <v>53</v>
      </c>
      <c r="AA32" s="92" t="s">
        <v>265</v>
      </c>
      <c r="AB32" s="92" t="s">
        <v>266</v>
      </c>
      <c r="AC32" s="93" t="s">
        <v>269</v>
      </c>
    </row>
    <row r="33" spans="1:29" s="40" customFormat="1" ht="14.45" customHeight="1" x14ac:dyDescent="0.25">
      <c r="A33" s="133" t="s">
        <v>58</v>
      </c>
      <c r="B33" s="133" t="s">
        <v>22</v>
      </c>
      <c r="C33" s="94" t="s">
        <v>54</v>
      </c>
      <c r="D33" s="95" t="s">
        <v>308</v>
      </c>
      <c r="E33" s="96" t="s">
        <v>114</v>
      </c>
      <c r="F33" s="97" t="s">
        <v>270</v>
      </c>
      <c r="G33" s="98" t="e">
        <f>CEILING(S33+W33+X33+O33+N33+Y33,10)</f>
        <v>#N/A</v>
      </c>
      <c r="H33" s="99" t="e">
        <f>CEILING(T33+W33+X33+O33+N33+Z33,10)</f>
        <v>#N/A</v>
      </c>
      <c r="I33" s="99" t="e">
        <f>CEILING(U33+W33+X33+O33+N33+AA33,10)</f>
        <v>#N/A</v>
      </c>
      <c r="J33" s="99" t="e">
        <f>CEILING(V33+W33+X33+O33+N33+AB33,10)</f>
        <v>#N/A</v>
      </c>
      <c r="K33" s="57"/>
      <c r="L33" s="100" t="s">
        <v>272</v>
      </c>
      <c r="M33" s="52" t="s">
        <v>293</v>
      </c>
      <c r="N33" s="40">
        <v>0</v>
      </c>
      <c r="O33" s="53" t="e">
        <f>VLOOKUP(B33,DRAYAGE!$A$1:$C$6,3,FALSE)</f>
        <v>#N/A</v>
      </c>
      <c r="P33" s="40" t="s">
        <v>299</v>
      </c>
      <c r="S33" s="101">
        <f>0.9*T33</f>
        <v>15300</v>
      </c>
      <c r="T33" s="54">
        <f>T29</f>
        <v>17000</v>
      </c>
      <c r="U33" s="103">
        <f t="shared" si="6"/>
        <v>17000</v>
      </c>
      <c r="V33" s="104">
        <f>U33*1.266</f>
        <v>21522</v>
      </c>
      <c r="X33" s="40">
        <v>0</v>
      </c>
    </row>
    <row r="34" spans="1:29" s="40" customFormat="1" ht="14.45" customHeight="1" x14ac:dyDescent="0.25">
      <c r="A34" s="133" t="s">
        <v>55</v>
      </c>
      <c r="B34" s="133" t="s">
        <v>22</v>
      </c>
      <c r="C34" s="94" t="s">
        <v>54</v>
      </c>
      <c r="D34" s="95" t="s">
        <v>308</v>
      </c>
      <c r="E34" s="96" t="s">
        <v>114</v>
      </c>
      <c r="F34" s="97" t="s">
        <v>270</v>
      </c>
      <c r="G34" s="98" t="e">
        <f>CEILING(S34+W34+X34+O34+N34+Y34,10)</f>
        <v>#N/A</v>
      </c>
      <c r="H34" s="99" t="e">
        <f>CEILING(T34+W34+X34+O34+N34+Z34,10)</f>
        <v>#N/A</v>
      </c>
      <c r="I34" s="99" t="e">
        <f>CEILING(U34+W34+X34+O34+N34+AA34,10)</f>
        <v>#N/A</v>
      </c>
      <c r="J34" s="99" t="e">
        <f>CEILING(V34+W34+X34+O34+N34+AB34,10)</f>
        <v>#N/A</v>
      </c>
      <c r="K34" s="57"/>
      <c r="L34" s="100" t="s">
        <v>272</v>
      </c>
      <c r="M34" s="52" t="s">
        <v>293</v>
      </c>
      <c r="N34" s="40">
        <v>0</v>
      </c>
      <c r="O34" s="53" t="e">
        <f>VLOOKUP(B34,DRAYAGE!$A$1:$C$6,3,FALSE)</f>
        <v>#N/A</v>
      </c>
      <c r="P34" s="40" t="s">
        <v>299</v>
      </c>
      <c r="S34" s="101">
        <f>0.9*T34</f>
        <v>10800</v>
      </c>
      <c r="T34" s="54">
        <f>T30</f>
        <v>12000</v>
      </c>
      <c r="U34" s="103">
        <f t="shared" si="6"/>
        <v>12000</v>
      </c>
      <c r="V34" s="104">
        <f>U34*1.266</f>
        <v>15192</v>
      </c>
      <c r="X34" s="40">
        <v>0</v>
      </c>
    </row>
    <row r="35" spans="1:29" s="40" customFormat="1" ht="14.45" customHeight="1" x14ac:dyDescent="0.25">
      <c r="A35" s="133" t="s">
        <v>61</v>
      </c>
      <c r="B35" s="133" t="s">
        <v>22</v>
      </c>
      <c r="C35" s="94" t="s">
        <v>54</v>
      </c>
      <c r="D35" s="95" t="s">
        <v>308</v>
      </c>
      <c r="E35" s="96" t="s">
        <v>114</v>
      </c>
      <c r="F35" s="97" t="s">
        <v>270</v>
      </c>
      <c r="G35" s="98" t="e">
        <f>CEILING(S35+W35+X35+O35+N35+Y35,10)</f>
        <v>#N/A</v>
      </c>
      <c r="H35" s="99" t="e">
        <f>CEILING(T35+W35+X35+O35+N35+Z35,10)</f>
        <v>#N/A</v>
      </c>
      <c r="I35" s="99" t="e">
        <f>CEILING(U35+W35+X35+O35+N35+AA35,10)</f>
        <v>#N/A</v>
      </c>
      <c r="J35" s="99" t="e">
        <f>CEILING(V35+W35+X35+O35+N35+AB35,10)</f>
        <v>#N/A</v>
      </c>
      <c r="K35" s="57"/>
      <c r="L35" s="100" t="s">
        <v>272</v>
      </c>
      <c r="M35" s="52" t="s">
        <v>293</v>
      </c>
      <c r="N35" s="40">
        <v>0</v>
      </c>
      <c r="O35" s="53" t="e">
        <f>VLOOKUP(B35,DRAYAGE!$A$1:$C$6,3,FALSE)</f>
        <v>#N/A</v>
      </c>
      <c r="P35" s="40" t="s">
        <v>299</v>
      </c>
      <c r="S35" s="101">
        <f>0.9*T35</f>
        <v>12600</v>
      </c>
      <c r="T35" s="54">
        <f>T31</f>
        <v>14000</v>
      </c>
      <c r="U35" s="103">
        <f t="shared" si="6"/>
        <v>14000</v>
      </c>
      <c r="V35" s="104">
        <f>U35*1.266</f>
        <v>17724</v>
      </c>
      <c r="X35" s="40">
        <v>0</v>
      </c>
    </row>
    <row r="36" spans="1:29" s="40" customFormat="1" ht="14.45" customHeight="1" x14ac:dyDescent="0.25">
      <c r="A36" s="47" t="s">
        <v>85</v>
      </c>
      <c r="B36" s="88"/>
      <c r="C36" s="88"/>
      <c r="D36" s="88"/>
      <c r="E36" s="210"/>
      <c r="F36" s="211"/>
      <c r="G36" s="88"/>
      <c r="H36" s="88"/>
      <c r="I36" s="88"/>
      <c r="J36" s="88"/>
      <c r="K36" s="57"/>
      <c r="L36" s="89" t="s">
        <v>48</v>
      </c>
      <c r="M36" s="89" t="s">
        <v>261</v>
      </c>
      <c r="N36" s="90" t="s">
        <v>51</v>
      </c>
      <c r="O36" s="91" t="s">
        <v>50</v>
      </c>
      <c r="P36" s="91" t="s">
        <v>262</v>
      </c>
      <c r="Q36" s="91" t="s">
        <v>263</v>
      </c>
      <c r="R36" s="91" t="s">
        <v>264</v>
      </c>
      <c r="S36" s="92" t="s">
        <v>52</v>
      </c>
      <c r="T36" s="92" t="s">
        <v>53</v>
      </c>
      <c r="U36" s="92" t="s">
        <v>265</v>
      </c>
      <c r="V36" s="92" t="s">
        <v>266</v>
      </c>
      <c r="W36" s="92" t="s">
        <v>267</v>
      </c>
      <c r="X36" s="92" t="s">
        <v>268</v>
      </c>
      <c r="Y36" s="92" t="s">
        <v>52</v>
      </c>
      <c r="Z36" s="92" t="s">
        <v>53</v>
      </c>
      <c r="AA36" s="92" t="s">
        <v>265</v>
      </c>
      <c r="AB36" s="92" t="s">
        <v>266</v>
      </c>
      <c r="AC36" s="93" t="s">
        <v>269</v>
      </c>
    </row>
    <row r="37" spans="1:29" s="40" customFormat="1" ht="18.75" x14ac:dyDescent="0.25">
      <c r="A37" s="133" t="s">
        <v>81</v>
      </c>
      <c r="B37" s="133" t="s">
        <v>17</v>
      </c>
      <c r="C37" s="94" t="s">
        <v>54</v>
      </c>
      <c r="D37" s="95" t="s">
        <v>308</v>
      </c>
      <c r="E37" s="96" t="s">
        <v>114</v>
      </c>
      <c r="F37" s="97" t="s">
        <v>270</v>
      </c>
      <c r="G37" s="98" t="e">
        <f t="shared" ref="G37:G43" si="10">CEILING(S37+W37+X37+O37+N37+Y37,10)</f>
        <v>#N/A</v>
      </c>
      <c r="H37" s="99" t="e">
        <f t="shared" ref="H37:H43" si="11">CEILING(T37+W37+X37+O37+N37+Z37,10)</f>
        <v>#N/A</v>
      </c>
      <c r="I37" s="99" t="e">
        <f t="shared" ref="I37:I43" si="12">CEILING(U37+W37+X37+O37+N37+AA37,10)</f>
        <v>#N/A</v>
      </c>
      <c r="J37" s="99" t="e">
        <f t="shared" ref="J37:J43" si="13">CEILING(V37+W37+X37+O37+N37+AB37,10)</f>
        <v>#N/A</v>
      </c>
      <c r="K37" s="57"/>
      <c r="L37" s="100" t="s">
        <v>272</v>
      </c>
      <c r="M37" s="52" t="s">
        <v>294</v>
      </c>
      <c r="N37" s="40">
        <v>0</v>
      </c>
      <c r="O37" s="53" t="e">
        <f>VLOOKUP(B37,DRAYAGE!$A$1:$C$6,3,FALSE)</f>
        <v>#N/A</v>
      </c>
      <c r="P37" s="40" t="s">
        <v>300</v>
      </c>
      <c r="S37" s="101">
        <f t="shared" ref="S37:S43" si="14">0.9*T37</f>
        <v>12600</v>
      </c>
      <c r="T37" s="54">
        <v>14000</v>
      </c>
      <c r="U37" s="103">
        <f t="shared" si="6"/>
        <v>14000</v>
      </c>
      <c r="V37" s="104">
        <f t="shared" ref="V37:V43" si="15">U37*1.266</f>
        <v>17724</v>
      </c>
      <c r="X37" s="40">
        <v>0</v>
      </c>
    </row>
    <row r="38" spans="1:29" s="40" customFormat="1" ht="14.45" customHeight="1" x14ac:dyDescent="0.25">
      <c r="A38" s="133" t="s">
        <v>55</v>
      </c>
      <c r="B38" s="133" t="s">
        <v>17</v>
      </c>
      <c r="C38" s="94" t="s">
        <v>54</v>
      </c>
      <c r="D38" s="95" t="s">
        <v>308</v>
      </c>
      <c r="E38" s="96" t="s">
        <v>114</v>
      </c>
      <c r="F38" s="97" t="s">
        <v>270</v>
      </c>
      <c r="G38" s="98" t="e">
        <f t="shared" si="10"/>
        <v>#N/A</v>
      </c>
      <c r="H38" s="99" t="e">
        <f t="shared" si="11"/>
        <v>#N/A</v>
      </c>
      <c r="I38" s="99" t="e">
        <f t="shared" si="12"/>
        <v>#N/A</v>
      </c>
      <c r="J38" s="99" t="e">
        <f t="shared" si="13"/>
        <v>#N/A</v>
      </c>
      <c r="K38" s="57"/>
      <c r="L38" s="100" t="s">
        <v>272</v>
      </c>
      <c r="M38" s="52" t="s">
        <v>294</v>
      </c>
      <c r="N38" s="40">
        <v>0</v>
      </c>
      <c r="O38" s="53" t="e">
        <f>VLOOKUP(B38,DRAYAGE!$A$1:$C$6,3,FALSE)</f>
        <v>#N/A</v>
      </c>
      <c r="P38" s="40" t="s">
        <v>300</v>
      </c>
      <c r="S38" s="101">
        <f t="shared" si="14"/>
        <v>11250</v>
      </c>
      <c r="T38" s="54">
        <v>12500</v>
      </c>
      <c r="U38" s="103">
        <f t="shared" si="6"/>
        <v>12500</v>
      </c>
      <c r="V38" s="104">
        <f t="shared" si="15"/>
        <v>15825</v>
      </c>
      <c r="X38" s="40">
        <v>0</v>
      </c>
    </row>
    <row r="39" spans="1:29" s="40" customFormat="1" ht="14.45" customHeight="1" x14ac:dyDescent="0.25">
      <c r="A39" s="133" t="s">
        <v>59</v>
      </c>
      <c r="B39" s="133" t="s">
        <v>17</v>
      </c>
      <c r="C39" s="94" t="s">
        <v>54</v>
      </c>
      <c r="D39" s="95" t="s">
        <v>308</v>
      </c>
      <c r="E39" s="96" t="s">
        <v>114</v>
      </c>
      <c r="F39" s="97" t="s">
        <v>270</v>
      </c>
      <c r="G39" s="98" t="e">
        <f t="shared" si="10"/>
        <v>#N/A</v>
      </c>
      <c r="H39" s="99" t="e">
        <f t="shared" si="11"/>
        <v>#N/A</v>
      </c>
      <c r="I39" s="99" t="e">
        <f t="shared" si="12"/>
        <v>#N/A</v>
      </c>
      <c r="J39" s="99" t="e">
        <f t="shared" si="13"/>
        <v>#N/A</v>
      </c>
      <c r="K39" s="57"/>
      <c r="L39" s="100" t="s">
        <v>272</v>
      </c>
      <c r="M39" s="52" t="s">
        <v>294</v>
      </c>
      <c r="N39" s="40">
        <v>0</v>
      </c>
      <c r="O39" s="53" t="e">
        <f>VLOOKUP(B39,DRAYAGE!$A$1:$C$6,3,FALSE)</f>
        <v>#N/A</v>
      </c>
      <c r="P39" s="40" t="s">
        <v>300</v>
      </c>
      <c r="S39" s="101">
        <f t="shared" si="14"/>
        <v>10350</v>
      </c>
      <c r="T39" s="54">
        <v>11500</v>
      </c>
      <c r="U39" s="103">
        <f t="shared" si="6"/>
        <v>11500</v>
      </c>
      <c r="V39" s="104">
        <f t="shared" si="15"/>
        <v>14559</v>
      </c>
      <c r="X39" s="40">
        <v>0</v>
      </c>
    </row>
    <row r="40" spans="1:29" s="40" customFormat="1" ht="18.75" x14ac:dyDescent="0.25">
      <c r="A40" s="133" t="s">
        <v>60</v>
      </c>
      <c r="B40" s="133" t="s">
        <v>17</v>
      </c>
      <c r="C40" s="94" t="s">
        <v>54</v>
      </c>
      <c r="D40" s="95" t="s">
        <v>308</v>
      </c>
      <c r="E40" s="96" t="s">
        <v>114</v>
      </c>
      <c r="F40" s="97" t="s">
        <v>270</v>
      </c>
      <c r="G40" s="98" t="e">
        <f t="shared" si="10"/>
        <v>#N/A</v>
      </c>
      <c r="H40" s="99" t="e">
        <f t="shared" si="11"/>
        <v>#N/A</v>
      </c>
      <c r="I40" s="99" t="e">
        <f t="shared" si="12"/>
        <v>#N/A</v>
      </c>
      <c r="J40" s="99" t="e">
        <f t="shared" si="13"/>
        <v>#N/A</v>
      </c>
      <c r="K40" s="57"/>
      <c r="L40" s="100" t="s">
        <v>272</v>
      </c>
      <c r="M40" s="52" t="s">
        <v>294</v>
      </c>
      <c r="N40" s="40">
        <v>0</v>
      </c>
      <c r="O40" s="53" t="e">
        <f>VLOOKUP(B40,DRAYAGE!$A$1:$C$6,3,FALSE)</f>
        <v>#N/A</v>
      </c>
      <c r="P40" s="40" t="s">
        <v>300</v>
      </c>
      <c r="S40" s="101">
        <f t="shared" si="14"/>
        <v>13050</v>
      </c>
      <c r="T40" s="54">
        <v>14500</v>
      </c>
      <c r="U40" s="103">
        <f t="shared" si="6"/>
        <v>14500</v>
      </c>
      <c r="V40" s="104">
        <f t="shared" si="15"/>
        <v>18357</v>
      </c>
      <c r="X40" s="40">
        <v>0</v>
      </c>
    </row>
    <row r="41" spans="1:29" s="45" customFormat="1" ht="14.45" customHeight="1" x14ac:dyDescent="0.25">
      <c r="A41" s="133" t="s">
        <v>61</v>
      </c>
      <c r="B41" s="133" t="s">
        <v>17</v>
      </c>
      <c r="C41" s="106" t="s">
        <v>54</v>
      </c>
      <c r="D41" s="95" t="s">
        <v>308</v>
      </c>
      <c r="E41" s="107" t="s">
        <v>114</v>
      </c>
      <c r="F41" s="108" t="s">
        <v>270</v>
      </c>
      <c r="G41" s="109" t="e">
        <f t="shared" si="10"/>
        <v>#N/A</v>
      </c>
      <c r="H41" s="110" t="e">
        <f t="shared" si="11"/>
        <v>#N/A</v>
      </c>
      <c r="I41" s="110" t="e">
        <f t="shared" si="12"/>
        <v>#N/A</v>
      </c>
      <c r="J41" s="110" t="e">
        <f t="shared" si="13"/>
        <v>#N/A</v>
      </c>
      <c r="K41" s="111"/>
      <c r="L41" s="112" t="s">
        <v>272</v>
      </c>
      <c r="M41" s="52" t="s">
        <v>294</v>
      </c>
      <c r="N41" s="45">
        <v>0</v>
      </c>
      <c r="O41" s="53" t="e">
        <f>VLOOKUP(B41,DRAYAGE!$A$1:$C$6,3,FALSE)</f>
        <v>#N/A</v>
      </c>
      <c r="P41" s="40" t="s">
        <v>300</v>
      </c>
      <c r="R41" s="40"/>
      <c r="S41" s="113">
        <f t="shared" si="14"/>
        <v>12600</v>
      </c>
      <c r="T41" s="54">
        <v>14000</v>
      </c>
      <c r="U41" s="103">
        <f t="shared" si="6"/>
        <v>14000</v>
      </c>
      <c r="V41" s="114">
        <f t="shared" si="15"/>
        <v>17724</v>
      </c>
      <c r="X41" s="45">
        <v>0</v>
      </c>
      <c r="Y41" s="40"/>
      <c r="Z41" s="40"/>
      <c r="AA41" s="40"/>
      <c r="AB41" s="40"/>
    </row>
    <row r="42" spans="1:29" s="40" customFormat="1" ht="18.75" x14ac:dyDescent="0.25">
      <c r="A42" s="133" t="s">
        <v>273</v>
      </c>
      <c r="B42" s="133" t="s">
        <v>17</v>
      </c>
      <c r="C42" s="94" t="s">
        <v>54</v>
      </c>
      <c r="D42" s="95" t="s">
        <v>308</v>
      </c>
      <c r="E42" s="96" t="s">
        <v>114</v>
      </c>
      <c r="F42" s="97" t="s">
        <v>270</v>
      </c>
      <c r="G42" s="98" t="e">
        <f t="shared" si="10"/>
        <v>#N/A</v>
      </c>
      <c r="H42" s="99" t="e">
        <f t="shared" si="11"/>
        <v>#N/A</v>
      </c>
      <c r="I42" s="99" t="e">
        <f t="shared" si="12"/>
        <v>#N/A</v>
      </c>
      <c r="J42" s="99" t="e">
        <f t="shared" si="13"/>
        <v>#N/A</v>
      </c>
      <c r="K42" s="57"/>
      <c r="L42" s="100" t="s">
        <v>272</v>
      </c>
      <c r="M42" s="52" t="s">
        <v>294</v>
      </c>
      <c r="N42" s="40">
        <v>0</v>
      </c>
      <c r="O42" s="53" t="e">
        <f>VLOOKUP(B42,DRAYAGE!$A$1:$C$6,3,FALSE)</f>
        <v>#N/A</v>
      </c>
      <c r="P42" s="40" t="s">
        <v>300</v>
      </c>
      <c r="S42" s="101">
        <f t="shared" si="14"/>
        <v>18000</v>
      </c>
      <c r="T42" s="54">
        <v>20000</v>
      </c>
      <c r="U42" s="103">
        <f t="shared" si="6"/>
        <v>20000</v>
      </c>
      <c r="V42" s="104">
        <f t="shared" si="15"/>
        <v>25320</v>
      </c>
      <c r="X42" s="40">
        <v>0</v>
      </c>
    </row>
    <row r="43" spans="1:29" s="40" customFormat="1" ht="14.45" customHeight="1" x14ac:dyDescent="0.25">
      <c r="A43" s="133" t="s">
        <v>58</v>
      </c>
      <c r="B43" s="133" t="s">
        <v>17</v>
      </c>
      <c r="C43" s="94" t="s">
        <v>54</v>
      </c>
      <c r="D43" s="126" t="s">
        <v>290</v>
      </c>
      <c r="E43" s="96" t="s">
        <v>114</v>
      </c>
      <c r="F43" s="97" t="s">
        <v>270</v>
      </c>
      <c r="G43" s="98" t="e">
        <f t="shared" si="10"/>
        <v>#N/A</v>
      </c>
      <c r="H43" s="99" t="e">
        <f t="shared" si="11"/>
        <v>#N/A</v>
      </c>
      <c r="I43" s="99" t="e">
        <f t="shared" si="12"/>
        <v>#N/A</v>
      </c>
      <c r="J43" s="99" t="e">
        <f t="shared" si="13"/>
        <v>#N/A</v>
      </c>
      <c r="K43" s="57"/>
      <c r="L43" s="100" t="s">
        <v>272</v>
      </c>
      <c r="M43" s="52" t="s">
        <v>294</v>
      </c>
      <c r="N43" s="40">
        <v>0</v>
      </c>
      <c r="O43" s="53" t="e">
        <f>VLOOKUP(B43,DRAYAGE!$A$1:$C$6,3,FALSE)</f>
        <v>#N/A</v>
      </c>
      <c r="P43" s="40" t="s">
        <v>298</v>
      </c>
      <c r="S43" s="101">
        <f t="shared" si="14"/>
        <v>22950</v>
      </c>
      <c r="T43" s="54">
        <v>25500</v>
      </c>
      <c r="U43" s="103">
        <f t="shared" si="6"/>
        <v>25500</v>
      </c>
      <c r="V43" s="104">
        <f t="shared" si="15"/>
        <v>32283</v>
      </c>
      <c r="X43" s="40">
        <v>0</v>
      </c>
    </row>
    <row r="44" spans="1:29" s="40" customFormat="1" ht="14.45" customHeight="1" x14ac:dyDescent="0.25">
      <c r="A44" s="46" t="s">
        <v>98</v>
      </c>
      <c r="B44" s="88"/>
      <c r="C44" s="88"/>
      <c r="D44" s="88"/>
      <c r="E44" s="210"/>
      <c r="F44" s="211"/>
      <c r="G44" s="88"/>
      <c r="H44" s="88"/>
      <c r="I44" s="88"/>
      <c r="J44" s="88"/>
      <c r="K44" s="57"/>
      <c r="L44" s="89" t="s">
        <v>48</v>
      </c>
      <c r="M44" s="89" t="s">
        <v>261</v>
      </c>
      <c r="N44" s="90" t="s">
        <v>51</v>
      </c>
      <c r="O44" s="91" t="s">
        <v>50</v>
      </c>
      <c r="P44" s="91" t="s">
        <v>262</v>
      </c>
      <c r="Q44" s="91" t="s">
        <v>263</v>
      </c>
      <c r="R44" s="92" t="s">
        <v>52</v>
      </c>
      <c r="S44" s="92" t="s">
        <v>52</v>
      </c>
      <c r="T44" s="92" t="s">
        <v>53</v>
      </c>
      <c r="U44" s="92" t="s">
        <v>265</v>
      </c>
      <c r="V44" s="92" t="s">
        <v>266</v>
      </c>
      <c r="W44" s="92" t="s">
        <v>267</v>
      </c>
      <c r="X44" s="92" t="s">
        <v>268</v>
      </c>
      <c r="Y44" s="92" t="s">
        <v>52</v>
      </c>
      <c r="Z44" s="92" t="s">
        <v>53</v>
      </c>
      <c r="AA44" s="92" t="s">
        <v>265</v>
      </c>
      <c r="AB44" s="92" t="s">
        <v>266</v>
      </c>
      <c r="AC44" s="93" t="s">
        <v>269</v>
      </c>
    </row>
    <row r="45" spans="1:29" s="40" customFormat="1" ht="14.45" customHeight="1" x14ac:dyDescent="0.25">
      <c r="A45" s="133" t="s">
        <v>331</v>
      </c>
      <c r="B45" s="133" t="s">
        <v>106</v>
      </c>
      <c r="C45" s="94" t="s">
        <v>54</v>
      </c>
      <c r="D45" s="95" t="s">
        <v>308</v>
      </c>
      <c r="E45" s="96" t="s">
        <v>114</v>
      </c>
      <c r="F45" s="97" t="s">
        <v>270</v>
      </c>
      <c r="G45" s="98">
        <f>CEILING(S45+W45+X45+O45+N45+Y45,10)</f>
        <v>15400</v>
      </c>
      <c r="H45" s="99">
        <f>CEILING(T45+W45+X45+O45+N45+Z45,10)</f>
        <v>16800</v>
      </c>
      <c r="I45" s="99">
        <f>CEILING(U45+W45+X45+O45+N45+AA45,10)</f>
        <v>16800</v>
      </c>
      <c r="J45" s="99">
        <f>CEILING(V45+W45+X45+O45+N45+AB45,10)</f>
        <v>20530</v>
      </c>
      <c r="K45" s="57"/>
      <c r="L45" s="100" t="s">
        <v>272</v>
      </c>
      <c r="M45" s="52" t="s">
        <v>293</v>
      </c>
      <c r="N45" s="40">
        <v>0</v>
      </c>
      <c r="O45" s="53">
        <v>2800</v>
      </c>
      <c r="P45" s="40" t="s">
        <v>302</v>
      </c>
      <c r="R45" s="101">
        <v>19800</v>
      </c>
      <c r="S45" s="101">
        <f>0.9*T45</f>
        <v>12600</v>
      </c>
      <c r="T45" s="54">
        <v>14000</v>
      </c>
      <c r="U45" s="103">
        <f>T45</f>
        <v>14000</v>
      </c>
      <c r="V45" s="104">
        <f>U45*1.266</f>
        <v>17724</v>
      </c>
      <c r="W45" s="40">
        <v>0</v>
      </c>
    </row>
    <row r="46" spans="1:29" s="40" customFormat="1" ht="14.45" customHeight="1" x14ac:dyDescent="0.25">
      <c r="A46" s="133" t="s">
        <v>322</v>
      </c>
      <c r="B46" s="133" t="s">
        <v>106</v>
      </c>
      <c r="C46" s="94" t="s">
        <v>54</v>
      </c>
      <c r="D46" s="95" t="s">
        <v>308</v>
      </c>
      <c r="E46" s="96" t="s">
        <v>114</v>
      </c>
      <c r="F46" s="97" t="s">
        <v>270</v>
      </c>
      <c r="G46" s="98">
        <f>CEILING(S46+W46+X46+O46+N46+Y46,10)</f>
        <v>18100</v>
      </c>
      <c r="H46" s="99">
        <f>CEILING(T46+W46+X46+O46+N46+Z46,10)</f>
        <v>19800</v>
      </c>
      <c r="I46" s="99">
        <f>CEILING(U46+W46+X46+O46+N46+AA46,10)</f>
        <v>19800</v>
      </c>
      <c r="J46" s="99">
        <f>CEILING(V46+W46+X46+O46+N46+AB46,10)</f>
        <v>24330</v>
      </c>
      <c r="K46" s="57"/>
      <c r="L46" s="100" t="s">
        <v>272</v>
      </c>
      <c r="M46" s="52" t="s">
        <v>293</v>
      </c>
      <c r="N46" s="40">
        <v>0</v>
      </c>
      <c r="O46" s="53">
        <v>2800</v>
      </c>
      <c r="P46" s="40" t="s">
        <v>302</v>
      </c>
      <c r="R46" s="101">
        <v>19800</v>
      </c>
      <c r="S46" s="101">
        <f>0.9*T46</f>
        <v>15300</v>
      </c>
      <c r="T46" s="54">
        <v>17000</v>
      </c>
      <c r="U46" s="103">
        <f>T46</f>
        <v>17000</v>
      </c>
      <c r="V46" s="104">
        <f>U46*1.266</f>
        <v>21522</v>
      </c>
      <c r="W46" s="40">
        <v>0</v>
      </c>
    </row>
    <row r="47" spans="1:29" s="40" customFormat="1" ht="14.45" customHeight="1" x14ac:dyDescent="0.25">
      <c r="A47" s="133" t="s">
        <v>330</v>
      </c>
      <c r="B47" s="133" t="s">
        <v>106</v>
      </c>
      <c r="C47" s="94" t="s">
        <v>54</v>
      </c>
      <c r="D47" s="95" t="s">
        <v>308</v>
      </c>
      <c r="E47" s="96" t="s">
        <v>114</v>
      </c>
      <c r="F47" s="97" t="s">
        <v>270</v>
      </c>
      <c r="G47" s="98">
        <f>CEILING(S47+W47+X47+O47+N47+Y47,10)</f>
        <v>13600</v>
      </c>
      <c r="H47" s="99">
        <f>CEILING(T47+W47+X47+O47+N47+Z47,10)</f>
        <v>14800</v>
      </c>
      <c r="I47" s="99">
        <f>CEILING(U47+W47+X47+O47+N47+AA47,10)</f>
        <v>14800</v>
      </c>
      <c r="J47" s="99">
        <f>CEILING(V47+W47+X47+O47+N47+AB47,10)</f>
        <v>18000</v>
      </c>
      <c r="K47" s="57"/>
      <c r="L47" s="100" t="s">
        <v>272</v>
      </c>
      <c r="M47" s="52" t="s">
        <v>293</v>
      </c>
      <c r="N47" s="40">
        <v>0</v>
      </c>
      <c r="O47" s="53">
        <v>2800</v>
      </c>
      <c r="P47" s="40" t="s">
        <v>302</v>
      </c>
      <c r="R47" s="101">
        <v>19800</v>
      </c>
      <c r="S47" s="101">
        <f>0.9*T47</f>
        <v>10800</v>
      </c>
      <c r="T47" s="54">
        <v>12000</v>
      </c>
      <c r="U47" s="103">
        <f>T47</f>
        <v>12000</v>
      </c>
      <c r="V47" s="104">
        <f>U47*1.266</f>
        <v>15192</v>
      </c>
      <c r="W47" s="40">
        <v>0</v>
      </c>
    </row>
    <row r="48" spans="1:29" s="40" customFormat="1" ht="14.45" customHeight="1" x14ac:dyDescent="0.25">
      <c r="A48" s="47" t="s">
        <v>323</v>
      </c>
      <c r="B48" s="88"/>
      <c r="C48" s="88"/>
      <c r="D48" s="88"/>
      <c r="E48" s="210"/>
      <c r="F48" s="211"/>
      <c r="G48" s="88"/>
      <c r="H48" s="88"/>
      <c r="I48" s="88"/>
      <c r="J48" s="88"/>
      <c r="K48" s="57"/>
      <c r="L48" s="89" t="s">
        <v>324</v>
      </c>
      <c r="M48" s="89" t="s">
        <v>261</v>
      </c>
      <c r="N48" s="90" t="s">
        <v>51</v>
      </c>
      <c r="O48" s="91" t="s">
        <v>50</v>
      </c>
      <c r="P48" s="91" t="s">
        <v>262</v>
      </c>
      <c r="Q48" s="91" t="s">
        <v>263</v>
      </c>
      <c r="R48" s="92" t="s">
        <v>52</v>
      </c>
      <c r="S48" s="92" t="s">
        <v>52</v>
      </c>
      <c r="T48" s="92" t="s">
        <v>53</v>
      </c>
      <c r="U48" s="92" t="s">
        <v>265</v>
      </c>
      <c r="V48" s="92" t="s">
        <v>266</v>
      </c>
      <c r="W48" s="92" t="s">
        <v>267</v>
      </c>
      <c r="X48" s="92" t="s">
        <v>268</v>
      </c>
      <c r="Y48" s="92" t="s">
        <v>52</v>
      </c>
      <c r="Z48" s="92" t="s">
        <v>53</v>
      </c>
      <c r="AA48" s="92" t="s">
        <v>265</v>
      </c>
      <c r="AB48" s="92" t="s">
        <v>266</v>
      </c>
      <c r="AC48" s="93" t="s">
        <v>269</v>
      </c>
    </row>
    <row r="49" spans="1:29" s="40" customFormat="1" ht="14.45" customHeight="1" x14ac:dyDescent="0.25">
      <c r="A49" s="133" t="s">
        <v>326</v>
      </c>
      <c r="B49" s="133" t="s">
        <v>103</v>
      </c>
      <c r="C49" s="94" t="s">
        <v>54</v>
      </c>
      <c r="D49" s="95" t="s">
        <v>308</v>
      </c>
      <c r="E49" s="96" t="s">
        <v>114</v>
      </c>
      <c r="F49" s="97" t="s">
        <v>270</v>
      </c>
      <c r="G49" s="98">
        <v>18510</v>
      </c>
      <c r="H49" s="99">
        <v>20510</v>
      </c>
      <c r="I49" s="99">
        <v>20510</v>
      </c>
      <c r="J49" s="99">
        <v>25830</v>
      </c>
      <c r="K49" s="57"/>
      <c r="L49" s="100" t="s">
        <v>272</v>
      </c>
      <c r="M49" s="52" t="s">
        <v>295</v>
      </c>
      <c r="N49" s="40">
        <v>0</v>
      </c>
      <c r="O49" s="53">
        <v>504</v>
      </c>
      <c r="P49" s="40" t="s">
        <v>325</v>
      </c>
      <c r="R49" s="101">
        <v>18000</v>
      </c>
      <c r="S49" s="101">
        <f>0.9*T49</f>
        <v>16200</v>
      </c>
      <c r="T49" s="54">
        <v>18000</v>
      </c>
      <c r="U49" s="103">
        <f>T49</f>
        <v>18000</v>
      </c>
      <c r="V49" s="104">
        <f>U49*1.266</f>
        <v>22788</v>
      </c>
      <c r="W49" s="40">
        <v>0</v>
      </c>
    </row>
    <row r="50" spans="1:29" s="40" customFormat="1" ht="14.45" customHeight="1" x14ac:dyDescent="0.25">
      <c r="A50" s="133" t="s">
        <v>327</v>
      </c>
      <c r="B50" s="133" t="s">
        <v>103</v>
      </c>
      <c r="C50" s="94" t="s">
        <v>54</v>
      </c>
      <c r="D50" s="95" t="s">
        <v>308</v>
      </c>
      <c r="E50" s="96" t="s">
        <v>114</v>
      </c>
      <c r="F50" s="97" t="s">
        <v>270</v>
      </c>
      <c r="G50" s="98">
        <v>18510</v>
      </c>
      <c r="H50" s="99">
        <v>20510</v>
      </c>
      <c r="I50" s="99">
        <v>20510</v>
      </c>
      <c r="J50" s="99">
        <v>25830</v>
      </c>
      <c r="K50" s="57"/>
      <c r="L50" s="100" t="s">
        <v>272</v>
      </c>
      <c r="M50" s="52" t="s">
        <v>295</v>
      </c>
      <c r="N50" s="40">
        <v>0</v>
      </c>
      <c r="O50" s="53">
        <v>504</v>
      </c>
      <c r="P50" s="40" t="s">
        <v>325</v>
      </c>
      <c r="R50" s="101">
        <v>18000</v>
      </c>
      <c r="S50" s="101">
        <f>0.9*T50</f>
        <v>16200</v>
      </c>
      <c r="T50" s="54">
        <v>18000</v>
      </c>
      <c r="U50" s="103">
        <f>T50</f>
        <v>18000</v>
      </c>
      <c r="V50" s="104">
        <f>U50*1.266</f>
        <v>22788</v>
      </c>
      <c r="W50" s="40">
        <v>0</v>
      </c>
    </row>
    <row r="51" spans="1:29" s="40" customFormat="1" ht="14.45" customHeight="1" x14ac:dyDescent="0.25">
      <c r="A51" s="133" t="s">
        <v>328</v>
      </c>
      <c r="B51" s="133" t="s">
        <v>103</v>
      </c>
      <c r="C51" s="94" t="s">
        <v>54</v>
      </c>
      <c r="D51" s="95" t="s">
        <v>308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00" t="s">
        <v>272</v>
      </c>
      <c r="M51" s="52" t="s">
        <v>295</v>
      </c>
      <c r="N51" s="40">
        <v>0</v>
      </c>
      <c r="O51" s="53">
        <v>504</v>
      </c>
      <c r="P51" s="40" t="s">
        <v>325</v>
      </c>
      <c r="R51" s="101">
        <v>18000</v>
      </c>
      <c r="S51" s="101">
        <f>0.9*T51</f>
        <v>17100</v>
      </c>
      <c r="T51" s="54">
        <v>19000</v>
      </c>
      <c r="U51" s="103">
        <f>T51</f>
        <v>19000</v>
      </c>
      <c r="V51" s="104">
        <f>U51*1.266</f>
        <v>24054</v>
      </c>
      <c r="W51" s="40">
        <v>0</v>
      </c>
    </row>
    <row r="52" spans="1:29" s="40" customFormat="1" ht="14.45" customHeight="1" x14ac:dyDescent="0.25">
      <c r="A52" s="47" t="s">
        <v>86</v>
      </c>
      <c r="B52" s="88"/>
      <c r="C52" s="88"/>
      <c r="D52" s="88"/>
      <c r="E52" s="210"/>
      <c r="F52" s="211"/>
      <c r="G52" s="88"/>
      <c r="H52" s="88"/>
      <c r="I52" s="88"/>
      <c r="J52" s="88"/>
      <c r="K52" s="57"/>
      <c r="L52" s="89" t="s">
        <v>48</v>
      </c>
      <c r="M52" s="89" t="s">
        <v>261</v>
      </c>
      <c r="N52" s="90" t="s">
        <v>51</v>
      </c>
      <c r="O52" s="91" t="s">
        <v>50</v>
      </c>
      <c r="P52" s="91" t="s">
        <v>262</v>
      </c>
      <c r="Q52" s="91" t="s">
        <v>263</v>
      </c>
      <c r="R52" s="91" t="s">
        <v>264</v>
      </c>
      <c r="S52" s="92" t="s">
        <v>52</v>
      </c>
      <c r="T52" s="92" t="s">
        <v>53</v>
      </c>
      <c r="U52" s="92" t="s">
        <v>265</v>
      </c>
      <c r="V52" s="92" t="s">
        <v>266</v>
      </c>
      <c r="W52" s="92" t="s">
        <v>267</v>
      </c>
      <c r="X52" s="92" t="s">
        <v>268</v>
      </c>
      <c r="Y52" s="92" t="s">
        <v>52</v>
      </c>
      <c r="Z52" s="92" t="s">
        <v>53</v>
      </c>
      <c r="AA52" s="92" t="s">
        <v>265</v>
      </c>
      <c r="AB52" s="92" t="s">
        <v>266</v>
      </c>
      <c r="AC52" s="93" t="s">
        <v>269</v>
      </c>
    </row>
    <row r="53" spans="1:29" s="40" customFormat="1" ht="18.75" x14ac:dyDescent="0.25">
      <c r="A53" s="133" t="s">
        <v>81</v>
      </c>
      <c r="B53" s="133" t="s">
        <v>19</v>
      </c>
      <c r="C53" s="94" t="s">
        <v>54</v>
      </c>
      <c r="D53" s="95" t="s">
        <v>308</v>
      </c>
      <c r="E53" s="96" t="s">
        <v>114</v>
      </c>
      <c r="F53" s="97" t="s">
        <v>270</v>
      </c>
      <c r="G53" s="98" t="e">
        <f t="shared" ref="G53:G58" si="16">CEILING(S53+W53+X53+O53+N53+Y53,10)</f>
        <v>#N/A</v>
      </c>
      <c r="H53" s="99" t="e">
        <f t="shared" ref="H53:H58" si="17">CEILING(T53+W53+X53+O53+N53+Z53,10)</f>
        <v>#N/A</v>
      </c>
      <c r="I53" s="99" t="e">
        <f t="shared" ref="I53:I58" si="18">CEILING(U53+W53+X53+O53+N53+AA53,10)</f>
        <v>#N/A</v>
      </c>
      <c r="J53" s="99" t="e">
        <f t="shared" ref="J53:J58" si="19">CEILING(V53+W53+X53+O53+N53+AB53,10)</f>
        <v>#N/A</v>
      </c>
      <c r="K53" s="57"/>
      <c r="L53" s="100" t="s">
        <v>272</v>
      </c>
      <c r="M53" s="52" t="s">
        <v>294</v>
      </c>
      <c r="N53" s="40">
        <v>0</v>
      </c>
      <c r="O53" s="53" t="e">
        <f>VLOOKUP(B53,DRAYAGE!$A$1:$C$6,3,FALSE)</f>
        <v>#N/A</v>
      </c>
      <c r="P53" s="40" t="s">
        <v>301</v>
      </c>
      <c r="S53" s="101">
        <f t="shared" ref="S53:S58" si="20">0.9*T53</f>
        <v>12600</v>
      </c>
      <c r="T53" s="54">
        <f t="shared" ref="T53:T58" si="21">T37</f>
        <v>14000</v>
      </c>
      <c r="U53" s="103">
        <f t="shared" si="6"/>
        <v>14000</v>
      </c>
      <c r="V53" s="104">
        <f t="shared" ref="V53:V58" si="22">U53*1.266</f>
        <v>17724</v>
      </c>
      <c r="X53" s="40">
        <v>0</v>
      </c>
    </row>
    <row r="54" spans="1:29" s="40" customFormat="1" ht="14.45" customHeight="1" x14ac:dyDescent="0.25">
      <c r="A54" s="133" t="s">
        <v>55</v>
      </c>
      <c r="B54" s="133" t="s">
        <v>19</v>
      </c>
      <c r="C54" s="94" t="s">
        <v>54</v>
      </c>
      <c r="D54" s="95" t="s">
        <v>308</v>
      </c>
      <c r="E54" s="96" t="s">
        <v>114</v>
      </c>
      <c r="F54" s="97" t="s">
        <v>270</v>
      </c>
      <c r="G54" s="98" t="e">
        <f t="shared" si="16"/>
        <v>#N/A</v>
      </c>
      <c r="H54" s="99" t="e">
        <f t="shared" si="17"/>
        <v>#N/A</v>
      </c>
      <c r="I54" s="99" t="e">
        <f t="shared" si="18"/>
        <v>#N/A</v>
      </c>
      <c r="J54" s="99" t="e">
        <f t="shared" si="19"/>
        <v>#N/A</v>
      </c>
      <c r="K54" s="57"/>
      <c r="L54" s="100" t="s">
        <v>272</v>
      </c>
      <c r="M54" s="52" t="s">
        <v>294</v>
      </c>
      <c r="N54" s="40">
        <v>0</v>
      </c>
      <c r="O54" s="53" t="e">
        <f>VLOOKUP(B54,DRAYAGE!$A$1:$C$6,3,FALSE)</f>
        <v>#N/A</v>
      </c>
      <c r="P54" s="40" t="s">
        <v>301</v>
      </c>
      <c r="S54" s="101">
        <f t="shared" si="20"/>
        <v>11250</v>
      </c>
      <c r="T54" s="54">
        <f t="shared" si="21"/>
        <v>12500</v>
      </c>
      <c r="U54" s="103">
        <f t="shared" si="6"/>
        <v>12500</v>
      </c>
      <c r="V54" s="104">
        <f t="shared" si="22"/>
        <v>15825</v>
      </c>
      <c r="X54" s="40">
        <v>0</v>
      </c>
    </row>
    <row r="55" spans="1:29" s="40" customFormat="1" ht="14.45" customHeight="1" x14ac:dyDescent="0.25">
      <c r="A55" s="133" t="s">
        <v>59</v>
      </c>
      <c r="B55" s="133" t="s">
        <v>19</v>
      </c>
      <c r="C55" s="94" t="s">
        <v>54</v>
      </c>
      <c r="D55" s="95" t="s">
        <v>308</v>
      </c>
      <c r="E55" s="96" t="s">
        <v>114</v>
      </c>
      <c r="F55" s="97" t="s">
        <v>270</v>
      </c>
      <c r="G55" s="98" t="e">
        <f t="shared" si="16"/>
        <v>#N/A</v>
      </c>
      <c r="H55" s="99" t="e">
        <f t="shared" si="17"/>
        <v>#N/A</v>
      </c>
      <c r="I55" s="99" t="e">
        <f t="shared" si="18"/>
        <v>#N/A</v>
      </c>
      <c r="J55" s="99" t="e">
        <f t="shared" si="19"/>
        <v>#N/A</v>
      </c>
      <c r="K55" s="57"/>
      <c r="L55" s="100" t="s">
        <v>272</v>
      </c>
      <c r="M55" s="52" t="s">
        <v>294</v>
      </c>
      <c r="N55" s="40">
        <v>0</v>
      </c>
      <c r="O55" s="53" t="e">
        <f>VLOOKUP(B55,DRAYAGE!$A$1:$C$6,3,FALSE)</f>
        <v>#N/A</v>
      </c>
      <c r="P55" s="40" t="s">
        <v>301</v>
      </c>
      <c r="S55" s="101">
        <f t="shared" si="20"/>
        <v>10350</v>
      </c>
      <c r="T55" s="54">
        <f t="shared" si="21"/>
        <v>11500</v>
      </c>
      <c r="U55" s="103">
        <f t="shared" si="6"/>
        <v>11500</v>
      </c>
      <c r="V55" s="104">
        <f t="shared" si="22"/>
        <v>14559</v>
      </c>
      <c r="X55" s="40">
        <v>0</v>
      </c>
    </row>
    <row r="56" spans="1:29" s="40" customFormat="1" ht="18.75" x14ac:dyDescent="0.25">
      <c r="A56" s="133" t="s">
        <v>60</v>
      </c>
      <c r="B56" s="133" t="s">
        <v>19</v>
      </c>
      <c r="C56" s="94" t="s">
        <v>54</v>
      </c>
      <c r="D56" s="95" t="s">
        <v>308</v>
      </c>
      <c r="E56" s="96" t="s">
        <v>114</v>
      </c>
      <c r="F56" s="97" t="s">
        <v>270</v>
      </c>
      <c r="G56" s="98" t="e">
        <f t="shared" si="16"/>
        <v>#N/A</v>
      </c>
      <c r="H56" s="99" t="e">
        <f t="shared" si="17"/>
        <v>#N/A</v>
      </c>
      <c r="I56" s="99" t="e">
        <f t="shared" si="18"/>
        <v>#N/A</v>
      </c>
      <c r="J56" s="99" t="e">
        <f t="shared" si="19"/>
        <v>#N/A</v>
      </c>
      <c r="K56" s="57"/>
      <c r="L56" s="100" t="s">
        <v>272</v>
      </c>
      <c r="M56" s="52" t="s">
        <v>294</v>
      </c>
      <c r="N56" s="40">
        <v>0</v>
      </c>
      <c r="O56" s="53" t="e">
        <f>VLOOKUP(B56,DRAYAGE!$A$1:$C$6,3,FALSE)</f>
        <v>#N/A</v>
      </c>
      <c r="P56" s="40" t="s">
        <v>301</v>
      </c>
      <c r="S56" s="101">
        <f t="shared" si="20"/>
        <v>13050</v>
      </c>
      <c r="T56" s="54">
        <f t="shared" si="21"/>
        <v>14500</v>
      </c>
      <c r="U56" s="103">
        <f t="shared" si="6"/>
        <v>14500</v>
      </c>
      <c r="V56" s="104">
        <f t="shared" si="22"/>
        <v>18357</v>
      </c>
      <c r="X56" s="40">
        <v>0</v>
      </c>
    </row>
    <row r="57" spans="1:29" s="40" customFormat="1" ht="14.45" customHeight="1" x14ac:dyDescent="0.25">
      <c r="A57" s="133" t="s">
        <v>61</v>
      </c>
      <c r="B57" s="133" t="s">
        <v>19</v>
      </c>
      <c r="C57" s="94" t="s">
        <v>54</v>
      </c>
      <c r="D57" s="95" t="s">
        <v>308</v>
      </c>
      <c r="E57" s="96" t="s">
        <v>114</v>
      </c>
      <c r="F57" s="97" t="s">
        <v>270</v>
      </c>
      <c r="G57" s="98" t="e">
        <f t="shared" si="16"/>
        <v>#N/A</v>
      </c>
      <c r="H57" s="99" t="e">
        <f t="shared" si="17"/>
        <v>#N/A</v>
      </c>
      <c r="I57" s="99" t="e">
        <f t="shared" si="18"/>
        <v>#N/A</v>
      </c>
      <c r="J57" s="99" t="e">
        <f t="shared" si="19"/>
        <v>#N/A</v>
      </c>
      <c r="K57" s="57"/>
      <c r="L57" s="100" t="s">
        <v>272</v>
      </c>
      <c r="M57" s="52" t="s">
        <v>294</v>
      </c>
      <c r="N57" s="40">
        <v>0</v>
      </c>
      <c r="O57" s="53" t="e">
        <f>VLOOKUP(B57,DRAYAGE!$A$1:$C$6,3,FALSE)</f>
        <v>#N/A</v>
      </c>
      <c r="P57" s="40" t="s">
        <v>301</v>
      </c>
      <c r="S57" s="101">
        <f t="shared" si="20"/>
        <v>12600</v>
      </c>
      <c r="T57" s="54">
        <f t="shared" si="21"/>
        <v>14000</v>
      </c>
      <c r="U57" s="103">
        <f t="shared" si="6"/>
        <v>14000</v>
      </c>
      <c r="V57" s="104">
        <f t="shared" si="22"/>
        <v>17724</v>
      </c>
      <c r="X57" s="40">
        <v>0</v>
      </c>
    </row>
    <row r="58" spans="1:29" s="40" customFormat="1" ht="18.75" x14ac:dyDescent="0.25">
      <c r="A58" s="133" t="s">
        <v>273</v>
      </c>
      <c r="B58" s="133" t="s">
        <v>19</v>
      </c>
      <c r="C58" s="94" t="s">
        <v>54</v>
      </c>
      <c r="D58" s="95" t="s">
        <v>308</v>
      </c>
      <c r="E58" s="96" t="s">
        <v>114</v>
      </c>
      <c r="F58" s="97" t="s">
        <v>270</v>
      </c>
      <c r="G58" s="98" t="e">
        <f t="shared" si="16"/>
        <v>#N/A</v>
      </c>
      <c r="H58" s="99" t="e">
        <f t="shared" si="17"/>
        <v>#N/A</v>
      </c>
      <c r="I58" s="99" t="e">
        <f t="shared" si="18"/>
        <v>#N/A</v>
      </c>
      <c r="J58" s="99" t="e">
        <f t="shared" si="19"/>
        <v>#N/A</v>
      </c>
      <c r="K58" s="57"/>
      <c r="L58" s="100" t="s">
        <v>272</v>
      </c>
      <c r="M58" s="52" t="s">
        <v>294</v>
      </c>
      <c r="N58" s="40">
        <v>0</v>
      </c>
      <c r="O58" s="53" t="e">
        <f>VLOOKUP(B58,DRAYAGE!$A$1:$C$6,3,FALSE)</f>
        <v>#N/A</v>
      </c>
      <c r="P58" s="40" t="s">
        <v>301</v>
      </c>
      <c r="S58" s="101">
        <f t="shared" si="20"/>
        <v>18000</v>
      </c>
      <c r="T58" s="54">
        <f t="shared" si="21"/>
        <v>20000</v>
      </c>
      <c r="U58" s="103">
        <f t="shared" si="6"/>
        <v>20000</v>
      </c>
      <c r="V58" s="104">
        <f t="shared" si="22"/>
        <v>25320</v>
      </c>
      <c r="X58" s="40">
        <v>0</v>
      </c>
    </row>
    <row r="59" spans="1:29" s="40" customFormat="1" ht="14.45" customHeight="1" x14ac:dyDescent="0.25">
      <c r="A59" s="212" t="s">
        <v>271</v>
      </c>
      <c r="B59" s="212"/>
      <c r="C59" s="212"/>
      <c r="D59" s="212"/>
      <c r="E59" s="212"/>
      <c r="F59" s="212"/>
      <c r="G59" s="212"/>
      <c r="H59" s="212"/>
      <c r="I59" s="212"/>
      <c r="J59" s="212"/>
      <c r="K59" s="57"/>
      <c r="L59" s="100"/>
      <c r="M59" s="100"/>
      <c r="S59" s="101"/>
      <c r="T59" s="102"/>
      <c r="U59" s="103"/>
      <c r="V59" s="104"/>
    </row>
    <row r="60" spans="1:29" s="32" customFormat="1" ht="12.75" x14ac:dyDescent="0.2">
      <c r="A60" s="31"/>
      <c r="B60" s="33"/>
      <c r="C60" s="33"/>
      <c r="D60" s="33"/>
      <c r="E60" s="33"/>
      <c r="F60" s="34"/>
      <c r="G60" s="34"/>
      <c r="H60" s="34"/>
      <c r="I60" s="35"/>
      <c r="J60" s="29"/>
      <c r="K60" s="29"/>
      <c r="L60" s="27"/>
      <c r="M60" s="27"/>
      <c r="N60" s="30"/>
      <c r="O60" s="30"/>
      <c r="P60" s="30"/>
      <c r="Q60" s="30"/>
      <c r="R60" s="30"/>
      <c r="S60" s="28"/>
      <c r="T60" s="28"/>
      <c r="U60" s="28"/>
      <c r="V60" s="28"/>
      <c r="W60" s="28"/>
    </row>
    <row r="61" spans="1:29" s="37" customFormat="1" ht="14.45" customHeight="1" x14ac:dyDescent="0.25">
      <c r="A61" s="180" t="s">
        <v>111</v>
      </c>
      <c r="B61" s="180"/>
      <c r="C61" s="180"/>
      <c r="D61" s="180"/>
      <c r="E61" s="180"/>
      <c r="F61" s="180"/>
      <c r="G61" s="180"/>
      <c r="H61" s="180"/>
      <c r="I61" s="180"/>
      <c r="J61" s="180"/>
      <c r="K61" s="57"/>
    </row>
    <row r="62" spans="1:29" s="37" customFormat="1" ht="14.45" customHeight="1" x14ac:dyDescent="0.25">
      <c r="A62" s="208" t="s">
        <v>112</v>
      </c>
      <c r="B62" s="208"/>
      <c r="C62" s="208"/>
      <c r="D62" s="208"/>
      <c r="E62" s="208"/>
      <c r="F62" s="208"/>
      <c r="G62" s="208"/>
      <c r="H62" s="208"/>
      <c r="I62" s="208"/>
      <c r="J62" s="208"/>
      <c r="K62" s="57"/>
    </row>
    <row r="63" spans="1:29" s="37" customFormat="1" ht="14.45" customHeight="1" x14ac:dyDescent="0.25">
      <c r="A63" s="186" t="s">
        <v>67</v>
      </c>
      <c r="B63" s="186"/>
      <c r="C63" s="186"/>
      <c r="D63" s="186"/>
      <c r="E63" s="186" t="s">
        <v>68</v>
      </c>
      <c r="F63" s="186"/>
      <c r="G63" s="186"/>
      <c r="H63" s="186"/>
      <c r="I63" s="186"/>
      <c r="J63" s="186"/>
      <c r="K63" s="57"/>
      <c r="L63" s="209" t="s">
        <v>113</v>
      </c>
      <c r="M63" s="209"/>
      <c r="N63" s="209"/>
      <c r="O63" s="209"/>
      <c r="P63" s="209"/>
      <c r="Q63" s="209"/>
    </row>
    <row r="64" spans="1:29" s="37" customFormat="1" ht="14.45" customHeight="1" x14ac:dyDescent="0.25">
      <c r="A64" s="196" t="s">
        <v>69</v>
      </c>
      <c r="B64" s="196"/>
      <c r="C64" s="196"/>
      <c r="D64" s="196"/>
      <c r="E64" s="58" t="s">
        <v>114</v>
      </c>
      <c r="F64" s="196" t="s">
        <v>70</v>
      </c>
      <c r="G64" s="196"/>
      <c r="H64" s="196"/>
      <c r="I64" s="196"/>
      <c r="J64" s="196"/>
      <c r="K64" s="57"/>
      <c r="L64" s="197" t="s">
        <v>115</v>
      </c>
      <c r="M64" s="197"/>
      <c r="N64" s="197"/>
      <c r="O64" s="197"/>
      <c r="P64" s="197"/>
      <c r="Q64" s="197"/>
    </row>
    <row r="65" spans="1:17" s="37" customFormat="1" ht="14.45" customHeight="1" x14ac:dyDescent="0.25">
      <c r="A65" s="196" t="s">
        <v>71</v>
      </c>
      <c r="B65" s="196"/>
      <c r="C65" s="196"/>
      <c r="D65" s="201"/>
      <c r="E65" s="58" t="s">
        <v>114</v>
      </c>
      <c r="F65" s="196" t="s">
        <v>116</v>
      </c>
      <c r="G65" s="196"/>
      <c r="H65" s="196"/>
      <c r="I65" s="196"/>
      <c r="J65" s="196"/>
      <c r="K65" s="57"/>
      <c r="L65" s="197"/>
      <c r="M65" s="197"/>
      <c r="N65" s="197"/>
      <c r="O65" s="197"/>
      <c r="P65" s="197"/>
      <c r="Q65" s="197"/>
    </row>
    <row r="66" spans="1:17" s="37" customFormat="1" ht="14.45" customHeight="1" x14ac:dyDescent="0.25">
      <c r="A66" s="196" t="s">
        <v>117</v>
      </c>
      <c r="B66" s="196"/>
      <c r="C66" s="196"/>
      <c r="D66" s="201"/>
      <c r="E66" s="58" t="s">
        <v>114</v>
      </c>
      <c r="F66" s="196" t="s">
        <v>306</v>
      </c>
      <c r="G66" s="196"/>
      <c r="H66" s="196"/>
      <c r="I66" s="196"/>
      <c r="J66" s="196"/>
      <c r="K66" s="57"/>
      <c r="L66" s="59" t="s">
        <v>118</v>
      </c>
      <c r="M66" s="129"/>
      <c r="N66" s="129"/>
      <c r="O66" s="129"/>
      <c r="P66" s="129"/>
      <c r="Q66" s="129"/>
    </row>
    <row r="67" spans="1:17" s="37" customFormat="1" ht="14.45" customHeight="1" x14ac:dyDescent="0.25">
      <c r="A67" s="196" t="s">
        <v>303</v>
      </c>
      <c r="B67" s="196"/>
      <c r="C67" s="196"/>
      <c r="D67" s="201"/>
      <c r="E67" s="58" t="s">
        <v>114</v>
      </c>
      <c r="F67" s="196" t="s">
        <v>304</v>
      </c>
      <c r="G67" s="196"/>
      <c r="H67" s="196"/>
      <c r="I67" s="196"/>
      <c r="J67" s="196"/>
      <c r="K67" s="57"/>
      <c r="L67" s="59" t="s">
        <v>118</v>
      </c>
      <c r="M67" s="129"/>
      <c r="N67" s="129"/>
      <c r="O67" s="129"/>
      <c r="P67" s="129"/>
      <c r="Q67" s="129"/>
    </row>
    <row r="68" spans="1:17" s="37" customFormat="1" ht="40.5" customHeight="1" x14ac:dyDescent="0.25">
      <c r="A68" s="229" t="s">
        <v>309</v>
      </c>
      <c r="B68" s="229"/>
      <c r="C68" s="229"/>
      <c r="D68" s="198"/>
      <c r="E68" s="131" t="s">
        <v>114</v>
      </c>
      <c r="F68" s="229" t="s">
        <v>310</v>
      </c>
      <c r="G68" s="229"/>
      <c r="H68" s="229"/>
      <c r="I68" s="229"/>
      <c r="J68" s="229"/>
      <c r="K68" s="132"/>
      <c r="L68" s="59" t="s">
        <v>118</v>
      </c>
      <c r="M68" s="129"/>
      <c r="N68" s="129"/>
      <c r="O68" s="129"/>
      <c r="P68" s="129"/>
      <c r="Q68" s="129"/>
    </row>
    <row r="69" spans="1:17" s="37" customFormat="1" ht="14.45" customHeight="1" x14ac:dyDescent="0.25">
      <c r="A69" s="196" t="s">
        <v>119</v>
      </c>
      <c r="B69" s="196"/>
      <c r="C69" s="196"/>
      <c r="D69" s="196"/>
      <c r="E69" s="58" t="s">
        <v>114</v>
      </c>
      <c r="F69" s="196" t="s">
        <v>120</v>
      </c>
      <c r="G69" s="196"/>
      <c r="H69" s="196"/>
      <c r="I69" s="196"/>
      <c r="J69" s="196"/>
      <c r="K69" s="132"/>
      <c r="L69" s="197" t="s">
        <v>121</v>
      </c>
      <c r="M69" s="197"/>
      <c r="N69" s="197"/>
      <c r="O69" s="197"/>
      <c r="P69" s="197"/>
      <c r="Q69" s="197"/>
    </row>
    <row r="70" spans="1:17" s="37" customFormat="1" ht="14.45" customHeight="1" x14ac:dyDescent="0.25">
      <c r="A70" s="196" t="s">
        <v>122</v>
      </c>
      <c r="B70" s="196"/>
      <c r="C70" s="196"/>
      <c r="D70" s="196"/>
      <c r="E70" s="58" t="s">
        <v>114</v>
      </c>
      <c r="F70" s="196" t="s">
        <v>123</v>
      </c>
      <c r="G70" s="196"/>
      <c r="H70" s="196"/>
      <c r="I70" s="196"/>
      <c r="J70" s="196"/>
      <c r="K70" s="132"/>
      <c r="L70" s="197"/>
      <c r="M70" s="197"/>
      <c r="N70" s="197"/>
      <c r="O70" s="197"/>
      <c r="P70" s="197"/>
      <c r="Q70" s="197"/>
    </row>
    <row r="71" spans="1:17" s="37" customFormat="1" ht="14.45" customHeight="1" x14ac:dyDescent="0.25">
      <c r="A71" s="196" t="s">
        <v>277</v>
      </c>
      <c r="B71" s="196"/>
      <c r="C71" s="196"/>
      <c r="D71" s="196"/>
      <c r="E71" s="58" t="s">
        <v>114</v>
      </c>
      <c r="F71" s="196" t="s">
        <v>278</v>
      </c>
      <c r="G71" s="196"/>
      <c r="H71" s="196"/>
      <c r="I71" s="196"/>
      <c r="J71" s="196"/>
      <c r="K71" s="132"/>
      <c r="L71" s="197"/>
      <c r="M71" s="197"/>
      <c r="N71" s="197"/>
      <c r="O71" s="197"/>
      <c r="P71" s="197"/>
      <c r="Q71" s="197"/>
    </row>
    <row r="72" spans="1:17" s="37" customFormat="1" ht="14.45" customHeight="1" x14ac:dyDescent="0.25">
      <c r="A72" s="196" t="s">
        <v>124</v>
      </c>
      <c r="B72" s="196"/>
      <c r="C72" s="196"/>
      <c r="D72" s="196"/>
      <c r="E72" s="58" t="s">
        <v>114</v>
      </c>
      <c r="F72" s="196" t="s">
        <v>125</v>
      </c>
      <c r="G72" s="196"/>
      <c r="H72" s="196"/>
      <c r="I72" s="196"/>
      <c r="J72" s="196"/>
      <c r="K72" s="132"/>
      <c r="L72" s="197"/>
      <c r="M72" s="197"/>
      <c r="N72" s="197"/>
      <c r="O72" s="197"/>
      <c r="P72" s="197"/>
      <c r="Q72" s="197"/>
    </row>
    <row r="73" spans="1:17" s="37" customFormat="1" ht="14.45" customHeight="1" x14ac:dyDescent="0.25">
      <c r="A73" s="196" t="s">
        <v>126</v>
      </c>
      <c r="B73" s="196"/>
      <c r="C73" s="196"/>
      <c r="D73" s="201"/>
      <c r="E73" s="58" t="s">
        <v>127</v>
      </c>
      <c r="F73" s="128" t="s">
        <v>128</v>
      </c>
      <c r="G73" s="185" t="s">
        <v>129</v>
      </c>
      <c r="H73" s="185"/>
      <c r="I73" s="185"/>
      <c r="J73" s="185"/>
      <c r="K73" s="132"/>
      <c r="L73" s="197" t="s">
        <v>130</v>
      </c>
      <c r="M73" s="197"/>
      <c r="N73" s="197"/>
      <c r="O73" s="197"/>
      <c r="P73" s="197"/>
      <c r="Q73" s="197"/>
    </row>
    <row r="74" spans="1:17" s="37" customFormat="1" ht="14.45" customHeight="1" x14ac:dyDescent="0.25">
      <c r="A74" s="196" t="s">
        <v>126</v>
      </c>
      <c r="B74" s="196"/>
      <c r="C74" s="196"/>
      <c r="D74" s="196"/>
      <c r="E74" s="58" t="s">
        <v>127</v>
      </c>
      <c r="F74" s="128" t="s">
        <v>131</v>
      </c>
      <c r="G74" s="185" t="s">
        <v>132</v>
      </c>
      <c r="H74" s="185"/>
      <c r="I74" s="185"/>
      <c r="J74" s="185"/>
      <c r="K74" s="132"/>
      <c r="L74" s="197" t="s">
        <v>130</v>
      </c>
      <c r="M74" s="197"/>
      <c r="N74" s="197"/>
      <c r="O74" s="197"/>
      <c r="P74" s="197"/>
      <c r="Q74" s="197"/>
    </row>
    <row r="75" spans="1:17" s="37" customFormat="1" ht="37.5" customHeight="1" x14ac:dyDescent="0.25">
      <c r="A75" s="198" t="s">
        <v>311</v>
      </c>
      <c r="B75" s="199"/>
      <c r="C75" s="199"/>
      <c r="D75" s="200"/>
      <c r="E75" s="198" t="s">
        <v>312</v>
      </c>
      <c r="F75" s="199"/>
      <c r="G75" s="199"/>
      <c r="H75" s="199"/>
      <c r="I75" s="199"/>
      <c r="J75" s="200"/>
      <c r="K75" s="132"/>
      <c r="L75" s="197"/>
      <c r="M75" s="197"/>
      <c r="N75" s="197"/>
      <c r="O75" s="197"/>
      <c r="P75" s="197"/>
      <c r="Q75" s="197"/>
    </row>
    <row r="76" spans="1:17" s="37" customFormat="1" ht="14.45" customHeight="1" x14ac:dyDescent="0.25">
      <c r="A76" s="180" t="s">
        <v>133</v>
      </c>
      <c r="B76" s="180"/>
      <c r="C76" s="180"/>
      <c r="D76" s="180"/>
      <c r="E76" s="180"/>
      <c r="F76" s="180"/>
      <c r="G76" s="180"/>
      <c r="H76" s="180"/>
      <c r="I76" s="180"/>
      <c r="J76" s="180"/>
      <c r="K76" s="57"/>
      <c r="L76" s="129"/>
      <c r="M76" s="129"/>
    </row>
    <row r="77" spans="1:17" s="37" customFormat="1" ht="14.45" customHeight="1" x14ac:dyDescent="0.2">
      <c r="A77" s="60" t="s">
        <v>134</v>
      </c>
      <c r="B77" s="60" t="s">
        <v>135</v>
      </c>
      <c r="C77" s="60" t="s">
        <v>136</v>
      </c>
      <c r="D77" s="193" t="s">
        <v>137</v>
      </c>
      <c r="E77" s="194"/>
      <c r="F77" s="195"/>
      <c r="G77" s="61" t="s">
        <v>138</v>
      </c>
      <c r="H77" s="60" t="s">
        <v>139</v>
      </c>
      <c r="I77" s="61" t="s">
        <v>140</v>
      </c>
      <c r="J77" s="61" t="s">
        <v>141</v>
      </c>
      <c r="K77" s="57"/>
      <c r="L77" s="129"/>
      <c r="M77" s="129"/>
    </row>
    <row r="78" spans="1:17" s="37" customFormat="1" ht="14.45" customHeight="1" x14ac:dyDescent="0.2">
      <c r="A78" s="62" t="s">
        <v>142</v>
      </c>
      <c r="B78" s="62" t="s">
        <v>49</v>
      </c>
      <c r="C78" s="62" t="s">
        <v>143</v>
      </c>
      <c r="D78" s="187" t="s">
        <v>144</v>
      </c>
      <c r="E78" s="188"/>
      <c r="F78" s="189"/>
      <c r="G78" s="63">
        <v>50</v>
      </c>
      <c r="H78" s="62" t="s">
        <v>145</v>
      </c>
      <c r="I78" s="63">
        <v>150</v>
      </c>
      <c r="J78" s="63" t="s">
        <v>110</v>
      </c>
      <c r="K78" s="57"/>
      <c r="L78" s="129"/>
      <c r="M78" s="129"/>
    </row>
    <row r="79" spans="1:17" s="37" customFormat="1" ht="14.45" customHeight="1" x14ac:dyDescent="0.2">
      <c r="A79" s="62" t="s">
        <v>142</v>
      </c>
      <c r="B79" s="62" t="s">
        <v>146</v>
      </c>
      <c r="C79" s="62" t="s">
        <v>147</v>
      </c>
      <c r="D79" s="187" t="s">
        <v>148</v>
      </c>
      <c r="E79" s="188"/>
      <c r="F79" s="189"/>
      <c r="G79" s="63">
        <v>3</v>
      </c>
      <c r="H79" s="62" t="s">
        <v>149</v>
      </c>
      <c r="I79" s="63">
        <v>3</v>
      </c>
      <c r="J79" s="63" t="s">
        <v>110</v>
      </c>
      <c r="K79" s="57"/>
      <c r="L79" s="129"/>
      <c r="M79" s="129"/>
    </row>
    <row r="80" spans="1:17" s="37" customFormat="1" ht="14.45" customHeight="1" x14ac:dyDescent="0.2">
      <c r="A80" s="62" t="s">
        <v>150</v>
      </c>
      <c r="B80" s="62" t="s">
        <v>146</v>
      </c>
      <c r="C80" s="62" t="s">
        <v>147</v>
      </c>
      <c r="D80" s="187" t="s">
        <v>151</v>
      </c>
      <c r="E80" s="188"/>
      <c r="F80" s="189"/>
      <c r="G80" s="63">
        <v>3</v>
      </c>
      <c r="H80" s="62" t="s">
        <v>152</v>
      </c>
      <c r="I80" s="63">
        <v>3</v>
      </c>
      <c r="J80" s="63" t="s">
        <v>110</v>
      </c>
      <c r="K80" s="57"/>
      <c r="L80" s="129"/>
      <c r="M80" s="129"/>
    </row>
    <row r="81" spans="1:13" s="37" customFormat="1" ht="14.45" customHeight="1" x14ac:dyDescent="0.2">
      <c r="A81" s="62" t="s">
        <v>173</v>
      </c>
      <c r="B81" s="62" t="s">
        <v>49</v>
      </c>
      <c r="C81" s="62" t="s">
        <v>143</v>
      </c>
      <c r="D81" s="187" t="s">
        <v>313</v>
      </c>
      <c r="E81" s="188"/>
      <c r="F81" s="189"/>
      <c r="G81" s="66">
        <v>75</v>
      </c>
      <c r="H81" s="62" t="s">
        <v>145</v>
      </c>
      <c r="I81" s="66">
        <f>75*3</f>
        <v>225</v>
      </c>
      <c r="J81" s="66" t="s">
        <v>314</v>
      </c>
      <c r="K81" s="132"/>
      <c r="L81" s="129"/>
      <c r="M81" s="129"/>
    </row>
    <row r="82" spans="1:13" s="37" customFormat="1" ht="14.45" customHeight="1" x14ac:dyDescent="0.2">
      <c r="A82" s="62" t="s">
        <v>142</v>
      </c>
      <c r="B82" s="62" t="s">
        <v>49</v>
      </c>
      <c r="C82" s="62" t="s">
        <v>143</v>
      </c>
      <c r="D82" s="187" t="s">
        <v>279</v>
      </c>
      <c r="E82" s="188"/>
      <c r="F82" s="189"/>
      <c r="G82" s="63">
        <v>150</v>
      </c>
      <c r="H82" s="62" t="s">
        <v>280</v>
      </c>
      <c r="I82" s="63" t="s">
        <v>153</v>
      </c>
      <c r="J82" s="63" t="s">
        <v>110</v>
      </c>
      <c r="K82" s="57"/>
      <c r="L82" s="129"/>
      <c r="M82" s="129"/>
    </row>
    <row r="83" spans="1:13" s="37" customFormat="1" ht="14.45" customHeight="1" x14ac:dyDescent="0.2">
      <c r="A83" s="62" t="s">
        <v>154</v>
      </c>
      <c r="B83" s="62" t="s">
        <v>49</v>
      </c>
      <c r="C83" s="62" t="s">
        <v>143</v>
      </c>
      <c r="D83" s="187" t="s">
        <v>155</v>
      </c>
      <c r="E83" s="188"/>
      <c r="F83" s="189"/>
      <c r="G83" s="63">
        <v>250</v>
      </c>
      <c r="H83" s="62" t="s">
        <v>49</v>
      </c>
      <c r="I83" s="63" t="s">
        <v>153</v>
      </c>
      <c r="J83" s="63" t="s">
        <v>110</v>
      </c>
      <c r="K83" s="57"/>
      <c r="L83" s="129"/>
      <c r="M83" s="129"/>
    </row>
    <row r="84" spans="1:13" s="37" customFormat="1" ht="14.45" customHeight="1" x14ac:dyDescent="0.2">
      <c r="A84" s="65" t="s">
        <v>156</v>
      </c>
      <c r="B84" s="65" t="s">
        <v>49</v>
      </c>
      <c r="C84" s="65" t="s">
        <v>143</v>
      </c>
      <c r="D84" s="187" t="s">
        <v>157</v>
      </c>
      <c r="E84" s="188"/>
      <c r="F84" s="189"/>
      <c r="G84" s="63">
        <v>250</v>
      </c>
      <c r="H84" s="62" t="s">
        <v>49</v>
      </c>
      <c r="I84" s="63" t="s">
        <v>153</v>
      </c>
      <c r="J84" s="63" t="s">
        <v>110</v>
      </c>
      <c r="K84" s="57"/>
      <c r="L84" s="129"/>
      <c r="M84" s="129"/>
    </row>
    <row r="85" spans="1:13" s="37" customFormat="1" ht="14.45" customHeight="1" x14ac:dyDescent="0.2">
      <c r="A85" s="62" t="s">
        <v>142</v>
      </c>
      <c r="B85" s="62" t="s">
        <v>49</v>
      </c>
      <c r="C85" s="62" t="s">
        <v>143</v>
      </c>
      <c r="D85" s="187" t="s">
        <v>281</v>
      </c>
      <c r="E85" s="188"/>
      <c r="F85" s="189"/>
      <c r="G85" s="63">
        <v>200</v>
      </c>
      <c r="H85" s="62" t="s">
        <v>280</v>
      </c>
      <c r="I85" s="63" t="s">
        <v>153</v>
      </c>
      <c r="J85" s="63" t="s">
        <v>110</v>
      </c>
      <c r="K85" s="57"/>
      <c r="L85" s="129"/>
      <c r="M85" s="129"/>
    </row>
    <row r="86" spans="1:13" s="37" customFormat="1" ht="14.45" customHeight="1" x14ac:dyDescent="0.2">
      <c r="A86" s="62" t="s">
        <v>142</v>
      </c>
      <c r="B86" s="62" t="s">
        <v>49</v>
      </c>
      <c r="C86" s="62" t="s">
        <v>143</v>
      </c>
      <c r="D86" s="187" t="s">
        <v>158</v>
      </c>
      <c r="E86" s="188"/>
      <c r="F86" s="189"/>
      <c r="G86" s="66">
        <v>150</v>
      </c>
      <c r="H86" s="62" t="s">
        <v>49</v>
      </c>
      <c r="I86" s="66" t="s">
        <v>153</v>
      </c>
      <c r="J86" s="63" t="s">
        <v>110</v>
      </c>
      <c r="K86" s="57"/>
      <c r="L86" s="129"/>
      <c r="M86" s="129"/>
    </row>
    <row r="87" spans="1:13" s="37" customFormat="1" ht="14.45" customHeight="1" x14ac:dyDescent="0.2">
      <c r="A87" s="62" t="s">
        <v>150</v>
      </c>
      <c r="B87" s="67" t="s">
        <v>49</v>
      </c>
      <c r="C87" s="62" t="s">
        <v>143</v>
      </c>
      <c r="D87" s="187" t="s">
        <v>159</v>
      </c>
      <c r="E87" s="188"/>
      <c r="F87" s="189"/>
      <c r="G87" s="68">
        <v>180</v>
      </c>
      <c r="H87" s="67" t="s">
        <v>49</v>
      </c>
      <c r="I87" s="68" t="s">
        <v>153</v>
      </c>
      <c r="J87" s="63" t="s">
        <v>110</v>
      </c>
      <c r="K87" s="57"/>
      <c r="L87" s="129"/>
      <c r="M87" s="129"/>
    </row>
    <row r="88" spans="1:13" s="37" customFormat="1" ht="14.45" customHeight="1" x14ac:dyDescent="0.2">
      <c r="A88" s="62" t="s">
        <v>160</v>
      </c>
      <c r="B88" s="67" t="s">
        <v>49</v>
      </c>
      <c r="C88" s="62" t="s">
        <v>143</v>
      </c>
      <c r="D88" s="187" t="s">
        <v>161</v>
      </c>
      <c r="E88" s="188"/>
      <c r="F88" s="189"/>
      <c r="G88" s="69">
        <v>47.9</v>
      </c>
      <c r="H88" s="67" t="s">
        <v>24</v>
      </c>
      <c r="I88" s="69">
        <v>47.9</v>
      </c>
      <c r="J88" s="63" t="s">
        <v>110</v>
      </c>
      <c r="K88" s="57"/>
      <c r="L88" s="129"/>
      <c r="M88" s="129"/>
    </row>
    <row r="89" spans="1:13" s="37" customFormat="1" ht="14.45" customHeight="1" x14ac:dyDescent="0.2">
      <c r="A89" s="62" t="s">
        <v>160</v>
      </c>
      <c r="B89" s="67" t="s">
        <v>49</v>
      </c>
      <c r="C89" s="62" t="s">
        <v>143</v>
      </c>
      <c r="D89" s="187" t="s">
        <v>161</v>
      </c>
      <c r="E89" s="188"/>
      <c r="F89" s="189"/>
      <c r="G89" s="69">
        <v>65.400000000000006</v>
      </c>
      <c r="H89" s="67" t="s">
        <v>162</v>
      </c>
      <c r="I89" s="69">
        <v>65.400000000000006</v>
      </c>
      <c r="J89" s="63" t="s">
        <v>110</v>
      </c>
      <c r="K89" s="57"/>
      <c r="L89" s="129"/>
      <c r="M89" s="129"/>
    </row>
    <row r="90" spans="1:13" s="37" customFormat="1" ht="14.1" customHeight="1" x14ac:dyDescent="0.2">
      <c r="A90" s="62" t="s">
        <v>163</v>
      </c>
      <c r="B90" s="67" t="s">
        <v>49</v>
      </c>
      <c r="C90" s="62" t="s">
        <v>143</v>
      </c>
      <c r="D90" s="187" t="s">
        <v>164</v>
      </c>
      <c r="E90" s="188"/>
      <c r="F90" s="189"/>
      <c r="G90" s="69">
        <v>48</v>
      </c>
      <c r="H90" s="67" t="s">
        <v>49</v>
      </c>
      <c r="I90" s="69">
        <v>48</v>
      </c>
      <c r="J90" s="63" t="s">
        <v>110</v>
      </c>
      <c r="K90" s="57"/>
      <c r="L90" s="129"/>
      <c r="M90" s="129"/>
    </row>
    <row r="91" spans="1:13" s="37" customFormat="1" ht="14.45" customHeight="1" x14ac:dyDescent="0.2">
      <c r="A91" s="62" t="s">
        <v>163</v>
      </c>
      <c r="B91" s="67" t="s">
        <v>49</v>
      </c>
      <c r="C91" s="62" t="s">
        <v>143</v>
      </c>
      <c r="D91" s="187" t="s">
        <v>165</v>
      </c>
      <c r="E91" s="188"/>
      <c r="F91" s="189"/>
      <c r="G91" s="69">
        <v>18</v>
      </c>
      <c r="H91" s="67" t="s">
        <v>49</v>
      </c>
      <c r="I91" s="69">
        <v>18</v>
      </c>
      <c r="J91" s="63" t="s">
        <v>110</v>
      </c>
      <c r="K91" s="57"/>
      <c r="L91" s="129"/>
      <c r="M91" s="129"/>
    </row>
    <row r="92" spans="1:13" s="37" customFormat="1" ht="14.45" customHeight="1" x14ac:dyDescent="0.2">
      <c r="A92" s="62" t="s">
        <v>163</v>
      </c>
      <c r="B92" s="67" t="s">
        <v>49</v>
      </c>
      <c r="C92" s="62" t="s">
        <v>143</v>
      </c>
      <c r="D92" s="187" t="s">
        <v>166</v>
      </c>
      <c r="E92" s="188"/>
      <c r="F92" s="189"/>
      <c r="G92" s="69">
        <v>42</v>
      </c>
      <c r="H92" s="67" t="s">
        <v>49</v>
      </c>
      <c r="I92" s="69">
        <v>42</v>
      </c>
      <c r="J92" s="63" t="s">
        <v>110</v>
      </c>
      <c r="K92" s="57"/>
      <c r="L92" s="129"/>
      <c r="M92" s="129"/>
    </row>
    <row r="93" spans="1:13" s="37" customFormat="1" ht="14.45" customHeight="1" x14ac:dyDescent="0.2">
      <c r="A93" s="62" t="s">
        <v>167</v>
      </c>
      <c r="B93" s="62" t="s">
        <v>49</v>
      </c>
      <c r="C93" s="62" t="s">
        <v>143</v>
      </c>
      <c r="D93" s="187" t="s">
        <v>168</v>
      </c>
      <c r="E93" s="188"/>
      <c r="F93" s="189"/>
      <c r="G93" s="66">
        <v>54</v>
      </c>
      <c r="H93" s="62" t="s">
        <v>49</v>
      </c>
      <c r="I93" s="66">
        <v>54</v>
      </c>
      <c r="J93" s="63" t="s">
        <v>110</v>
      </c>
      <c r="K93" s="57"/>
      <c r="L93" s="129"/>
      <c r="M93" s="129"/>
    </row>
    <row r="94" spans="1:13" s="37" customFormat="1" ht="14.45" customHeight="1" x14ac:dyDescent="0.2">
      <c r="A94" s="67" t="s">
        <v>169</v>
      </c>
      <c r="B94" s="67" t="s">
        <v>49</v>
      </c>
      <c r="C94" s="67" t="s">
        <v>147</v>
      </c>
      <c r="D94" s="187" t="s">
        <v>170</v>
      </c>
      <c r="E94" s="188"/>
      <c r="F94" s="189"/>
      <c r="G94" s="70">
        <v>35</v>
      </c>
      <c r="H94" s="70" t="s">
        <v>280</v>
      </c>
      <c r="I94" s="70">
        <v>35</v>
      </c>
      <c r="J94" s="63" t="s">
        <v>110</v>
      </c>
      <c r="K94" s="57"/>
      <c r="L94" s="129"/>
      <c r="M94" s="129"/>
    </row>
    <row r="95" spans="1:13" s="37" customFormat="1" ht="14.45" customHeight="1" x14ac:dyDescent="0.2">
      <c r="A95" s="62" t="s">
        <v>142</v>
      </c>
      <c r="B95" s="62" t="s">
        <v>49</v>
      </c>
      <c r="C95" s="62" t="s">
        <v>143</v>
      </c>
      <c r="D95" s="187" t="s">
        <v>171</v>
      </c>
      <c r="E95" s="188"/>
      <c r="F95" s="189"/>
      <c r="G95" s="63">
        <v>85</v>
      </c>
      <c r="H95" s="62" t="s">
        <v>172</v>
      </c>
      <c r="I95" s="63" t="s">
        <v>153</v>
      </c>
      <c r="J95" s="63" t="s">
        <v>110</v>
      </c>
      <c r="K95" s="57"/>
      <c r="L95" s="129"/>
      <c r="M95" s="129"/>
    </row>
    <row r="96" spans="1:13" s="37" customFormat="1" ht="14.45" customHeight="1" x14ac:dyDescent="0.2">
      <c r="A96" s="62" t="s">
        <v>173</v>
      </c>
      <c r="B96" s="62" t="s">
        <v>146</v>
      </c>
      <c r="C96" s="62" t="s">
        <v>147</v>
      </c>
      <c r="D96" s="187" t="s">
        <v>174</v>
      </c>
      <c r="E96" s="188"/>
      <c r="F96" s="189"/>
      <c r="G96" s="63">
        <v>4</v>
      </c>
      <c r="H96" s="62" t="s">
        <v>149</v>
      </c>
      <c r="I96" s="63">
        <v>4</v>
      </c>
      <c r="J96" s="63" t="s">
        <v>110</v>
      </c>
      <c r="K96" s="57"/>
      <c r="L96" s="129"/>
      <c r="M96" s="129"/>
    </row>
    <row r="97" spans="1:16" s="37" customFormat="1" ht="14.45" customHeight="1" x14ac:dyDescent="0.2">
      <c r="A97" s="62" t="s">
        <v>173</v>
      </c>
      <c r="B97" s="62" t="s">
        <v>49</v>
      </c>
      <c r="C97" s="62" t="s">
        <v>143</v>
      </c>
      <c r="D97" s="187" t="s">
        <v>175</v>
      </c>
      <c r="E97" s="188"/>
      <c r="F97" s="189"/>
      <c r="G97" s="71" t="s">
        <v>210</v>
      </c>
      <c r="H97" s="62" t="s">
        <v>24</v>
      </c>
      <c r="I97" s="66" t="s">
        <v>153</v>
      </c>
      <c r="J97" s="63" t="s">
        <v>282</v>
      </c>
      <c r="K97" s="57"/>
      <c r="L97" s="129"/>
      <c r="M97" s="129"/>
    </row>
    <row r="98" spans="1:16" s="37" customFormat="1" ht="14.45" customHeight="1" x14ac:dyDescent="0.2">
      <c r="A98" s="62" t="s">
        <v>173</v>
      </c>
      <c r="B98" s="62" t="s">
        <v>49</v>
      </c>
      <c r="C98" s="62" t="s">
        <v>143</v>
      </c>
      <c r="D98" s="187" t="s">
        <v>176</v>
      </c>
      <c r="E98" s="188"/>
      <c r="F98" s="189"/>
      <c r="G98" s="66" t="s">
        <v>210</v>
      </c>
      <c r="H98" s="62" t="s">
        <v>162</v>
      </c>
      <c r="I98" s="66" t="s">
        <v>153</v>
      </c>
      <c r="J98" s="63" t="s">
        <v>282</v>
      </c>
      <c r="K98" s="57"/>
      <c r="L98" s="129"/>
      <c r="M98" s="129"/>
    </row>
    <row r="99" spans="1:16" s="37" customFormat="1" ht="14.45" customHeight="1" x14ac:dyDescent="0.2">
      <c r="A99" s="62" t="s">
        <v>173</v>
      </c>
      <c r="B99" s="62" t="s">
        <v>146</v>
      </c>
      <c r="C99" s="62" t="s">
        <v>147</v>
      </c>
      <c r="D99" s="187" t="s">
        <v>177</v>
      </c>
      <c r="E99" s="188"/>
      <c r="F99" s="189"/>
      <c r="G99" s="63">
        <v>2</v>
      </c>
      <c r="H99" s="62" t="s">
        <v>149</v>
      </c>
      <c r="I99" s="63">
        <v>2</v>
      </c>
      <c r="J99" s="63" t="s">
        <v>110</v>
      </c>
      <c r="K99" s="57"/>
      <c r="L99" s="129"/>
      <c r="M99" s="129"/>
    </row>
    <row r="100" spans="1:16" s="37" customFormat="1" ht="14.45" customHeight="1" x14ac:dyDescent="0.2">
      <c r="A100" s="62" t="s">
        <v>173</v>
      </c>
      <c r="B100" s="62" t="s">
        <v>146</v>
      </c>
      <c r="C100" s="62" t="s">
        <v>283</v>
      </c>
      <c r="D100" s="187" t="s">
        <v>284</v>
      </c>
      <c r="E100" s="188"/>
      <c r="F100" s="189"/>
      <c r="G100" s="63">
        <v>10</v>
      </c>
      <c r="H100" s="62" t="s">
        <v>285</v>
      </c>
      <c r="I100" s="63" t="s">
        <v>153</v>
      </c>
      <c r="J100" s="63" t="s">
        <v>110</v>
      </c>
      <c r="K100" s="57"/>
      <c r="L100" s="129"/>
      <c r="M100" s="129"/>
    </row>
    <row r="101" spans="1:16" s="37" customFormat="1" ht="14.45" customHeight="1" x14ac:dyDescent="0.2">
      <c r="A101" s="62" t="s">
        <v>142</v>
      </c>
      <c r="B101" s="62" t="s">
        <v>49</v>
      </c>
      <c r="C101" s="62" t="s">
        <v>143</v>
      </c>
      <c r="D101" s="187" t="s">
        <v>178</v>
      </c>
      <c r="E101" s="188"/>
      <c r="F101" s="189"/>
      <c r="G101" s="63">
        <v>50</v>
      </c>
      <c r="H101" s="62" t="s">
        <v>145</v>
      </c>
      <c r="I101" s="63" t="s">
        <v>153</v>
      </c>
      <c r="J101" s="63" t="s">
        <v>110</v>
      </c>
      <c r="K101" s="57"/>
      <c r="L101" s="129"/>
      <c r="M101" s="129"/>
    </row>
    <row r="102" spans="1:16" s="37" customFormat="1" ht="14.45" customHeight="1" x14ac:dyDescent="0.2">
      <c r="A102" s="62" t="s">
        <v>173</v>
      </c>
      <c r="B102" s="62" t="s">
        <v>49</v>
      </c>
      <c r="C102" s="62" t="s">
        <v>143</v>
      </c>
      <c r="D102" s="187" t="s">
        <v>179</v>
      </c>
      <c r="E102" s="188"/>
      <c r="F102" s="189"/>
      <c r="G102" s="63">
        <v>175</v>
      </c>
      <c r="H102" s="62" t="s">
        <v>49</v>
      </c>
      <c r="I102" s="63" t="s">
        <v>153</v>
      </c>
      <c r="J102" s="63" t="s">
        <v>110</v>
      </c>
      <c r="K102" s="57"/>
      <c r="L102" s="129"/>
      <c r="M102" s="129"/>
    </row>
    <row r="103" spans="1:16" s="37" customFormat="1" ht="14.45" customHeight="1" x14ac:dyDescent="0.2">
      <c r="A103" s="62" t="s">
        <v>142</v>
      </c>
      <c r="B103" s="62" t="s">
        <v>49</v>
      </c>
      <c r="C103" s="62" t="s">
        <v>147</v>
      </c>
      <c r="D103" s="187" t="s">
        <v>180</v>
      </c>
      <c r="E103" s="188"/>
      <c r="F103" s="189"/>
      <c r="G103" s="63">
        <v>40</v>
      </c>
      <c r="H103" s="62" t="s">
        <v>181</v>
      </c>
      <c r="I103" s="63" t="s">
        <v>153</v>
      </c>
      <c r="J103" s="63" t="s">
        <v>110</v>
      </c>
      <c r="K103" s="57"/>
      <c r="L103" s="129"/>
      <c r="M103" s="129"/>
    </row>
    <row r="104" spans="1:16" s="37" customFormat="1" ht="14.45" customHeight="1" x14ac:dyDescent="0.2">
      <c r="A104" s="62" t="s">
        <v>173</v>
      </c>
      <c r="B104" s="62" t="s">
        <v>146</v>
      </c>
      <c r="C104" s="62" t="s">
        <v>147</v>
      </c>
      <c r="D104" s="187" t="s">
        <v>182</v>
      </c>
      <c r="E104" s="188"/>
      <c r="F104" s="189"/>
      <c r="G104" s="63">
        <v>7.5</v>
      </c>
      <c r="H104" s="62" t="s">
        <v>152</v>
      </c>
      <c r="I104" s="63">
        <v>75</v>
      </c>
      <c r="J104" s="63" t="s">
        <v>110</v>
      </c>
      <c r="K104" s="57"/>
      <c r="L104" s="129"/>
      <c r="M104" s="129"/>
    </row>
    <row r="105" spans="1:16" s="37" customFormat="1" ht="14.45" customHeight="1" x14ac:dyDescent="0.2">
      <c r="A105" s="62" t="s">
        <v>142</v>
      </c>
      <c r="B105" s="62" t="s">
        <v>146</v>
      </c>
      <c r="C105" s="62" t="s">
        <v>147</v>
      </c>
      <c r="D105" s="187" t="s">
        <v>183</v>
      </c>
      <c r="E105" s="188"/>
      <c r="F105" s="189"/>
      <c r="G105" s="63">
        <v>20</v>
      </c>
      <c r="H105" s="62" t="s">
        <v>184</v>
      </c>
      <c r="I105" s="63" t="s">
        <v>153</v>
      </c>
      <c r="J105" s="63" t="s">
        <v>110</v>
      </c>
      <c r="K105" s="57"/>
      <c r="L105" s="129"/>
      <c r="M105" s="129"/>
    </row>
    <row r="106" spans="1:16" s="37" customFormat="1" ht="14.45" customHeight="1" x14ac:dyDescent="0.2">
      <c r="A106" s="62" t="s">
        <v>142</v>
      </c>
      <c r="B106" s="62" t="s">
        <v>146</v>
      </c>
      <c r="C106" s="62" t="s">
        <v>147</v>
      </c>
      <c r="D106" s="187" t="s">
        <v>185</v>
      </c>
      <c r="E106" s="188"/>
      <c r="F106" s="189"/>
      <c r="G106" s="63">
        <v>25</v>
      </c>
      <c r="H106" s="62" t="s">
        <v>184</v>
      </c>
      <c r="I106" s="63" t="s">
        <v>153</v>
      </c>
      <c r="J106" s="63" t="s">
        <v>110</v>
      </c>
      <c r="K106" s="57"/>
      <c r="L106" s="129"/>
      <c r="M106" s="129"/>
    </row>
    <row r="107" spans="1:16" s="37" customFormat="1" ht="14.45" customHeight="1" x14ac:dyDescent="0.2">
      <c r="A107" s="62" t="s">
        <v>142</v>
      </c>
      <c r="B107" s="62" t="s">
        <v>142</v>
      </c>
      <c r="C107" s="62" t="s">
        <v>147</v>
      </c>
      <c r="D107" s="187" t="s">
        <v>186</v>
      </c>
      <c r="E107" s="188"/>
      <c r="F107" s="189"/>
      <c r="G107" s="68">
        <v>75</v>
      </c>
      <c r="H107" s="62" t="s">
        <v>181</v>
      </c>
      <c r="I107" s="63" t="s">
        <v>153</v>
      </c>
      <c r="J107" s="63" t="s">
        <v>110</v>
      </c>
      <c r="K107" s="57"/>
      <c r="L107" s="129"/>
      <c r="M107" s="129"/>
    </row>
    <row r="108" spans="1:16" s="37" customFormat="1" ht="14.45" customHeight="1" x14ac:dyDescent="0.2">
      <c r="A108" s="62" t="s">
        <v>142</v>
      </c>
      <c r="B108" s="62" t="s">
        <v>142</v>
      </c>
      <c r="C108" s="62" t="s">
        <v>147</v>
      </c>
      <c r="D108" s="187" t="s">
        <v>187</v>
      </c>
      <c r="E108" s="188"/>
      <c r="F108" s="189"/>
      <c r="G108" s="63">
        <v>35</v>
      </c>
      <c r="H108" s="62" t="s">
        <v>181</v>
      </c>
      <c r="I108" s="63" t="s">
        <v>153</v>
      </c>
      <c r="J108" s="63" t="s">
        <v>110</v>
      </c>
      <c r="K108" s="57"/>
      <c r="L108" s="129"/>
      <c r="M108" s="129"/>
    </row>
    <row r="109" spans="1:16" s="37" customFormat="1" ht="14.45" customHeight="1" x14ac:dyDescent="0.2">
      <c r="A109" s="62" t="s">
        <v>142</v>
      </c>
      <c r="B109" s="62" t="s">
        <v>146</v>
      </c>
      <c r="C109" s="62" t="s">
        <v>143</v>
      </c>
      <c r="D109" s="187" t="s">
        <v>188</v>
      </c>
      <c r="E109" s="188"/>
      <c r="F109" s="189"/>
      <c r="G109" s="63">
        <v>100</v>
      </c>
      <c r="H109" s="62" t="s">
        <v>181</v>
      </c>
      <c r="I109" s="63" t="s">
        <v>153</v>
      </c>
      <c r="J109" s="63" t="s">
        <v>110</v>
      </c>
      <c r="K109" s="57"/>
      <c r="L109" s="129"/>
      <c r="M109" s="129"/>
    </row>
    <row r="110" spans="1:16" s="37" customFormat="1" ht="14.45" customHeight="1" x14ac:dyDescent="0.2">
      <c r="A110" s="62" t="s">
        <v>142</v>
      </c>
      <c r="B110" s="62" t="s">
        <v>146</v>
      </c>
      <c r="C110" s="62" t="s">
        <v>143</v>
      </c>
      <c r="D110" s="187" t="s">
        <v>189</v>
      </c>
      <c r="E110" s="188"/>
      <c r="F110" s="189"/>
      <c r="G110" s="63">
        <v>100</v>
      </c>
      <c r="H110" s="62" t="s">
        <v>190</v>
      </c>
      <c r="I110" s="63" t="s">
        <v>153</v>
      </c>
      <c r="J110" s="63" t="s">
        <v>110</v>
      </c>
      <c r="K110" s="57"/>
      <c r="O110" s="38"/>
      <c r="P110" s="38"/>
    </row>
    <row r="111" spans="1:16" s="37" customFormat="1" ht="14.45" customHeight="1" x14ac:dyDescent="0.2">
      <c r="A111" s="62" t="s">
        <v>142</v>
      </c>
      <c r="B111" s="62" t="s">
        <v>146</v>
      </c>
      <c r="C111" s="62" t="s">
        <v>143</v>
      </c>
      <c r="D111" s="187" t="s">
        <v>191</v>
      </c>
      <c r="E111" s="188"/>
      <c r="F111" s="189"/>
      <c r="G111" s="63">
        <v>100</v>
      </c>
      <c r="H111" s="62" t="s">
        <v>181</v>
      </c>
      <c r="I111" s="63" t="s">
        <v>153</v>
      </c>
      <c r="J111" s="63" t="s">
        <v>110</v>
      </c>
      <c r="K111" s="57"/>
      <c r="O111" s="39"/>
      <c r="P111" s="39"/>
    </row>
    <row r="112" spans="1:16" s="37" customFormat="1" ht="14.45" customHeight="1" x14ac:dyDescent="0.2">
      <c r="A112" s="62" t="s">
        <v>173</v>
      </c>
      <c r="B112" s="62" t="s">
        <v>146</v>
      </c>
      <c r="C112" s="62" t="s">
        <v>143</v>
      </c>
      <c r="D112" s="187" t="s">
        <v>189</v>
      </c>
      <c r="E112" s="188"/>
      <c r="F112" s="189"/>
      <c r="G112" s="63">
        <v>50</v>
      </c>
      <c r="H112" s="62" t="s">
        <v>192</v>
      </c>
      <c r="I112" s="63" t="s">
        <v>153</v>
      </c>
      <c r="J112" s="63" t="s">
        <v>110</v>
      </c>
      <c r="K112" s="57"/>
      <c r="O112" s="39"/>
      <c r="P112" s="39"/>
    </row>
    <row r="113" spans="1:29" s="37" customFormat="1" ht="14.45" customHeight="1" x14ac:dyDescent="0.2">
      <c r="A113" s="62" t="s">
        <v>173</v>
      </c>
      <c r="B113" s="62" t="s">
        <v>146</v>
      </c>
      <c r="C113" s="62" t="s">
        <v>143</v>
      </c>
      <c r="D113" s="187" t="s">
        <v>191</v>
      </c>
      <c r="E113" s="188"/>
      <c r="F113" s="189"/>
      <c r="G113" s="63">
        <v>50</v>
      </c>
      <c r="H113" s="62" t="s">
        <v>181</v>
      </c>
      <c r="I113" s="63" t="s">
        <v>153</v>
      </c>
      <c r="J113" s="63" t="s">
        <v>110</v>
      </c>
      <c r="K113" s="57"/>
      <c r="O113" s="38"/>
      <c r="P113" s="38"/>
    </row>
    <row r="114" spans="1:29" s="37" customFormat="1" ht="14.45" customHeight="1" x14ac:dyDescent="0.25">
      <c r="A114" s="62" t="s">
        <v>142</v>
      </c>
      <c r="B114" s="62" t="s">
        <v>146</v>
      </c>
      <c r="C114" s="62" t="s">
        <v>143</v>
      </c>
      <c r="D114" s="187" t="s">
        <v>193</v>
      </c>
      <c r="E114" s="188"/>
      <c r="F114" s="189"/>
      <c r="G114" s="63">
        <v>85</v>
      </c>
      <c r="H114" s="62" t="s">
        <v>194</v>
      </c>
      <c r="I114" s="63" t="s">
        <v>153</v>
      </c>
      <c r="J114" s="63" t="s">
        <v>110</v>
      </c>
      <c r="K114" s="57"/>
      <c r="O114" s="36"/>
      <c r="P114" s="36"/>
    </row>
    <row r="115" spans="1:29" s="37" customFormat="1" ht="14.45" customHeight="1" x14ac:dyDescent="0.25">
      <c r="A115" s="62" t="s">
        <v>173</v>
      </c>
      <c r="B115" s="62" t="s">
        <v>146</v>
      </c>
      <c r="C115" s="62" t="s">
        <v>195</v>
      </c>
      <c r="D115" s="187" t="s">
        <v>196</v>
      </c>
      <c r="E115" s="188"/>
      <c r="F115" s="189"/>
      <c r="G115" s="63">
        <v>0.1</v>
      </c>
      <c r="H115" s="62" t="s">
        <v>197</v>
      </c>
      <c r="I115" s="63">
        <v>150</v>
      </c>
      <c r="J115" s="63" t="s">
        <v>110</v>
      </c>
      <c r="K115" s="57"/>
      <c r="O115" s="36"/>
      <c r="P115" s="36"/>
    </row>
    <row r="116" spans="1:29" s="37" customFormat="1" ht="14.45" customHeight="1" x14ac:dyDescent="0.25">
      <c r="A116" s="62" t="s">
        <v>142</v>
      </c>
      <c r="B116" s="62" t="s">
        <v>49</v>
      </c>
      <c r="C116" s="62" t="s">
        <v>198</v>
      </c>
      <c r="D116" s="187" t="s">
        <v>199</v>
      </c>
      <c r="E116" s="188"/>
      <c r="F116" s="189"/>
      <c r="G116" s="63">
        <v>35</v>
      </c>
      <c r="H116" s="62" t="s">
        <v>181</v>
      </c>
      <c r="I116" s="63" t="s">
        <v>153</v>
      </c>
      <c r="J116" s="63" t="s">
        <v>110</v>
      </c>
      <c r="K116" s="57"/>
      <c r="O116" s="36"/>
      <c r="P116" s="36"/>
    </row>
    <row r="117" spans="1:29" s="37" customFormat="1" ht="14.45" customHeight="1" x14ac:dyDescent="0.25">
      <c r="A117" s="62" t="s">
        <v>142</v>
      </c>
      <c r="B117" s="62" t="s">
        <v>146</v>
      </c>
      <c r="C117" s="62" t="s">
        <v>198</v>
      </c>
      <c r="D117" s="187" t="s">
        <v>200</v>
      </c>
      <c r="E117" s="188"/>
      <c r="F117" s="189"/>
      <c r="G117" s="63">
        <v>7</v>
      </c>
      <c r="H117" s="62" t="s">
        <v>152</v>
      </c>
      <c r="I117" s="63">
        <v>7</v>
      </c>
      <c r="J117" s="63" t="s">
        <v>110</v>
      </c>
      <c r="K117" s="57"/>
      <c r="O117" s="36"/>
      <c r="P117" s="36"/>
    </row>
    <row r="118" spans="1:29" s="37" customFormat="1" ht="14.1" customHeight="1" x14ac:dyDescent="0.25">
      <c r="A118" s="62" t="s">
        <v>142</v>
      </c>
      <c r="B118" s="62" t="s">
        <v>142</v>
      </c>
      <c r="C118" s="62" t="s">
        <v>201</v>
      </c>
      <c r="D118" s="187" t="s">
        <v>202</v>
      </c>
      <c r="E118" s="188"/>
      <c r="F118" s="189"/>
      <c r="G118" s="63">
        <v>40</v>
      </c>
      <c r="H118" s="62" t="s">
        <v>203</v>
      </c>
      <c r="I118" s="63" t="s">
        <v>153</v>
      </c>
      <c r="J118" s="63" t="s">
        <v>110</v>
      </c>
      <c r="K118" s="57"/>
      <c r="O118" s="36"/>
      <c r="P118" s="36"/>
    </row>
    <row r="119" spans="1:29" s="37" customFormat="1" ht="14.1" customHeight="1" x14ac:dyDescent="0.25">
      <c r="A119" s="62" t="s">
        <v>142</v>
      </c>
      <c r="B119" s="62" t="s">
        <v>49</v>
      </c>
      <c r="C119" s="62" t="s">
        <v>143</v>
      </c>
      <c r="D119" s="187" t="s">
        <v>204</v>
      </c>
      <c r="E119" s="188"/>
      <c r="F119" s="189"/>
      <c r="G119" s="63">
        <v>50</v>
      </c>
      <c r="H119" s="62" t="s">
        <v>49</v>
      </c>
      <c r="I119" s="63" t="s">
        <v>153</v>
      </c>
      <c r="J119" s="63" t="s">
        <v>110</v>
      </c>
      <c r="K119" s="57"/>
      <c r="L119" s="38"/>
      <c r="M119" s="38"/>
      <c r="N119" s="38"/>
      <c r="O119" s="36"/>
      <c r="P119" s="36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 spans="1:29" s="39" customFormat="1" ht="14.1" customHeight="1" x14ac:dyDescent="0.25">
      <c r="A120" s="62" t="s">
        <v>142</v>
      </c>
      <c r="B120" s="62" t="s">
        <v>49</v>
      </c>
      <c r="C120" s="62" t="s">
        <v>143</v>
      </c>
      <c r="D120" s="187" t="s">
        <v>205</v>
      </c>
      <c r="E120" s="188"/>
      <c r="F120" s="189"/>
      <c r="G120" s="63">
        <v>200</v>
      </c>
      <c r="H120" s="62" t="s">
        <v>206</v>
      </c>
      <c r="I120" s="63" t="s">
        <v>153</v>
      </c>
      <c r="J120" s="63" t="s">
        <v>110</v>
      </c>
      <c r="K120" s="57"/>
      <c r="O120" s="36"/>
      <c r="P120" s="36"/>
    </row>
    <row r="121" spans="1:29" s="39" customFormat="1" ht="14.1" customHeight="1" x14ac:dyDescent="0.25">
      <c r="A121" s="62" t="s">
        <v>142</v>
      </c>
      <c r="B121" s="62" t="s">
        <v>49</v>
      </c>
      <c r="C121" s="62" t="s">
        <v>143</v>
      </c>
      <c r="D121" s="187" t="s">
        <v>207</v>
      </c>
      <c r="E121" s="188"/>
      <c r="F121" s="189"/>
      <c r="G121" s="63">
        <v>250</v>
      </c>
      <c r="H121" s="62" t="s">
        <v>208</v>
      </c>
      <c r="I121" s="63">
        <v>100</v>
      </c>
      <c r="J121" s="63" t="s">
        <v>110</v>
      </c>
      <c r="K121" s="57"/>
      <c r="L121" s="38"/>
      <c r="M121" s="38"/>
      <c r="N121" s="38"/>
      <c r="O121" s="36"/>
      <c r="P121" s="36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 spans="1:29" s="38" customFormat="1" ht="14.1" customHeight="1" x14ac:dyDescent="0.25">
      <c r="A122" s="62" t="s">
        <v>142</v>
      </c>
      <c r="B122" s="62" t="s">
        <v>49</v>
      </c>
      <c r="C122" s="62" t="s">
        <v>201</v>
      </c>
      <c r="D122" s="187" t="s">
        <v>209</v>
      </c>
      <c r="E122" s="188"/>
      <c r="F122" s="189"/>
      <c r="G122" s="63" t="s">
        <v>210</v>
      </c>
      <c r="H122" s="62"/>
      <c r="I122" s="63" t="s">
        <v>153</v>
      </c>
      <c r="J122" s="63" t="s">
        <v>110</v>
      </c>
      <c r="K122" s="57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:29" s="36" customFormat="1" x14ac:dyDescent="0.25">
      <c r="A123" s="62" t="s">
        <v>142</v>
      </c>
      <c r="B123" s="62" t="s">
        <v>49</v>
      </c>
      <c r="C123" s="62" t="s">
        <v>201</v>
      </c>
      <c r="D123" s="187" t="s">
        <v>211</v>
      </c>
      <c r="E123" s="188"/>
      <c r="F123" s="189"/>
      <c r="G123" s="63" t="s">
        <v>212</v>
      </c>
      <c r="H123" s="62"/>
      <c r="I123" s="63" t="s">
        <v>153</v>
      </c>
      <c r="J123" s="63" t="s">
        <v>110</v>
      </c>
      <c r="K123" s="72"/>
    </row>
    <row r="124" spans="1:29" s="36" customFormat="1" x14ac:dyDescent="0.25">
      <c r="A124" s="62" t="s">
        <v>213</v>
      </c>
      <c r="B124" s="62" t="s">
        <v>49</v>
      </c>
      <c r="C124" s="62" t="s">
        <v>214</v>
      </c>
      <c r="D124" s="187" t="s">
        <v>215</v>
      </c>
      <c r="E124" s="188"/>
      <c r="F124" s="189"/>
      <c r="G124" s="63">
        <v>100</v>
      </c>
      <c r="H124" s="62" t="s">
        <v>49</v>
      </c>
      <c r="I124" s="63">
        <v>100</v>
      </c>
      <c r="J124" s="63" t="s">
        <v>110</v>
      </c>
      <c r="K124" s="72"/>
    </row>
    <row r="125" spans="1:29" s="36" customFormat="1" x14ac:dyDescent="0.25">
      <c r="A125" s="62" t="s">
        <v>213</v>
      </c>
      <c r="B125" s="62" t="s">
        <v>216</v>
      </c>
      <c r="C125" s="62" t="s">
        <v>147</v>
      </c>
      <c r="D125" s="187" t="s">
        <v>217</v>
      </c>
      <c r="E125" s="188"/>
      <c r="F125" s="189"/>
      <c r="G125" s="63">
        <v>50</v>
      </c>
      <c r="H125" s="62"/>
      <c r="I125" s="63">
        <v>50</v>
      </c>
      <c r="J125" s="63" t="s">
        <v>110</v>
      </c>
      <c r="K125" s="72"/>
    </row>
    <row r="126" spans="1:29" s="36" customFormat="1" x14ac:dyDescent="0.25">
      <c r="A126" s="62" t="s">
        <v>150</v>
      </c>
      <c r="B126" s="62" t="s">
        <v>49</v>
      </c>
      <c r="C126" s="62" t="s">
        <v>218</v>
      </c>
      <c r="D126" s="187" t="s">
        <v>219</v>
      </c>
      <c r="E126" s="188"/>
      <c r="F126" s="189"/>
      <c r="G126" s="69" t="s">
        <v>220</v>
      </c>
      <c r="H126" s="67" t="s">
        <v>49</v>
      </c>
      <c r="I126" s="69" t="s">
        <v>153</v>
      </c>
      <c r="J126" s="63" t="s">
        <v>110</v>
      </c>
      <c r="K126" s="72"/>
    </row>
    <row r="127" spans="1:29" s="36" customFormat="1" x14ac:dyDescent="0.25">
      <c r="A127" s="62" t="s">
        <v>221</v>
      </c>
      <c r="B127" s="62" t="s">
        <v>49</v>
      </c>
      <c r="C127" s="62" t="s">
        <v>201</v>
      </c>
      <c r="D127" s="187" t="s">
        <v>222</v>
      </c>
      <c r="E127" s="188"/>
      <c r="F127" s="189"/>
      <c r="G127" s="69" t="s">
        <v>220</v>
      </c>
      <c r="H127" s="67" t="s">
        <v>49</v>
      </c>
      <c r="I127" s="69" t="s">
        <v>153</v>
      </c>
      <c r="J127" s="63" t="s">
        <v>110</v>
      </c>
      <c r="K127" s="72"/>
    </row>
    <row r="128" spans="1:29" s="36" customFormat="1" x14ac:dyDescent="0.25">
      <c r="A128" s="62" t="s">
        <v>142</v>
      </c>
      <c r="B128" s="62" t="s">
        <v>49</v>
      </c>
      <c r="C128" s="62" t="s">
        <v>223</v>
      </c>
      <c r="D128" s="187" t="s">
        <v>224</v>
      </c>
      <c r="E128" s="188"/>
      <c r="F128" s="189"/>
      <c r="G128" s="63" t="s">
        <v>225</v>
      </c>
      <c r="H128" s="62"/>
      <c r="I128" s="63" t="s">
        <v>153</v>
      </c>
      <c r="J128" s="63" t="s">
        <v>110</v>
      </c>
      <c r="K128" s="72"/>
    </row>
    <row r="129" spans="1:11" s="36" customFormat="1" x14ac:dyDescent="0.25">
      <c r="A129" s="62" t="s">
        <v>142</v>
      </c>
      <c r="B129" s="62" t="s">
        <v>49</v>
      </c>
      <c r="C129" s="62" t="s">
        <v>226</v>
      </c>
      <c r="D129" s="187" t="s">
        <v>227</v>
      </c>
      <c r="E129" s="188"/>
      <c r="F129" s="189"/>
      <c r="G129" s="66">
        <v>150</v>
      </c>
      <c r="H129" s="62" t="s">
        <v>49</v>
      </c>
      <c r="I129" s="66">
        <v>150</v>
      </c>
      <c r="J129" s="63" t="s">
        <v>110</v>
      </c>
      <c r="K129" s="72"/>
    </row>
    <row r="130" spans="1:11" s="36" customFormat="1" x14ac:dyDescent="0.25">
      <c r="A130" s="62" t="s">
        <v>142</v>
      </c>
      <c r="B130" s="62" t="s">
        <v>49</v>
      </c>
      <c r="C130" s="62" t="s">
        <v>228</v>
      </c>
      <c r="D130" s="187" t="s">
        <v>229</v>
      </c>
      <c r="E130" s="188"/>
      <c r="F130" s="189"/>
      <c r="G130" s="66">
        <v>25</v>
      </c>
      <c r="H130" s="62" t="s">
        <v>230</v>
      </c>
      <c r="I130" s="66">
        <v>25</v>
      </c>
      <c r="J130" s="63" t="s">
        <v>110</v>
      </c>
      <c r="K130" s="72"/>
    </row>
    <row r="131" spans="1:11" s="36" customFormat="1" x14ac:dyDescent="0.25">
      <c r="A131" s="62" t="s">
        <v>142</v>
      </c>
      <c r="B131" s="62" t="s">
        <v>146</v>
      </c>
      <c r="C131" s="62" t="s">
        <v>198</v>
      </c>
      <c r="D131" s="187" t="s">
        <v>231</v>
      </c>
      <c r="E131" s="188"/>
      <c r="F131" s="189"/>
      <c r="G131" s="66" t="s">
        <v>232</v>
      </c>
      <c r="H131" s="62" t="s">
        <v>149</v>
      </c>
      <c r="I131" s="66" t="s">
        <v>153</v>
      </c>
      <c r="J131" s="63" t="s">
        <v>110</v>
      </c>
      <c r="K131" s="72"/>
    </row>
    <row r="132" spans="1:11" s="36" customFormat="1" x14ac:dyDescent="0.25">
      <c r="A132" s="62" t="s">
        <v>173</v>
      </c>
      <c r="B132" s="62" t="s">
        <v>146</v>
      </c>
      <c r="C132" s="62" t="s">
        <v>233</v>
      </c>
      <c r="D132" s="187" t="s">
        <v>234</v>
      </c>
      <c r="E132" s="188"/>
      <c r="F132" s="189"/>
      <c r="G132" s="66">
        <v>0.5</v>
      </c>
      <c r="H132" s="62" t="s">
        <v>235</v>
      </c>
      <c r="I132" s="66">
        <v>50</v>
      </c>
      <c r="J132" s="63" t="s">
        <v>110</v>
      </c>
      <c r="K132" s="72"/>
    </row>
    <row r="133" spans="1:11" s="36" customFormat="1" x14ac:dyDescent="0.25">
      <c r="A133" s="64" t="s">
        <v>173</v>
      </c>
      <c r="B133" s="64" t="s">
        <v>146</v>
      </c>
      <c r="C133" s="64" t="s">
        <v>233</v>
      </c>
      <c r="D133" s="187" t="s">
        <v>236</v>
      </c>
      <c r="E133" s="188"/>
      <c r="F133" s="189"/>
      <c r="G133" s="73">
        <v>0.5</v>
      </c>
      <c r="H133" s="64" t="s">
        <v>235</v>
      </c>
      <c r="I133" s="73">
        <v>50</v>
      </c>
      <c r="J133" s="63" t="s">
        <v>110</v>
      </c>
      <c r="K133" s="72"/>
    </row>
    <row r="134" spans="1:11" s="36" customFormat="1" x14ac:dyDescent="0.25">
      <c r="A134" s="62" t="s">
        <v>173</v>
      </c>
      <c r="B134" s="62" t="s">
        <v>146</v>
      </c>
      <c r="C134" s="62" t="s">
        <v>201</v>
      </c>
      <c r="D134" s="187" t="s">
        <v>237</v>
      </c>
      <c r="E134" s="188"/>
      <c r="F134" s="189"/>
      <c r="G134" s="66" t="s">
        <v>238</v>
      </c>
      <c r="H134" s="62" t="s">
        <v>235</v>
      </c>
      <c r="I134" s="66">
        <v>50</v>
      </c>
      <c r="J134" s="63" t="s">
        <v>110</v>
      </c>
      <c r="K134" s="72"/>
    </row>
    <row r="135" spans="1:11" s="36" customFormat="1" x14ac:dyDescent="0.25">
      <c r="A135" s="62" t="s">
        <v>239</v>
      </c>
      <c r="B135" s="62" t="s">
        <v>49</v>
      </c>
      <c r="C135" s="62" t="s">
        <v>143</v>
      </c>
      <c r="D135" s="187" t="s">
        <v>240</v>
      </c>
      <c r="E135" s="188"/>
      <c r="F135" s="189"/>
      <c r="G135" s="69" t="s">
        <v>220</v>
      </c>
      <c r="H135" s="67" t="s">
        <v>49</v>
      </c>
      <c r="I135" s="69" t="s">
        <v>153</v>
      </c>
      <c r="J135" s="63" t="s">
        <v>110</v>
      </c>
      <c r="K135" s="72"/>
    </row>
    <row r="136" spans="1:11" s="36" customFormat="1" x14ac:dyDescent="0.25">
      <c r="A136" s="62" t="s">
        <v>142</v>
      </c>
      <c r="B136" s="62" t="s">
        <v>142</v>
      </c>
      <c r="C136" s="62" t="s">
        <v>147</v>
      </c>
      <c r="D136" s="187" t="s">
        <v>241</v>
      </c>
      <c r="E136" s="188"/>
      <c r="F136" s="189"/>
      <c r="G136" s="66" t="s">
        <v>242</v>
      </c>
      <c r="H136" s="62"/>
      <c r="I136" s="66">
        <v>15</v>
      </c>
      <c r="J136" s="63" t="s">
        <v>110</v>
      </c>
      <c r="K136" s="72"/>
    </row>
    <row r="137" spans="1:11" s="36" customFormat="1" x14ac:dyDescent="0.25">
      <c r="A137" s="62" t="s">
        <v>243</v>
      </c>
      <c r="B137" s="62" t="s">
        <v>49</v>
      </c>
      <c r="C137" s="62" t="s">
        <v>143</v>
      </c>
      <c r="D137" s="187" t="s">
        <v>244</v>
      </c>
      <c r="E137" s="188"/>
      <c r="F137" s="189"/>
      <c r="G137" s="66">
        <v>200</v>
      </c>
      <c r="H137" s="62" t="s">
        <v>49</v>
      </c>
      <c r="I137" s="63">
        <v>200</v>
      </c>
      <c r="J137" s="63" t="s">
        <v>110</v>
      </c>
      <c r="K137" s="72"/>
    </row>
    <row r="138" spans="1:11" s="36" customFormat="1" x14ac:dyDescent="0.25">
      <c r="A138" s="62" t="s">
        <v>245</v>
      </c>
      <c r="B138" s="62" t="s">
        <v>49</v>
      </c>
      <c r="C138" s="62" t="s">
        <v>143</v>
      </c>
      <c r="D138" s="187" t="s">
        <v>246</v>
      </c>
      <c r="E138" s="188"/>
      <c r="F138" s="189"/>
      <c r="G138" s="66">
        <v>250</v>
      </c>
      <c r="H138" s="62" t="s">
        <v>49</v>
      </c>
      <c r="I138" s="63">
        <v>100</v>
      </c>
      <c r="J138" s="63" t="s">
        <v>110</v>
      </c>
      <c r="K138" s="72"/>
    </row>
    <row r="139" spans="1:11" s="36" customFormat="1" x14ac:dyDescent="0.25">
      <c r="A139" s="62" t="s">
        <v>247</v>
      </c>
      <c r="B139" s="62" t="s">
        <v>49</v>
      </c>
      <c r="C139" s="62" t="s">
        <v>143</v>
      </c>
      <c r="D139" s="187" t="s">
        <v>248</v>
      </c>
      <c r="E139" s="188"/>
      <c r="F139" s="189"/>
      <c r="G139" s="63">
        <v>250</v>
      </c>
      <c r="H139" s="62" t="s">
        <v>49</v>
      </c>
      <c r="I139" s="63">
        <v>200</v>
      </c>
      <c r="J139" s="63" t="s">
        <v>110</v>
      </c>
      <c r="K139" s="72"/>
    </row>
    <row r="140" spans="1:11" s="36" customFormat="1" x14ac:dyDescent="0.25">
      <c r="A140" s="62" t="s">
        <v>142</v>
      </c>
      <c r="B140" s="62" t="s">
        <v>49</v>
      </c>
      <c r="C140" s="62" t="s">
        <v>143</v>
      </c>
      <c r="D140" s="187" t="s">
        <v>249</v>
      </c>
      <c r="E140" s="188"/>
      <c r="F140" s="189"/>
      <c r="G140" s="63"/>
      <c r="H140" s="62" t="s">
        <v>49</v>
      </c>
      <c r="I140" s="63" t="s">
        <v>153</v>
      </c>
      <c r="J140" s="63" t="s">
        <v>110</v>
      </c>
      <c r="K140" s="72"/>
    </row>
    <row r="141" spans="1:11" s="36" customFormat="1" x14ac:dyDescent="0.25">
      <c r="A141" s="62" t="s">
        <v>250</v>
      </c>
      <c r="B141" s="62" t="s">
        <v>49</v>
      </c>
      <c r="C141" s="62" t="s">
        <v>143</v>
      </c>
      <c r="D141" s="187" t="s">
        <v>251</v>
      </c>
      <c r="E141" s="188"/>
      <c r="F141" s="189"/>
      <c r="G141" s="66">
        <v>350</v>
      </c>
      <c r="H141" s="62" t="s">
        <v>49</v>
      </c>
      <c r="I141" s="63">
        <v>350</v>
      </c>
      <c r="J141" s="63" t="s">
        <v>110</v>
      </c>
      <c r="K141" s="72"/>
    </row>
    <row r="142" spans="1:11" s="36" customFormat="1" x14ac:dyDescent="0.25">
      <c r="A142" s="118"/>
      <c r="B142" s="118"/>
      <c r="C142" s="118"/>
      <c r="D142" s="119"/>
      <c r="E142" s="119"/>
      <c r="F142" s="119"/>
      <c r="G142" s="120"/>
      <c r="H142" s="118"/>
      <c r="I142" s="121"/>
      <c r="J142" s="121"/>
      <c r="K142" s="72"/>
    </row>
    <row r="143" spans="1:11" s="36" customFormat="1" x14ac:dyDescent="0.25">
      <c r="A143" s="180" t="s">
        <v>72</v>
      </c>
      <c r="B143" s="180"/>
      <c r="C143" s="180"/>
      <c r="D143" s="180"/>
      <c r="E143" s="180"/>
      <c r="F143" s="180"/>
      <c r="G143" s="180"/>
      <c r="H143" s="180"/>
      <c r="I143" s="180"/>
      <c r="J143" s="180"/>
      <c r="K143" s="72"/>
    </row>
    <row r="144" spans="1:11" s="36" customFormat="1" x14ac:dyDescent="0.25">
      <c r="A144" s="186" t="s">
        <v>67</v>
      </c>
      <c r="B144" s="186"/>
      <c r="C144" s="186"/>
      <c r="D144" s="186"/>
      <c r="E144" s="186" t="s">
        <v>68</v>
      </c>
      <c r="F144" s="186"/>
      <c r="G144" s="186"/>
      <c r="H144" s="186"/>
      <c r="I144" s="186"/>
      <c r="J144" s="186"/>
      <c r="K144" s="72"/>
    </row>
    <row r="145" spans="1:11" s="36" customFormat="1" x14ac:dyDescent="0.25">
      <c r="A145" s="185" t="s">
        <v>73</v>
      </c>
      <c r="B145" s="185"/>
      <c r="C145" s="185"/>
      <c r="D145" s="185"/>
      <c r="E145" s="185" t="s">
        <v>254</v>
      </c>
      <c r="F145" s="185"/>
      <c r="G145" s="185"/>
      <c r="H145" s="185"/>
      <c r="I145" s="185"/>
      <c r="J145" s="185"/>
      <c r="K145" s="72"/>
    </row>
    <row r="146" spans="1:11" s="36" customFormat="1" ht="15" customHeight="1" x14ac:dyDescent="0.25">
      <c r="A146" s="185" t="s">
        <v>252</v>
      </c>
      <c r="B146" s="185"/>
      <c r="C146" s="185"/>
      <c r="D146" s="185"/>
      <c r="E146" s="185" t="s">
        <v>253</v>
      </c>
      <c r="F146" s="185"/>
      <c r="G146" s="185"/>
      <c r="H146" s="185"/>
      <c r="I146" s="185"/>
      <c r="J146" s="185"/>
      <c r="K146" s="72"/>
    </row>
    <row r="147" spans="1:11" s="36" customFormat="1" ht="15" customHeight="1" x14ac:dyDescent="0.25">
      <c r="A147" s="185" t="s">
        <v>74</v>
      </c>
      <c r="B147" s="185"/>
      <c r="C147" s="185"/>
      <c r="D147" s="185"/>
      <c r="E147" s="185" t="s">
        <v>75</v>
      </c>
      <c r="F147" s="185"/>
      <c r="G147" s="185"/>
      <c r="H147" s="185"/>
      <c r="I147" s="185"/>
      <c r="J147" s="185"/>
      <c r="K147" s="72"/>
    </row>
    <row r="148" spans="1:11" s="36" customFormat="1" x14ac:dyDescent="0.25">
      <c r="A148" s="185" t="s">
        <v>76</v>
      </c>
      <c r="B148" s="185"/>
      <c r="C148" s="185"/>
      <c r="D148" s="185"/>
      <c r="E148" s="185" t="s">
        <v>77</v>
      </c>
      <c r="F148" s="185"/>
      <c r="G148" s="185"/>
      <c r="H148" s="185"/>
      <c r="I148" s="185"/>
      <c r="J148" s="185"/>
      <c r="K148" s="72"/>
    </row>
    <row r="149" spans="1:11" s="36" customFormat="1" ht="15" customHeight="1" x14ac:dyDescent="0.25">
      <c r="A149" s="185" t="s">
        <v>78</v>
      </c>
      <c r="B149" s="185"/>
      <c r="C149" s="185"/>
      <c r="D149" s="185"/>
      <c r="E149" s="185" t="s">
        <v>79</v>
      </c>
      <c r="F149" s="185"/>
      <c r="G149" s="185"/>
      <c r="H149" s="185"/>
      <c r="I149" s="185"/>
      <c r="J149" s="185"/>
      <c r="K149" s="72"/>
    </row>
    <row r="150" spans="1:11" s="36" customFormat="1" ht="15" customHeight="1" x14ac:dyDescent="0.25">
      <c r="A150" s="180" t="s">
        <v>89</v>
      </c>
      <c r="B150" s="180"/>
      <c r="C150" s="180"/>
      <c r="D150" s="180"/>
      <c r="E150" s="180"/>
      <c r="F150" s="180"/>
      <c r="G150" s="180"/>
      <c r="H150" s="180"/>
      <c r="I150" s="180"/>
      <c r="J150" s="180"/>
      <c r="K150" s="72"/>
    </row>
    <row r="151" spans="1:11" s="36" customFormat="1" x14ac:dyDescent="0.25">
      <c r="A151" s="181" t="s">
        <v>80</v>
      </c>
      <c r="B151" s="181"/>
      <c r="C151" s="181"/>
      <c r="D151" s="181"/>
      <c r="E151" s="181"/>
      <c r="F151" s="181"/>
      <c r="G151" s="181"/>
      <c r="H151" s="181"/>
      <c r="I151" s="181"/>
      <c r="J151" s="181"/>
      <c r="K151" s="72"/>
    </row>
    <row r="152" spans="1:11" s="36" customFormat="1" ht="15" customHeight="1" x14ac:dyDescent="0.25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72"/>
    </row>
    <row r="153" spans="1:11" s="36" customFormat="1" x14ac:dyDescent="0.25">
      <c r="A153" s="182" t="s">
        <v>90</v>
      </c>
      <c r="B153" s="182"/>
      <c r="C153" s="182"/>
      <c r="D153" s="182"/>
      <c r="E153" s="182"/>
      <c r="F153" s="182"/>
      <c r="G153" s="182"/>
      <c r="H153" s="182"/>
      <c r="I153" s="182"/>
      <c r="J153" s="182"/>
      <c r="K153" s="72"/>
    </row>
    <row r="154" spans="1:11" s="36" customFormat="1" ht="15" customHeight="1" x14ac:dyDescent="0.25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72"/>
    </row>
    <row r="155" spans="1:11" s="42" customFormat="1" ht="13.9" customHeight="1" x14ac:dyDescent="0.25">
      <c r="A155" s="183" t="s">
        <v>307</v>
      </c>
      <c r="B155" s="183"/>
      <c r="C155" s="183"/>
      <c r="D155" s="183"/>
      <c r="E155" s="183"/>
      <c r="F155" s="183"/>
      <c r="G155" s="183"/>
      <c r="H155" s="183"/>
      <c r="I155" s="183"/>
      <c r="J155" s="48"/>
    </row>
    <row r="156" spans="1:11" s="49" customFormat="1" ht="13.9" customHeight="1" x14ac:dyDescent="0.25">
      <c r="A156" s="184" t="s">
        <v>105</v>
      </c>
      <c r="B156" s="184"/>
      <c r="C156" s="184"/>
      <c r="D156" s="184"/>
      <c r="E156" s="184"/>
      <c r="F156" s="184"/>
      <c r="G156" s="184"/>
      <c r="H156" s="184"/>
      <c r="I156" s="184"/>
      <c r="J156" s="48"/>
    </row>
    <row r="157" spans="1:11" x14ac:dyDescent="0.25">
      <c r="J157" s="48"/>
    </row>
    <row r="158" spans="1:11" x14ac:dyDescent="0.25">
      <c r="J158" s="48"/>
    </row>
    <row r="159" spans="1:11" x14ac:dyDescent="0.25">
      <c r="J159" s="48"/>
    </row>
  </sheetData>
  <protectedRanges>
    <protectedRange algorithmName="SHA-512" hashValue="VF6HSW3Iy4xJ9rvYE/9xGHEoimGCygSu8D4FeqmdsD954MzAHwkkxLcwSP9Q5ui8KTGpWBzFAFpp2yGVfuii3Q==" saltValue="Ht0jMOW+8eakbuvlYpVr7Q==" spinCount="100000" sqref="G37:J42 G53:J59 G29:J31 G33:J35 G13:J27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3:J43 G45:J47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9:J51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mergeCells count="147">
    <mergeCell ref="A153:J154"/>
    <mergeCell ref="A155:I155"/>
    <mergeCell ref="A156:I156"/>
    <mergeCell ref="A148:D148"/>
    <mergeCell ref="E148:J148"/>
    <mergeCell ref="A149:D149"/>
    <mergeCell ref="E149:J149"/>
    <mergeCell ref="A150:J150"/>
    <mergeCell ref="A151:J152"/>
    <mergeCell ref="A145:D145"/>
    <mergeCell ref="E145:J145"/>
    <mergeCell ref="A146:D146"/>
    <mergeCell ref="E146:J146"/>
    <mergeCell ref="A147:D147"/>
    <mergeCell ref="E147:J147"/>
    <mergeCell ref="D139:F139"/>
    <mergeCell ref="D140:F140"/>
    <mergeCell ref="D141:F141"/>
    <mergeCell ref="A143:J143"/>
    <mergeCell ref="A144:D144"/>
    <mergeCell ref="E144:J144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21:F121"/>
    <mergeCell ref="D122:F122"/>
    <mergeCell ref="D123:F123"/>
    <mergeCell ref="D124:F124"/>
    <mergeCell ref="D125:F125"/>
    <mergeCell ref="D126:F126"/>
    <mergeCell ref="D115:F115"/>
    <mergeCell ref="D116:F116"/>
    <mergeCell ref="D117:F117"/>
    <mergeCell ref="D118:F118"/>
    <mergeCell ref="D119:F119"/>
    <mergeCell ref="D120:F120"/>
    <mergeCell ref="D109:F109"/>
    <mergeCell ref="D110:F110"/>
    <mergeCell ref="D111:F111"/>
    <mergeCell ref="D112:F112"/>
    <mergeCell ref="D113:F113"/>
    <mergeCell ref="D114:F114"/>
    <mergeCell ref="D103:F103"/>
    <mergeCell ref="D104:F104"/>
    <mergeCell ref="D105:F105"/>
    <mergeCell ref="D106:F106"/>
    <mergeCell ref="D107:F107"/>
    <mergeCell ref="D108:F108"/>
    <mergeCell ref="D97:F97"/>
    <mergeCell ref="D98:F98"/>
    <mergeCell ref="D99:F99"/>
    <mergeCell ref="D100:F100"/>
    <mergeCell ref="D101:F101"/>
    <mergeCell ref="D102:F102"/>
    <mergeCell ref="D91:F91"/>
    <mergeCell ref="D92:F92"/>
    <mergeCell ref="D93:F93"/>
    <mergeCell ref="D94:F94"/>
    <mergeCell ref="D95:F95"/>
    <mergeCell ref="D96:F96"/>
    <mergeCell ref="D85:F85"/>
    <mergeCell ref="D86:F86"/>
    <mergeCell ref="D87:F87"/>
    <mergeCell ref="D88:F88"/>
    <mergeCell ref="D89:F89"/>
    <mergeCell ref="D90:F90"/>
    <mergeCell ref="D79:F79"/>
    <mergeCell ref="D80:F80"/>
    <mergeCell ref="D81:F81"/>
    <mergeCell ref="D82:F82"/>
    <mergeCell ref="D83:F83"/>
    <mergeCell ref="D84:F84"/>
    <mergeCell ref="A75:D75"/>
    <mergeCell ref="E75:J75"/>
    <mergeCell ref="L75:Q75"/>
    <mergeCell ref="A76:J76"/>
    <mergeCell ref="D77:F77"/>
    <mergeCell ref="D78:F78"/>
    <mergeCell ref="A73:D73"/>
    <mergeCell ref="G73:J73"/>
    <mergeCell ref="L73:Q73"/>
    <mergeCell ref="A74:D74"/>
    <mergeCell ref="G74:J74"/>
    <mergeCell ref="L74:Q74"/>
    <mergeCell ref="A71:D71"/>
    <mergeCell ref="F71:J71"/>
    <mergeCell ref="L71:Q71"/>
    <mergeCell ref="A72:D72"/>
    <mergeCell ref="F72:J72"/>
    <mergeCell ref="L72:Q72"/>
    <mergeCell ref="A68:D68"/>
    <mergeCell ref="F68:J68"/>
    <mergeCell ref="A69:D69"/>
    <mergeCell ref="F69:J69"/>
    <mergeCell ref="L69:Q69"/>
    <mergeCell ref="A70:D70"/>
    <mergeCell ref="F70:J70"/>
    <mergeCell ref="L70:Q70"/>
    <mergeCell ref="A65:D65"/>
    <mergeCell ref="F65:J65"/>
    <mergeCell ref="L65:Q65"/>
    <mergeCell ref="A66:D66"/>
    <mergeCell ref="F66:J66"/>
    <mergeCell ref="A67:D67"/>
    <mergeCell ref="F67:J67"/>
    <mergeCell ref="A61:J61"/>
    <mergeCell ref="A62:J62"/>
    <mergeCell ref="A63:D63"/>
    <mergeCell ref="E63:J63"/>
    <mergeCell ref="L63:Q63"/>
    <mergeCell ref="A64:D64"/>
    <mergeCell ref="F64:J64"/>
    <mergeCell ref="L64:Q64"/>
    <mergeCell ref="E32:F32"/>
    <mergeCell ref="E36:F36"/>
    <mergeCell ref="E44:F44"/>
    <mergeCell ref="E48:F48"/>
    <mergeCell ref="E52:F52"/>
    <mergeCell ref="A59:J59"/>
    <mergeCell ref="N10:R10"/>
    <mergeCell ref="S10:X10"/>
    <mergeCell ref="Y10:AB10"/>
    <mergeCell ref="E11:F11"/>
    <mergeCell ref="E12:F12"/>
    <mergeCell ref="E28:F28"/>
    <mergeCell ref="B6:C6"/>
    <mergeCell ref="G6:I6"/>
    <mergeCell ref="A7:J7"/>
    <mergeCell ref="E8:I8"/>
    <mergeCell ref="B9:I9"/>
    <mergeCell ref="A10:J10"/>
    <mergeCell ref="A1:B1"/>
    <mergeCell ref="C2:G2"/>
    <mergeCell ref="B3:H3"/>
    <mergeCell ref="B4:C4"/>
    <mergeCell ref="G4:I4"/>
    <mergeCell ref="B5:C5"/>
    <mergeCell ref="G5:I5"/>
  </mergeCells>
  <hyperlinks>
    <hyperlink ref="G6" r:id="rId1" xr:uid="{F7D297FF-2BBE-4378-AA85-D8118DD4DCC8}"/>
    <hyperlink ref="G4" r:id="rId2" xr:uid="{5AD10AAE-4D06-4560-A512-CAA8339491B5}"/>
  </hyperlinks>
  <pageMargins left="0.35" right="0.35" top="0.35" bottom="0.35" header="0.3" footer="0.3"/>
  <pageSetup scale="53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929AB7-1C00-4951-AFBE-254100A56B10}">
          <x14:formula1>
            <xm:f>'C:\Users\twang\AppData\Local\Microsoft\Windows\Temporary Internet Files\Content.Outlook\U7WJNCNV\[QUOTE TEMPLATE 05-01-21.xltx]Sheet1'!#REF!</xm:f>
          </x14:formula1>
          <xm:sqref>E69:E70 E72:E74 E64:E67 E29:E31 E45:E47 E37:E43 E53:E58 E33:E35 E13:E27</xm:sqref>
        </x14:dataValidation>
        <x14:dataValidation type="list" allowBlank="1" showInputMessage="1" showErrorMessage="1" xr:uid="{A4C7D1CC-3C85-4E5C-BEF2-109313F100CF}">
          <x14:formula1>
            <xm:f>'C:\Users\twang\AppData\Local\Microsoft\Windows\Temporary Internet Files\Content.Outlook\U7WJNCNV\[QUOTE TEMPLATE 05-01-21.xltx]Sheet1'!#REF!</xm:f>
          </x14:formula1>
          <xm:sqref>C29:C31 C53:C58 Q13:Q14 C45:C47 C37:C43 C33:C35 C13:C27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CA5B-AF34-451F-B964-7AD206096CD2}">
  <sheetPr>
    <pageSetUpPr fitToPage="1"/>
  </sheetPr>
  <dimension ref="A1:AC160"/>
  <sheetViews>
    <sheetView zoomScale="90" zoomScaleNormal="90" zoomScaleSheetLayoutView="82" workbookViewId="0">
      <pane xSplit="4" topLeftCell="E1" activePane="topRight" state="frozen"/>
      <selection activeCell="A19" sqref="A19"/>
      <selection pane="topRight" activeCell="B6" sqref="B6:C6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2.5703125" style="50" bestFit="1" customWidth="1"/>
    <col min="5" max="5" width="16.7109375" style="50" customWidth="1"/>
    <col min="6" max="6" width="15.42578125" style="50" customWidth="1"/>
    <col min="7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36</v>
      </c>
      <c r="B4" s="213" t="s">
        <v>37</v>
      </c>
      <c r="C4" s="213"/>
      <c r="D4" s="127"/>
      <c r="F4" s="41" t="s">
        <v>36</v>
      </c>
      <c r="G4" s="214" t="s">
        <v>305</v>
      </c>
      <c r="H4" s="213"/>
      <c r="I4" s="213"/>
      <c r="J4" s="4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J5" s="4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305</v>
      </c>
      <c r="H6" s="213"/>
      <c r="I6" s="213"/>
      <c r="J6" s="4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239"/>
      <c r="B7" s="239"/>
      <c r="C7" s="239"/>
      <c r="D7" s="239"/>
      <c r="E7" s="239"/>
      <c r="F7" s="239"/>
      <c r="G7" s="239"/>
      <c r="H7" s="239"/>
      <c r="I7" s="239"/>
      <c r="J7" s="239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44621</v>
      </c>
      <c r="C8" s="45" t="s">
        <v>91</v>
      </c>
      <c r="D8" s="44">
        <v>44634</v>
      </c>
      <c r="E8" s="213" t="s">
        <v>92</v>
      </c>
      <c r="F8" s="213"/>
      <c r="G8" s="213"/>
      <c r="H8" s="213"/>
      <c r="I8" s="213"/>
      <c r="J8" s="4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213" t="s">
        <v>40</v>
      </c>
      <c r="C9" s="213"/>
      <c r="D9" s="213"/>
      <c r="E9" s="213"/>
      <c r="F9" s="213"/>
      <c r="G9" s="213"/>
      <c r="H9" s="213"/>
      <c r="I9" s="213"/>
      <c r="J9" s="43"/>
      <c r="K9" s="12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 t="s">
        <v>257</v>
      </c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88" t="s">
        <v>82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  <c r="L12" s="89" t="s">
        <v>48</v>
      </c>
      <c r="M12" s="89" t="s">
        <v>261</v>
      </c>
      <c r="N12" s="90" t="s">
        <v>51</v>
      </c>
      <c r="O12" s="91" t="s">
        <v>50</v>
      </c>
      <c r="P12" s="91" t="s">
        <v>262</v>
      </c>
      <c r="Q12" s="91" t="s">
        <v>263</v>
      </c>
      <c r="R12" s="91" t="s">
        <v>264</v>
      </c>
      <c r="S12" s="92" t="s">
        <v>52</v>
      </c>
      <c r="T12" s="92" t="s">
        <v>53</v>
      </c>
      <c r="U12" s="92" t="s">
        <v>265</v>
      </c>
      <c r="V12" s="92" t="s">
        <v>266</v>
      </c>
      <c r="W12" s="92" t="s">
        <v>267</v>
      </c>
      <c r="X12" s="92" t="s">
        <v>268</v>
      </c>
      <c r="Y12" s="92" t="s">
        <v>52</v>
      </c>
      <c r="Z12" s="92" t="s">
        <v>53</v>
      </c>
      <c r="AA12" s="92" t="s">
        <v>265</v>
      </c>
      <c r="AB12" s="92" t="s">
        <v>266</v>
      </c>
      <c r="AC12" s="93" t="s">
        <v>269</v>
      </c>
    </row>
    <row r="13" spans="1:29" s="40" customFormat="1" ht="18.75" x14ac:dyDescent="0.25">
      <c r="A13" s="51" t="s">
        <v>81</v>
      </c>
      <c r="B13" s="51" t="s">
        <v>16</v>
      </c>
      <c r="C13" s="94" t="s">
        <v>54</v>
      </c>
      <c r="D13" s="95" t="s">
        <v>308</v>
      </c>
      <c r="E13" s="96" t="s">
        <v>114</v>
      </c>
      <c r="F13" s="97" t="s">
        <v>270</v>
      </c>
      <c r="G13" s="98" t="e">
        <f t="shared" ref="G13:G28" si="0">CEILING(S13+W13+X13+O13+N13+Y13,10)</f>
        <v>#N/A</v>
      </c>
      <c r="H13" s="99" t="e">
        <f t="shared" ref="H13:H28" si="1">CEILING(T13+W13+X13+O13+N13+Z13,10)</f>
        <v>#N/A</v>
      </c>
      <c r="I13" s="99" t="e">
        <f t="shared" ref="I13:I28" si="2">CEILING(U13+W13+X13+O13+N13+AA13,10)</f>
        <v>#N/A</v>
      </c>
      <c r="J13" s="99" t="e">
        <f t="shared" ref="J13:J28" si="3">CEILING(V13+W13+X13+O13+N13+AB13,10)</f>
        <v>#N/A</v>
      </c>
      <c r="K13" s="57"/>
      <c r="L13" s="100" t="s">
        <v>272</v>
      </c>
      <c r="M13" s="52" t="s">
        <v>292</v>
      </c>
      <c r="N13" s="40">
        <v>0</v>
      </c>
      <c r="O13" s="53" t="e">
        <f>VLOOKUP(B13,DRAYAGE!$A$1:$C$6,3,FALSE)</f>
        <v>#N/A</v>
      </c>
      <c r="P13" s="40" t="s">
        <v>298</v>
      </c>
      <c r="S13" s="101">
        <f t="shared" ref="S13:S28" si="4">0.9*T13</f>
        <v>9450</v>
      </c>
      <c r="T13" s="54">
        <v>10500</v>
      </c>
      <c r="U13" s="103">
        <f>T13</f>
        <v>10500</v>
      </c>
      <c r="V13" s="104">
        <f t="shared" ref="V13:V28" si="5">U13*1.266</f>
        <v>13293</v>
      </c>
      <c r="X13" s="40">
        <v>0</v>
      </c>
    </row>
    <row r="14" spans="1:29" s="40" customFormat="1" ht="14.45" customHeight="1" x14ac:dyDescent="0.25">
      <c r="A14" s="51" t="s">
        <v>55</v>
      </c>
      <c r="B14" s="51" t="s">
        <v>16</v>
      </c>
      <c r="C14" s="94" t="s">
        <v>54</v>
      </c>
      <c r="D14" s="95" t="s">
        <v>308</v>
      </c>
      <c r="E14" s="96" t="s">
        <v>114</v>
      </c>
      <c r="F14" s="97" t="s">
        <v>270</v>
      </c>
      <c r="G14" s="98" t="e">
        <f t="shared" si="0"/>
        <v>#N/A</v>
      </c>
      <c r="H14" s="99" t="e">
        <f t="shared" si="1"/>
        <v>#N/A</v>
      </c>
      <c r="I14" s="99" t="e">
        <f t="shared" si="2"/>
        <v>#N/A</v>
      </c>
      <c r="J14" s="99" t="e">
        <f t="shared" si="3"/>
        <v>#N/A</v>
      </c>
      <c r="K14" s="57"/>
      <c r="L14" s="100" t="s">
        <v>272</v>
      </c>
      <c r="M14" s="52" t="s">
        <v>292</v>
      </c>
      <c r="N14" s="40">
        <v>0</v>
      </c>
      <c r="O14" s="53" t="e">
        <f>VLOOKUP(B14,DRAYAGE!$A$1:$C$6,3,FALSE)</f>
        <v>#N/A</v>
      </c>
      <c r="P14" s="40" t="s">
        <v>298</v>
      </c>
      <c r="S14" s="101">
        <f t="shared" si="4"/>
        <v>11250</v>
      </c>
      <c r="T14" s="54">
        <v>12500</v>
      </c>
      <c r="U14" s="103">
        <f t="shared" ref="U14:U59" si="6">T14</f>
        <v>12500</v>
      </c>
      <c r="V14" s="104">
        <f t="shared" si="5"/>
        <v>15825</v>
      </c>
      <c r="X14" s="40">
        <v>0</v>
      </c>
    </row>
    <row r="15" spans="1:29" s="40" customFormat="1" ht="14.45" customHeight="1" x14ac:dyDescent="0.25">
      <c r="A15" s="51" t="s">
        <v>55</v>
      </c>
      <c r="B15" s="51" t="s">
        <v>16</v>
      </c>
      <c r="C15" s="94" t="s">
        <v>54</v>
      </c>
      <c r="D15" s="126" t="s">
        <v>329</v>
      </c>
      <c r="E15" s="96" t="s">
        <v>114</v>
      </c>
      <c r="F15" s="97" t="s">
        <v>270</v>
      </c>
      <c r="G15" s="98" t="e">
        <f t="shared" si="0"/>
        <v>#N/A</v>
      </c>
      <c r="H15" s="99" t="e">
        <f t="shared" si="1"/>
        <v>#N/A</v>
      </c>
      <c r="I15" s="99" t="e">
        <f t="shared" si="2"/>
        <v>#N/A</v>
      </c>
      <c r="J15" s="99" t="e">
        <f t="shared" si="3"/>
        <v>#N/A</v>
      </c>
      <c r="K15" s="57"/>
      <c r="L15" s="100" t="s">
        <v>272</v>
      </c>
      <c r="M15" s="52" t="s">
        <v>292</v>
      </c>
      <c r="N15" s="40">
        <v>0</v>
      </c>
      <c r="O15" s="53" t="e">
        <f>VLOOKUP(B15,DRAYAGE!$A$1:$C$6,3,FALSE)</f>
        <v>#N/A</v>
      </c>
      <c r="P15" s="40" t="s">
        <v>298</v>
      </c>
      <c r="S15" s="101">
        <f t="shared" si="4"/>
        <v>11250</v>
      </c>
      <c r="T15" s="54">
        <v>12500</v>
      </c>
      <c r="U15" s="103">
        <f t="shared" si="6"/>
        <v>12500</v>
      </c>
      <c r="V15" s="104">
        <f t="shared" si="5"/>
        <v>15825</v>
      </c>
      <c r="X15" s="40">
        <v>0</v>
      </c>
    </row>
    <row r="16" spans="1:29" s="40" customFormat="1" ht="14.45" customHeight="1" x14ac:dyDescent="0.25">
      <c r="A16" s="51" t="s">
        <v>56</v>
      </c>
      <c r="B16" s="51" t="s">
        <v>16</v>
      </c>
      <c r="C16" s="94" t="s">
        <v>54</v>
      </c>
      <c r="D16" s="95" t="s">
        <v>308</v>
      </c>
      <c r="E16" s="96" t="s">
        <v>114</v>
      </c>
      <c r="F16" s="97" t="s">
        <v>270</v>
      </c>
      <c r="G16" s="98" t="e">
        <f t="shared" si="0"/>
        <v>#N/A</v>
      </c>
      <c r="H16" s="99" t="e">
        <f t="shared" si="1"/>
        <v>#N/A</v>
      </c>
      <c r="I16" s="99" t="e">
        <f t="shared" si="2"/>
        <v>#N/A</v>
      </c>
      <c r="J16" s="99" t="e">
        <f t="shared" si="3"/>
        <v>#N/A</v>
      </c>
      <c r="K16" s="57"/>
      <c r="L16" s="100" t="s">
        <v>272</v>
      </c>
      <c r="M16" s="52" t="s">
        <v>292</v>
      </c>
      <c r="N16" s="40">
        <v>0</v>
      </c>
      <c r="O16" s="53" t="e">
        <f>VLOOKUP(B16,DRAYAGE!$A$1:$C$6,3,FALSE)</f>
        <v>#N/A</v>
      </c>
      <c r="P16" s="40" t="s">
        <v>298</v>
      </c>
      <c r="S16" s="101">
        <f t="shared" si="4"/>
        <v>11700</v>
      </c>
      <c r="T16" s="54">
        <v>13000</v>
      </c>
      <c r="U16" s="103">
        <f t="shared" si="6"/>
        <v>13000</v>
      </c>
      <c r="V16" s="104">
        <f t="shared" si="5"/>
        <v>16458</v>
      </c>
      <c r="X16" s="40">
        <v>0</v>
      </c>
    </row>
    <row r="17" spans="1:29" s="40" customFormat="1" ht="14.45" customHeight="1" x14ac:dyDescent="0.25">
      <c r="A17" s="51" t="s">
        <v>57</v>
      </c>
      <c r="B17" s="51" t="s">
        <v>16</v>
      </c>
      <c r="C17" s="94" t="s">
        <v>54</v>
      </c>
      <c r="D17" s="95" t="s">
        <v>308</v>
      </c>
      <c r="E17" s="96" t="s">
        <v>114</v>
      </c>
      <c r="F17" s="97" t="s">
        <v>270</v>
      </c>
      <c r="G17" s="98" t="e">
        <f t="shared" si="0"/>
        <v>#N/A</v>
      </c>
      <c r="H17" s="99" t="e">
        <f t="shared" si="1"/>
        <v>#N/A</v>
      </c>
      <c r="I17" s="99" t="e">
        <f t="shared" si="2"/>
        <v>#N/A</v>
      </c>
      <c r="J17" s="99" t="e">
        <f t="shared" si="3"/>
        <v>#N/A</v>
      </c>
      <c r="K17" s="57"/>
      <c r="L17" s="100" t="s">
        <v>272</v>
      </c>
      <c r="M17" s="52" t="s">
        <v>292</v>
      </c>
      <c r="N17" s="40">
        <v>0</v>
      </c>
      <c r="O17" s="53" t="e">
        <f>VLOOKUP(B17,DRAYAGE!$A$1:$C$6,3,FALSE)</f>
        <v>#N/A</v>
      </c>
      <c r="P17" s="40" t="s">
        <v>298</v>
      </c>
      <c r="S17" s="101">
        <f t="shared" si="4"/>
        <v>13500</v>
      </c>
      <c r="T17" s="54">
        <v>15000</v>
      </c>
      <c r="U17" s="103">
        <f t="shared" si="6"/>
        <v>15000</v>
      </c>
      <c r="V17" s="104">
        <f t="shared" si="5"/>
        <v>18990</v>
      </c>
      <c r="X17" s="40">
        <v>0</v>
      </c>
    </row>
    <row r="18" spans="1:29" s="40" customFormat="1" ht="14.45" customHeight="1" x14ac:dyDescent="0.25">
      <c r="A18" s="51" t="s">
        <v>59</v>
      </c>
      <c r="B18" s="51" t="s">
        <v>16</v>
      </c>
      <c r="C18" s="94" t="s">
        <v>54</v>
      </c>
      <c r="D18" s="95" t="s">
        <v>308</v>
      </c>
      <c r="E18" s="96" t="s">
        <v>114</v>
      </c>
      <c r="F18" s="97" t="s">
        <v>270</v>
      </c>
      <c r="G18" s="98" t="e">
        <f t="shared" si="0"/>
        <v>#N/A</v>
      </c>
      <c r="H18" s="99" t="e">
        <f t="shared" si="1"/>
        <v>#N/A</v>
      </c>
      <c r="I18" s="99" t="e">
        <f t="shared" si="2"/>
        <v>#N/A</v>
      </c>
      <c r="J18" s="99" t="e">
        <f t="shared" si="3"/>
        <v>#N/A</v>
      </c>
      <c r="K18" s="57"/>
      <c r="L18" s="100" t="s">
        <v>272</v>
      </c>
      <c r="M18" s="52" t="s">
        <v>292</v>
      </c>
      <c r="N18" s="40">
        <v>0</v>
      </c>
      <c r="O18" s="53" t="e">
        <f>VLOOKUP(B18,DRAYAGE!$A$1:$C$6,3,FALSE)</f>
        <v>#N/A</v>
      </c>
      <c r="P18" s="40" t="s">
        <v>298</v>
      </c>
      <c r="S18" s="101">
        <f t="shared" si="4"/>
        <v>9900</v>
      </c>
      <c r="T18" s="54">
        <v>11000</v>
      </c>
      <c r="U18" s="103">
        <f t="shared" si="6"/>
        <v>11000</v>
      </c>
      <c r="V18" s="104">
        <f t="shared" si="5"/>
        <v>13926</v>
      </c>
      <c r="X18" s="40">
        <v>0</v>
      </c>
    </row>
    <row r="19" spans="1:29" s="40" customFormat="1" ht="18.75" x14ac:dyDescent="0.25">
      <c r="A19" s="51" t="s">
        <v>60</v>
      </c>
      <c r="B19" s="51" t="s">
        <v>16</v>
      </c>
      <c r="C19" s="94" t="s">
        <v>54</v>
      </c>
      <c r="D19" s="95" t="s">
        <v>308</v>
      </c>
      <c r="E19" s="96" t="s">
        <v>114</v>
      </c>
      <c r="F19" s="97" t="s">
        <v>270</v>
      </c>
      <c r="G19" s="98" t="e">
        <f t="shared" si="0"/>
        <v>#N/A</v>
      </c>
      <c r="H19" s="99" t="e">
        <f t="shared" si="1"/>
        <v>#N/A</v>
      </c>
      <c r="I19" s="99" t="e">
        <f t="shared" si="2"/>
        <v>#N/A</v>
      </c>
      <c r="J19" s="99" t="e">
        <f t="shared" si="3"/>
        <v>#N/A</v>
      </c>
      <c r="K19" s="57"/>
      <c r="L19" s="100" t="s">
        <v>272</v>
      </c>
      <c r="M19" s="52" t="s">
        <v>292</v>
      </c>
      <c r="N19" s="40">
        <v>0</v>
      </c>
      <c r="O19" s="53" t="e">
        <f>VLOOKUP(B19,DRAYAGE!$A$1:$C$6,3,FALSE)</f>
        <v>#N/A</v>
      </c>
      <c r="P19" s="40" t="s">
        <v>298</v>
      </c>
      <c r="S19" s="101">
        <f t="shared" si="4"/>
        <v>10800</v>
      </c>
      <c r="T19" s="54">
        <v>12000</v>
      </c>
      <c r="U19" s="103">
        <f t="shared" si="6"/>
        <v>12000</v>
      </c>
      <c r="V19" s="104">
        <f t="shared" si="5"/>
        <v>15192</v>
      </c>
      <c r="X19" s="40">
        <v>0</v>
      </c>
    </row>
    <row r="20" spans="1:29" s="40" customFormat="1" ht="14.45" customHeight="1" x14ac:dyDescent="0.25">
      <c r="A20" s="51" t="s">
        <v>61</v>
      </c>
      <c r="B20" s="51" t="s">
        <v>16</v>
      </c>
      <c r="C20" s="94" t="s">
        <v>54</v>
      </c>
      <c r="D20" s="95" t="s">
        <v>308</v>
      </c>
      <c r="E20" s="96" t="s">
        <v>114</v>
      </c>
      <c r="F20" s="97" t="s">
        <v>270</v>
      </c>
      <c r="G20" s="98" t="e">
        <f t="shared" si="0"/>
        <v>#N/A</v>
      </c>
      <c r="H20" s="99" t="e">
        <f t="shared" si="1"/>
        <v>#N/A</v>
      </c>
      <c r="I20" s="99" t="e">
        <f t="shared" si="2"/>
        <v>#N/A</v>
      </c>
      <c r="J20" s="99" t="e">
        <f t="shared" si="3"/>
        <v>#N/A</v>
      </c>
      <c r="K20" s="57"/>
      <c r="L20" s="100" t="s">
        <v>272</v>
      </c>
      <c r="M20" s="52" t="s">
        <v>292</v>
      </c>
      <c r="N20" s="40">
        <v>0</v>
      </c>
      <c r="O20" s="53" t="e">
        <f>VLOOKUP(B20,DRAYAGE!$A$1:$C$6,3,FALSE)</f>
        <v>#N/A</v>
      </c>
      <c r="P20" s="40" t="s">
        <v>298</v>
      </c>
      <c r="S20" s="101">
        <f t="shared" si="4"/>
        <v>9450</v>
      </c>
      <c r="T20" s="54">
        <v>10500</v>
      </c>
      <c r="U20" s="103">
        <f t="shared" si="6"/>
        <v>10500</v>
      </c>
      <c r="V20" s="104">
        <f t="shared" si="5"/>
        <v>13293</v>
      </c>
      <c r="X20" s="40">
        <v>0</v>
      </c>
    </row>
    <row r="21" spans="1:29" s="45" customFormat="1" ht="14.45" customHeight="1" x14ac:dyDescent="0.25">
      <c r="A21" s="51" t="s">
        <v>276</v>
      </c>
      <c r="B21" s="51" t="s">
        <v>16</v>
      </c>
      <c r="C21" s="106" t="s">
        <v>54</v>
      </c>
      <c r="D21" s="95" t="s">
        <v>308</v>
      </c>
      <c r="E21" s="107" t="s">
        <v>114</v>
      </c>
      <c r="F21" s="108" t="s">
        <v>270</v>
      </c>
      <c r="G21" s="109" t="e">
        <f t="shared" si="0"/>
        <v>#N/A</v>
      </c>
      <c r="H21" s="110" t="e">
        <f t="shared" si="1"/>
        <v>#N/A</v>
      </c>
      <c r="I21" s="110" t="e">
        <f t="shared" si="2"/>
        <v>#N/A</v>
      </c>
      <c r="J21" s="110" t="e">
        <f t="shared" si="3"/>
        <v>#N/A</v>
      </c>
      <c r="K21" s="111"/>
      <c r="L21" s="112" t="s">
        <v>272</v>
      </c>
      <c r="M21" s="52" t="s">
        <v>292</v>
      </c>
      <c r="N21" s="45">
        <v>0</v>
      </c>
      <c r="O21" s="53" t="e">
        <f>VLOOKUP(B21,DRAYAGE!$A$1:$C$6,3,FALSE)</f>
        <v>#N/A</v>
      </c>
      <c r="P21" s="40" t="s">
        <v>298</v>
      </c>
      <c r="S21" s="113">
        <f t="shared" si="4"/>
        <v>10350</v>
      </c>
      <c r="T21" s="54">
        <v>11500</v>
      </c>
      <c r="U21" s="103">
        <f t="shared" si="6"/>
        <v>11500</v>
      </c>
      <c r="V21" s="114">
        <f t="shared" si="5"/>
        <v>14559</v>
      </c>
      <c r="X21" s="45">
        <v>0</v>
      </c>
      <c r="Y21" s="40">
        <f t="shared" ref="Y21:Y28" si="7">0.9*Z21</f>
        <v>135</v>
      </c>
      <c r="Z21" s="45">
        <v>150</v>
      </c>
      <c r="AA21" s="40">
        <f t="shared" ref="AA21:AA28" si="8">Z21</f>
        <v>150</v>
      </c>
      <c r="AB21" s="40">
        <f t="shared" ref="AB21:AB28" si="9">Z21*1.266</f>
        <v>189.9</v>
      </c>
    </row>
    <row r="22" spans="1:29" s="40" customFormat="1" ht="14.45" customHeight="1" x14ac:dyDescent="0.25">
      <c r="A22" s="51" t="s">
        <v>108</v>
      </c>
      <c r="B22" s="51" t="s">
        <v>16</v>
      </c>
      <c r="C22" s="94" t="s">
        <v>54</v>
      </c>
      <c r="D22" s="95" t="s">
        <v>308</v>
      </c>
      <c r="E22" s="96" t="s">
        <v>114</v>
      </c>
      <c r="F22" s="97" t="s">
        <v>270</v>
      </c>
      <c r="G22" s="98" t="e">
        <f t="shared" si="0"/>
        <v>#N/A</v>
      </c>
      <c r="H22" s="99" t="e">
        <f t="shared" si="1"/>
        <v>#N/A</v>
      </c>
      <c r="I22" s="99" t="e">
        <f t="shared" si="2"/>
        <v>#N/A</v>
      </c>
      <c r="J22" s="99" t="e">
        <f t="shared" si="3"/>
        <v>#N/A</v>
      </c>
      <c r="K22" s="57"/>
      <c r="L22" s="100" t="s">
        <v>272</v>
      </c>
      <c r="M22" s="52" t="s">
        <v>292</v>
      </c>
      <c r="N22" s="40">
        <v>0</v>
      </c>
      <c r="O22" s="53" t="e">
        <f>VLOOKUP(B22,DRAYAGE!$A$1:$C$6,3,FALSE)</f>
        <v>#N/A</v>
      </c>
      <c r="P22" s="40" t="s">
        <v>298</v>
      </c>
      <c r="S22" s="101">
        <f t="shared" si="4"/>
        <v>10800</v>
      </c>
      <c r="T22" s="54">
        <v>12000</v>
      </c>
      <c r="U22" s="103">
        <f t="shared" si="6"/>
        <v>12000</v>
      </c>
      <c r="V22" s="104">
        <f t="shared" si="5"/>
        <v>15192</v>
      </c>
      <c r="X22" s="40">
        <v>0</v>
      </c>
    </row>
    <row r="23" spans="1:29" s="40" customFormat="1" ht="14.45" customHeight="1" x14ac:dyDescent="0.25">
      <c r="A23" s="51" t="s">
        <v>62</v>
      </c>
      <c r="B23" s="51" t="s">
        <v>16</v>
      </c>
      <c r="C23" s="94" t="s">
        <v>54</v>
      </c>
      <c r="D23" s="95" t="s">
        <v>308</v>
      </c>
      <c r="E23" s="96" t="s">
        <v>114</v>
      </c>
      <c r="F23" s="97" t="s">
        <v>270</v>
      </c>
      <c r="G23" s="98" t="e">
        <f t="shared" si="0"/>
        <v>#N/A</v>
      </c>
      <c r="H23" s="99" t="e">
        <f t="shared" si="1"/>
        <v>#N/A</v>
      </c>
      <c r="I23" s="99" t="e">
        <f t="shared" si="2"/>
        <v>#N/A</v>
      </c>
      <c r="J23" s="99" t="e">
        <f t="shared" si="3"/>
        <v>#N/A</v>
      </c>
      <c r="K23" s="57"/>
      <c r="L23" s="100" t="s">
        <v>272</v>
      </c>
      <c r="M23" s="52" t="s">
        <v>292</v>
      </c>
      <c r="N23" s="40">
        <v>0</v>
      </c>
      <c r="O23" s="53" t="e">
        <f>VLOOKUP(B23,DRAYAGE!$A$1:$C$6,3,FALSE)</f>
        <v>#N/A</v>
      </c>
      <c r="P23" s="40" t="s">
        <v>298</v>
      </c>
      <c r="S23" s="101">
        <f t="shared" si="4"/>
        <v>13950</v>
      </c>
      <c r="T23" s="54">
        <v>15500</v>
      </c>
      <c r="U23" s="103">
        <f t="shared" si="6"/>
        <v>15500</v>
      </c>
      <c r="V23" s="104">
        <f t="shared" si="5"/>
        <v>19623</v>
      </c>
      <c r="X23" s="40">
        <v>0</v>
      </c>
      <c r="Y23" s="40">
        <f t="shared" si="7"/>
        <v>180</v>
      </c>
      <c r="Z23" s="40">
        <v>200</v>
      </c>
      <c r="AA23" s="40">
        <f t="shared" si="8"/>
        <v>200</v>
      </c>
      <c r="AB23" s="40">
        <f t="shared" si="9"/>
        <v>253.2</v>
      </c>
    </row>
    <row r="24" spans="1:29" s="40" customFormat="1" ht="18.75" x14ac:dyDescent="0.25">
      <c r="A24" s="51" t="s">
        <v>64</v>
      </c>
      <c r="B24" s="51" t="s">
        <v>16</v>
      </c>
      <c r="C24" s="94" t="s">
        <v>54</v>
      </c>
      <c r="D24" s="95" t="s">
        <v>308</v>
      </c>
      <c r="E24" s="96" t="s">
        <v>114</v>
      </c>
      <c r="F24" s="97" t="s">
        <v>270</v>
      </c>
      <c r="G24" s="98" t="e">
        <f t="shared" si="0"/>
        <v>#N/A</v>
      </c>
      <c r="H24" s="99" t="e">
        <f t="shared" si="1"/>
        <v>#N/A</v>
      </c>
      <c r="I24" s="99" t="e">
        <f t="shared" si="2"/>
        <v>#N/A</v>
      </c>
      <c r="J24" s="99" t="e">
        <f t="shared" si="3"/>
        <v>#N/A</v>
      </c>
      <c r="K24" s="57"/>
      <c r="L24" s="100" t="s">
        <v>272</v>
      </c>
      <c r="M24" s="52" t="s">
        <v>292</v>
      </c>
      <c r="N24" s="40">
        <v>0</v>
      </c>
      <c r="O24" s="53" t="e">
        <f>VLOOKUP(B24,DRAYAGE!$A$1:$C$6,3,FALSE)</f>
        <v>#N/A</v>
      </c>
      <c r="P24" s="40" t="s">
        <v>298</v>
      </c>
      <c r="S24" s="101">
        <f t="shared" si="4"/>
        <v>15300</v>
      </c>
      <c r="T24" s="54">
        <v>17000</v>
      </c>
      <c r="U24" s="103">
        <f t="shared" si="6"/>
        <v>17000</v>
      </c>
      <c r="V24" s="104">
        <f t="shared" si="5"/>
        <v>21522</v>
      </c>
      <c r="X24" s="40">
        <v>0</v>
      </c>
    </row>
    <row r="25" spans="1:29" s="40" customFormat="1" ht="14.45" customHeight="1" x14ac:dyDescent="0.25">
      <c r="A25" s="51" t="s">
        <v>66</v>
      </c>
      <c r="B25" s="51" t="s">
        <v>16</v>
      </c>
      <c r="C25" s="94" t="s">
        <v>54</v>
      </c>
      <c r="D25" s="95" t="s">
        <v>308</v>
      </c>
      <c r="E25" s="96" t="s">
        <v>114</v>
      </c>
      <c r="F25" s="97" t="s">
        <v>270</v>
      </c>
      <c r="G25" s="98" t="e">
        <f t="shared" si="0"/>
        <v>#N/A</v>
      </c>
      <c r="H25" s="99" t="e">
        <f t="shared" si="1"/>
        <v>#N/A</v>
      </c>
      <c r="I25" s="99" t="e">
        <f t="shared" si="2"/>
        <v>#N/A</v>
      </c>
      <c r="J25" s="99" t="e">
        <f t="shared" si="3"/>
        <v>#N/A</v>
      </c>
      <c r="K25" s="57"/>
      <c r="L25" s="100" t="s">
        <v>272</v>
      </c>
      <c r="M25" s="52" t="s">
        <v>292</v>
      </c>
      <c r="N25" s="40">
        <v>0</v>
      </c>
      <c r="O25" s="53" t="e">
        <f>VLOOKUP(B25,DRAYAGE!$A$1:$C$6,3,FALSE)</f>
        <v>#N/A</v>
      </c>
      <c r="P25" s="40" t="s">
        <v>298</v>
      </c>
      <c r="S25" s="101">
        <f t="shared" si="4"/>
        <v>10800</v>
      </c>
      <c r="T25" s="54">
        <v>12000</v>
      </c>
      <c r="U25" s="103">
        <f t="shared" si="6"/>
        <v>12000</v>
      </c>
      <c r="V25" s="104">
        <f t="shared" si="5"/>
        <v>15192</v>
      </c>
      <c r="X25" s="40">
        <v>0</v>
      </c>
    </row>
    <row r="26" spans="1:29" s="40" customFormat="1" ht="14.45" customHeight="1" x14ac:dyDescent="0.25">
      <c r="A26" s="51" t="s">
        <v>65</v>
      </c>
      <c r="B26" s="51" t="s">
        <v>16</v>
      </c>
      <c r="C26" s="94" t="s">
        <v>54</v>
      </c>
      <c r="D26" s="95" t="s">
        <v>308</v>
      </c>
      <c r="E26" s="96" t="s">
        <v>114</v>
      </c>
      <c r="F26" s="97" t="s">
        <v>270</v>
      </c>
      <c r="G26" s="98" t="e">
        <f t="shared" si="0"/>
        <v>#N/A</v>
      </c>
      <c r="H26" s="99" t="e">
        <f t="shared" si="1"/>
        <v>#N/A</v>
      </c>
      <c r="I26" s="99" t="e">
        <f t="shared" si="2"/>
        <v>#N/A</v>
      </c>
      <c r="J26" s="99" t="e">
        <f t="shared" si="3"/>
        <v>#N/A</v>
      </c>
      <c r="K26" s="57"/>
      <c r="L26" s="100" t="s">
        <v>272</v>
      </c>
      <c r="M26" s="52" t="s">
        <v>292</v>
      </c>
      <c r="N26" s="40">
        <v>0</v>
      </c>
      <c r="O26" s="53" t="e">
        <f>VLOOKUP(B26,DRAYAGE!$A$1:$C$6,3,FALSE)</f>
        <v>#N/A</v>
      </c>
      <c r="P26" s="40" t="s">
        <v>298</v>
      </c>
      <c r="S26" s="101">
        <f t="shared" si="4"/>
        <v>13950</v>
      </c>
      <c r="T26" s="54">
        <v>15500</v>
      </c>
      <c r="U26" s="103">
        <f t="shared" si="6"/>
        <v>15500</v>
      </c>
      <c r="V26" s="104">
        <f t="shared" si="5"/>
        <v>19623</v>
      </c>
      <c r="X26" s="40">
        <v>0</v>
      </c>
      <c r="Y26" s="40">
        <f t="shared" si="7"/>
        <v>360</v>
      </c>
      <c r="Z26" s="40">
        <v>400</v>
      </c>
      <c r="AA26" s="40">
        <f t="shared" si="8"/>
        <v>400</v>
      </c>
      <c r="AB26" s="40">
        <f t="shared" si="9"/>
        <v>506.4</v>
      </c>
    </row>
    <row r="27" spans="1:29" s="40" customFormat="1" ht="14.45" customHeight="1" x14ac:dyDescent="0.25">
      <c r="A27" s="51" t="s">
        <v>63</v>
      </c>
      <c r="B27" s="51" t="s">
        <v>16</v>
      </c>
      <c r="C27" s="94" t="s">
        <v>54</v>
      </c>
      <c r="D27" s="95" t="s">
        <v>308</v>
      </c>
      <c r="E27" s="96" t="s">
        <v>114</v>
      </c>
      <c r="F27" s="97" t="s">
        <v>270</v>
      </c>
      <c r="G27" s="98" t="e">
        <f t="shared" si="0"/>
        <v>#N/A</v>
      </c>
      <c r="H27" s="99" t="e">
        <f t="shared" si="1"/>
        <v>#N/A</v>
      </c>
      <c r="I27" s="99" t="e">
        <f t="shared" si="2"/>
        <v>#N/A</v>
      </c>
      <c r="J27" s="99" t="e">
        <f t="shared" si="3"/>
        <v>#N/A</v>
      </c>
      <c r="K27" s="57"/>
      <c r="L27" s="100" t="s">
        <v>272</v>
      </c>
      <c r="M27" s="52" t="s">
        <v>292</v>
      </c>
      <c r="N27" s="40">
        <v>0</v>
      </c>
      <c r="O27" s="53" t="e">
        <f>VLOOKUP(B27,DRAYAGE!$A$1:$C$6,3,FALSE)</f>
        <v>#N/A</v>
      </c>
      <c r="P27" s="40" t="s">
        <v>298</v>
      </c>
      <c r="S27" s="101">
        <f t="shared" si="4"/>
        <v>13950</v>
      </c>
      <c r="T27" s="54">
        <v>15500</v>
      </c>
      <c r="U27" s="103">
        <f t="shared" si="6"/>
        <v>15500</v>
      </c>
      <c r="V27" s="104">
        <f t="shared" si="5"/>
        <v>19623</v>
      </c>
      <c r="X27" s="40">
        <v>0</v>
      </c>
      <c r="Y27" s="40">
        <f t="shared" si="7"/>
        <v>135</v>
      </c>
      <c r="Z27" s="40">
        <v>150</v>
      </c>
      <c r="AA27" s="40">
        <f t="shared" si="8"/>
        <v>150</v>
      </c>
      <c r="AB27" s="40">
        <f t="shared" si="9"/>
        <v>189.9</v>
      </c>
    </row>
    <row r="28" spans="1:29" s="45" customFormat="1" ht="14.45" customHeight="1" x14ac:dyDescent="0.25">
      <c r="A28" s="51" t="s">
        <v>275</v>
      </c>
      <c r="B28" s="51" t="s">
        <v>16</v>
      </c>
      <c r="C28" s="106" t="s">
        <v>54</v>
      </c>
      <c r="D28" s="95" t="s">
        <v>308</v>
      </c>
      <c r="E28" s="107" t="s">
        <v>114</v>
      </c>
      <c r="F28" s="108" t="s">
        <v>270</v>
      </c>
      <c r="G28" s="98" t="e">
        <f t="shared" si="0"/>
        <v>#N/A</v>
      </c>
      <c r="H28" s="99" t="e">
        <f t="shared" si="1"/>
        <v>#N/A</v>
      </c>
      <c r="I28" s="99" t="e">
        <f t="shared" si="2"/>
        <v>#N/A</v>
      </c>
      <c r="J28" s="99" t="e">
        <f t="shared" si="3"/>
        <v>#N/A</v>
      </c>
      <c r="K28" s="111"/>
      <c r="L28" s="112" t="s">
        <v>272</v>
      </c>
      <c r="M28" s="52" t="s">
        <v>292</v>
      </c>
      <c r="N28" s="45">
        <v>0</v>
      </c>
      <c r="O28" s="53" t="e">
        <f>VLOOKUP(B28,DRAYAGE!$A$1:$C$6,3,FALSE)</f>
        <v>#N/A</v>
      </c>
      <c r="P28" s="40" t="s">
        <v>298</v>
      </c>
      <c r="R28" s="105"/>
      <c r="S28" s="113">
        <f t="shared" si="4"/>
        <v>13950</v>
      </c>
      <c r="T28" s="54">
        <v>15500</v>
      </c>
      <c r="U28" s="103">
        <f t="shared" si="6"/>
        <v>15500</v>
      </c>
      <c r="V28" s="114">
        <f t="shared" si="5"/>
        <v>19623</v>
      </c>
      <c r="X28" s="45">
        <v>0</v>
      </c>
      <c r="Y28" s="40">
        <f t="shared" si="7"/>
        <v>450</v>
      </c>
      <c r="Z28" s="45">
        <v>500</v>
      </c>
      <c r="AA28" s="40">
        <f t="shared" si="8"/>
        <v>500</v>
      </c>
      <c r="AB28" s="40">
        <f t="shared" si="9"/>
        <v>633</v>
      </c>
    </row>
    <row r="29" spans="1:29" s="40" customFormat="1" ht="14.45" customHeight="1" x14ac:dyDescent="0.25">
      <c r="A29" s="46" t="s">
        <v>83</v>
      </c>
      <c r="B29" s="88"/>
      <c r="C29" s="88"/>
      <c r="D29" s="88"/>
      <c r="E29" s="210"/>
      <c r="F29" s="211"/>
      <c r="G29" s="88"/>
      <c r="H29" s="88"/>
      <c r="I29" s="88"/>
      <c r="J29" s="88"/>
      <c r="K29" s="57"/>
      <c r="L29" s="89" t="s">
        <v>48</v>
      </c>
      <c r="M29" s="89" t="s">
        <v>261</v>
      </c>
      <c r="N29" s="90" t="s">
        <v>51</v>
      </c>
      <c r="O29" s="91" t="s">
        <v>50</v>
      </c>
      <c r="P29" s="91" t="s">
        <v>262</v>
      </c>
      <c r="Q29" s="91" t="s">
        <v>263</v>
      </c>
      <c r="R29" s="91" t="s">
        <v>264</v>
      </c>
      <c r="S29" s="92" t="s">
        <v>52</v>
      </c>
      <c r="T29" s="92">
        <v>0</v>
      </c>
      <c r="U29" s="92" t="s">
        <v>265</v>
      </c>
      <c r="V29" s="92" t="s">
        <v>266</v>
      </c>
      <c r="W29" s="92" t="s">
        <v>267</v>
      </c>
      <c r="X29" s="92" t="s">
        <v>268</v>
      </c>
      <c r="Y29" s="92" t="s">
        <v>52</v>
      </c>
      <c r="Z29" s="92" t="s">
        <v>53</v>
      </c>
      <c r="AA29" s="92" t="s">
        <v>265</v>
      </c>
      <c r="AB29" s="92" t="s">
        <v>266</v>
      </c>
      <c r="AC29" s="93" t="s">
        <v>269</v>
      </c>
    </row>
    <row r="30" spans="1:29" s="40" customFormat="1" ht="14.45" customHeight="1" x14ac:dyDescent="0.25">
      <c r="A30" s="51" t="s">
        <v>58</v>
      </c>
      <c r="B30" s="51" t="s">
        <v>21</v>
      </c>
      <c r="C30" s="94" t="s">
        <v>54</v>
      </c>
      <c r="D30" s="95" t="s">
        <v>308</v>
      </c>
      <c r="E30" s="96" t="s">
        <v>114</v>
      </c>
      <c r="F30" s="97" t="s">
        <v>270</v>
      </c>
      <c r="G30" s="98" t="e">
        <f>CEILING(S30+W30+X30+O30+N30+Y30,10)</f>
        <v>#N/A</v>
      </c>
      <c r="H30" s="99" t="e">
        <f>CEILING(T30+W30+X30+O30+N30+Z30,10)</f>
        <v>#N/A</v>
      </c>
      <c r="I30" s="99" t="e">
        <f>CEILING(U30+W30+X30+O30+N30+AA30,10)</f>
        <v>#N/A</v>
      </c>
      <c r="J30" s="99" t="e">
        <f>CEILING(V30+W30+X30+O30+N30+AB30,10)</f>
        <v>#N/A</v>
      </c>
      <c r="K30" s="57"/>
      <c r="L30" s="100" t="s">
        <v>272</v>
      </c>
      <c r="M30" s="52" t="s">
        <v>293</v>
      </c>
      <c r="N30" s="40">
        <v>0</v>
      </c>
      <c r="O30" s="53" t="e">
        <f>VLOOKUP(B30,DRAYAGE!$A$1:$C$6,3,FALSE)</f>
        <v>#N/A</v>
      </c>
      <c r="P30" s="40" t="s">
        <v>299</v>
      </c>
      <c r="S30" s="101">
        <f>0.9*T30</f>
        <v>17100</v>
      </c>
      <c r="T30" s="54">
        <v>19000</v>
      </c>
      <c r="U30" s="103">
        <f t="shared" si="6"/>
        <v>19000</v>
      </c>
      <c r="V30" s="104">
        <f>U30*1.266</f>
        <v>24054</v>
      </c>
    </row>
    <row r="31" spans="1:29" s="40" customFormat="1" ht="14.45" customHeight="1" x14ac:dyDescent="0.25">
      <c r="A31" s="51" t="s">
        <v>55</v>
      </c>
      <c r="B31" s="51" t="s">
        <v>21</v>
      </c>
      <c r="C31" s="94" t="s">
        <v>54</v>
      </c>
      <c r="D31" s="95" t="s">
        <v>308</v>
      </c>
      <c r="E31" s="96" t="s">
        <v>114</v>
      </c>
      <c r="F31" s="97" t="s">
        <v>270</v>
      </c>
      <c r="G31" s="98" t="e">
        <f>CEILING(S31+W31+X31+O31+N31+Y31,10)</f>
        <v>#N/A</v>
      </c>
      <c r="H31" s="99" t="e">
        <f>CEILING(T31+W31+X31+O31+N31+Z31,10)</f>
        <v>#N/A</v>
      </c>
      <c r="I31" s="99" t="e">
        <f>CEILING(U31+W31+X31+O31+N31+AA31,10)</f>
        <v>#N/A</v>
      </c>
      <c r="J31" s="99" t="e">
        <f>CEILING(V31+W31+X31+O31+N31+AB31,10)</f>
        <v>#N/A</v>
      </c>
      <c r="K31" s="57"/>
      <c r="L31" s="100" t="s">
        <v>272</v>
      </c>
      <c r="M31" s="52" t="s">
        <v>293</v>
      </c>
      <c r="N31" s="40">
        <v>0</v>
      </c>
      <c r="O31" s="53" t="e">
        <f>VLOOKUP(B31,DRAYAGE!$A$1:$C$6,3,FALSE)</f>
        <v>#N/A</v>
      </c>
      <c r="P31" s="40" t="s">
        <v>299</v>
      </c>
      <c r="S31" s="101">
        <f>0.9*T31</f>
        <v>13500</v>
      </c>
      <c r="T31" s="54">
        <v>15000</v>
      </c>
      <c r="U31" s="103">
        <f>T31</f>
        <v>15000</v>
      </c>
      <c r="V31" s="104">
        <f>U31*1.266</f>
        <v>18990</v>
      </c>
    </row>
    <row r="32" spans="1:29" s="40" customFormat="1" ht="14.45" customHeight="1" x14ac:dyDescent="0.25">
      <c r="A32" s="51" t="s">
        <v>61</v>
      </c>
      <c r="B32" s="51" t="s">
        <v>21</v>
      </c>
      <c r="C32" s="94" t="s">
        <v>54</v>
      </c>
      <c r="D32" s="95" t="s">
        <v>308</v>
      </c>
      <c r="E32" s="96" t="s">
        <v>114</v>
      </c>
      <c r="F32" s="97" t="s">
        <v>270</v>
      </c>
      <c r="G32" s="98" t="e">
        <f>CEILING(S32+W32+X32+O32+N32+Y32,10)</f>
        <v>#N/A</v>
      </c>
      <c r="H32" s="99" t="e">
        <f>CEILING(T32+W32+X32+O32+N32+Z32,10)</f>
        <v>#N/A</v>
      </c>
      <c r="I32" s="99" t="e">
        <f>CEILING(U32+W32+X32+O32+N32+AA32,10)</f>
        <v>#N/A</v>
      </c>
      <c r="J32" s="99" t="e">
        <f>CEILING(V32+W32+X32+O32+N32+AB32,10)</f>
        <v>#N/A</v>
      </c>
      <c r="K32" s="57"/>
      <c r="L32" s="100" t="s">
        <v>272</v>
      </c>
      <c r="M32" s="52" t="s">
        <v>293</v>
      </c>
      <c r="N32" s="40">
        <v>0</v>
      </c>
      <c r="O32" s="53" t="e">
        <f>VLOOKUP(B32,DRAYAGE!$A$1:$C$6,3,FALSE)</f>
        <v>#N/A</v>
      </c>
      <c r="P32" s="40" t="s">
        <v>299</v>
      </c>
      <c r="S32" s="101">
        <f>0.9*T32</f>
        <v>12150</v>
      </c>
      <c r="T32" s="54">
        <v>13500</v>
      </c>
      <c r="U32" s="103">
        <f t="shared" si="6"/>
        <v>13500</v>
      </c>
      <c r="V32" s="104">
        <f>U32*1.266</f>
        <v>17091</v>
      </c>
    </row>
    <row r="33" spans="1:29" s="40" customFormat="1" ht="14.45" customHeight="1" x14ac:dyDescent="0.25">
      <c r="A33" s="46" t="s">
        <v>84</v>
      </c>
      <c r="B33" s="88"/>
      <c r="C33" s="88"/>
      <c r="D33" s="88"/>
      <c r="E33" s="210"/>
      <c r="F33" s="211"/>
      <c r="G33" s="88"/>
      <c r="H33" s="88"/>
      <c r="I33" s="88"/>
      <c r="J33" s="88"/>
      <c r="K33" s="57"/>
      <c r="L33" s="89" t="s">
        <v>48</v>
      </c>
      <c r="M33" s="89" t="s">
        <v>261</v>
      </c>
      <c r="N33" s="90" t="s">
        <v>51</v>
      </c>
      <c r="O33" s="91" t="s">
        <v>50</v>
      </c>
      <c r="P33" s="91" t="s">
        <v>262</v>
      </c>
      <c r="Q33" s="91" t="s">
        <v>263</v>
      </c>
      <c r="R33" s="91" t="s">
        <v>264</v>
      </c>
      <c r="S33" s="92" t="s">
        <v>52</v>
      </c>
      <c r="T33" s="92" t="s">
        <v>53</v>
      </c>
      <c r="U33" s="92" t="s">
        <v>265</v>
      </c>
      <c r="V33" s="92" t="s">
        <v>266</v>
      </c>
      <c r="W33" s="92" t="s">
        <v>267</v>
      </c>
      <c r="X33" s="92" t="s">
        <v>268</v>
      </c>
      <c r="Y33" s="92" t="s">
        <v>52</v>
      </c>
      <c r="Z33" s="92" t="s">
        <v>53</v>
      </c>
      <c r="AA33" s="92" t="s">
        <v>265</v>
      </c>
      <c r="AB33" s="92" t="s">
        <v>266</v>
      </c>
      <c r="AC33" s="93" t="s">
        <v>269</v>
      </c>
    </row>
    <row r="34" spans="1:29" s="40" customFormat="1" ht="14.45" customHeight="1" x14ac:dyDescent="0.25">
      <c r="A34" s="51" t="s">
        <v>58</v>
      </c>
      <c r="B34" s="51" t="s">
        <v>22</v>
      </c>
      <c r="C34" s="94" t="s">
        <v>54</v>
      </c>
      <c r="D34" s="95" t="s">
        <v>308</v>
      </c>
      <c r="E34" s="96" t="s">
        <v>114</v>
      </c>
      <c r="F34" s="97" t="s">
        <v>270</v>
      </c>
      <c r="G34" s="98" t="e">
        <f>CEILING(S34+W34+X34+O34+N34+Y34,10)</f>
        <v>#N/A</v>
      </c>
      <c r="H34" s="99" t="e">
        <f>CEILING(T34+W34+X34+O34+N34+Z34,10)</f>
        <v>#N/A</v>
      </c>
      <c r="I34" s="99" t="e">
        <f>CEILING(U34+W34+X34+O34+N34+AA34,10)</f>
        <v>#N/A</v>
      </c>
      <c r="J34" s="99" t="e">
        <f>CEILING(V34+W34+X34+O34+N34+AB34,10)</f>
        <v>#N/A</v>
      </c>
      <c r="K34" s="57"/>
      <c r="L34" s="100" t="s">
        <v>272</v>
      </c>
      <c r="M34" s="52" t="s">
        <v>293</v>
      </c>
      <c r="N34" s="40">
        <v>0</v>
      </c>
      <c r="O34" s="53" t="e">
        <f>VLOOKUP(B34,DRAYAGE!$A$1:$C$6,3,FALSE)</f>
        <v>#N/A</v>
      </c>
      <c r="P34" s="40" t="s">
        <v>299</v>
      </c>
      <c r="S34" s="101">
        <f>0.9*T34</f>
        <v>17100</v>
      </c>
      <c r="T34" s="54">
        <f>T30</f>
        <v>19000</v>
      </c>
      <c r="U34" s="103">
        <f t="shared" si="6"/>
        <v>19000</v>
      </c>
      <c r="V34" s="104">
        <f>U34*1.266</f>
        <v>24054</v>
      </c>
      <c r="X34" s="40">
        <v>0</v>
      </c>
    </row>
    <row r="35" spans="1:29" s="40" customFormat="1" ht="14.45" customHeight="1" x14ac:dyDescent="0.25">
      <c r="A35" s="51" t="s">
        <v>55</v>
      </c>
      <c r="B35" s="51" t="s">
        <v>22</v>
      </c>
      <c r="C35" s="94" t="s">
        <v>54</v>
      </c>
      <c r="D35" s="95" t="s">
        <v>308</v>
      </c>
      <c r="E35" s="96" t="s">
        <v>114</v>
      </c>
      <c r="F35" s="97" t="s">
        <v>270</v>
      </c>
      <c r="G35" s="98" t="e">
        <f>CEILING(S35+W35+X35+O35+N35+Y35,10)</f>
        <v>#N/A</v>
      </c>
      <c r="H35" s="99" t="e">
        <f>CEILING(T35+W35+X35+O35+N35+Z35,10)</f>
        <v>#N/A</v>
      </c>
      <c r="I35" s="99" t="e">
        <f>CEILING(U35+W35+X35+O35+N35+AA35,10)</f>
        <v>#N/A</v>
      </c>
      <c r="J35" s="99" t="e">
        <f>CEILING(V35+W35+X35+O35+N35+AB35,10)</f>
        <v>#N/A</v>
      </c>
      <c r="K35" s="57"/>
      <c r="L35" s="100" t="s">
        <v>272</v>
      </c>
      <c r="M35" s="52" t="s">
        <v>293</v>
      </c>
      <c r="N35" s="40">
        <v>0</v>
      </c>
      <c r="O35" s="53" t="e">
        <f>VLOOKUP(B35,DRAYAGE!$A$1:$C$6,3,FALSE)</f>
        <v>#N/A</v>
      </c>
      <c r="P35" s="40" t="s">
        <v>299</v>
      </c>
      <c r="S35" s="101">
        <f>0.9*T35</f>
        <v>13500</v>
      </c>
      <c r="T35" s="54">
        <f>T31</f>
        <v>15000</v>
      </c>
      <c r="U35" s="103">
        <f>T35</f>
        <v>15000</v>
      </c>
      <c r="V35" s="104">
        <f>U35*1.266</f>
        <v>18990</v>
      </c>
      <c r="X35" s="40">
        <v>0</v>
      </c>
    </row>
    <row r="36" spans="1:29" s="40" customFormat="1" ht="14.45" customHeight="1" x14ac:dyDescent="0.25">
      <c r="A36" s="51" t="s">
        <v>61</v>
      </c>
      <c r="B36" s="51" t="s">
        <v>22</v>
      </c>
      <c r="C36" s="94" t="s">
        <v>54</v>
      </c>
      <c r="D36" s="95" t="s">
        <v>308</v>
      </c>
      <c r="E36" s="96" t="s">
        <v>114</v>
      </c>
      <c r="F36" s="97" t="s">
        <v>270</v>
      </c>
      <c r="G36" s="98" t="e">
        <f>CEILING(S36+W36+X36+O36+N36+Y36,10)</f>
        <v>#N/A</v>
      </c>
      <c r="H36" s="99" t="e">
        <f>CEILING(T36+W36+X36+O36+N36+Z36,10)</f>
        <v>#N/A</v>
      </c>
      <c r="I36" s="99" t="e">
        <f>CEILING(U36+W36+X36+O36+N36+AA36,10)</f>
        <v>#N/A</v>
      </c>
      <c r="J36" s="99" t="e">
        <f>CEILING(V36+W36+X36+O36+N36+AB36,10)</f>
        <v>#N/A</v>
      </c>
      <c r="K36" s="57"/>
      <c r="L36" s="100" t="s">
        <v>272</v>
      </c>
      <c r="M36" s="52" t="s">
        <v>293</v>
      </c>
      <c r="N36" s="40">
        <v>0</v>
      </c>
      <c r="O36" s="53" t="e">
        <f>VLOOKUP(B36,DRAYAGE!$A$1:$C$6,3,FALSE)</f>
        <v>#N/A</v>
      </c>
      <c r="P36" s="40" t="s">
        <v>299</v>
      </c>
      <c r="S36" s="101">
        <f>0.9*T36</f>
        <v>12150</v>
      </c>
      <c r="T36" s="54">
        <f>T32</f>
        <v>13500</v>
      </c>
      <c r="U36" s="103">
        <f t="shared" si="6"/>
        <v>13500</v>
      </c>
      <c r="V36" s="104">
        <f>U36*1.266</f>
        <v>17091</v>
      </c>
      <c r="X36" s="40">
        <v>0</v>
      </c>
    </row>
    <row r="37" spans="1:29" s="40" customFormat="1" ht="14.45" customHeight="1" x14ac:dyDescent="0.25">
      <c r="A37" s="47" t="s">
        <v>85</v>
      </c>
      <c r="B37" s="88"/>
      <c r="C37" s="88"/>
      <c r="D37" s="88"/>
      <c r="E37" s="210"/>
      <c r="F37" s="211"/>
      <c r="G37" s="88"/>
      <c r="H37" s="88"/>
      <c r="I37" s="88"/>
      <c r="J37" s="88"/>
      <c r="K37" s="57"/>
      <c r="L37" s="89" t="s">
        <v>48</v>
      </c>
      <c r="M37" s="89" t="s">
        <v>261</v>
      </c>
      <c r="N37" s="90" t="s">
        <v>51</v>
      </c>
      <c r="O37" s="91" t="s">
        <v>50</v>
      </c>
      <c r="P37" s="91" t="s">
        <v>262</v>
      </c>
      <c r="Q37" s="91" t="s">
        <v>263</v>
      </c>
      <c r="R37" s="91" t="s">
        <v>264</v>
      </c>
      <c r="S37" s="92" t="s">
        <v>52</v>
      </c>
      <c r="T37" s="92" t="s">
        <v>53</v>
      </c>
      <c r="U37" s="92" t="s">
        <v>265</v>
      </c>
      <c r="V37" s="92" t="s">
        <v>266</v>
      </c>
      <c r="W37" s="92" t="s">
        <v>267</v>
      </c>
      <c r="X37" s="92" t="s">
        <v>268</v>
      </c>
      <c r="Y37" s="92" t="s">
        <v>52</v>
      </c>
      <c r="Z37" s="92" t="s">
        <v>53</v>
      </c>
      <c r="AA37" s="92" t="s">
        <v>265</v>
      </c>
      <c r="AB37" s="92" t="s">
        <v>266</v>
      </c>
      <c r="AC37" s="93" t="s">
        <v>269</v>
      </c>
    </row>
    <row r="38" spans="1:29" s="40" customFormat="1" ht="18.75" x14ac:dyDescent="0.25">
      <c r="A38" s="51" t="s">
        <v>81</v>
      </c>
      <c r="B38" s="51" t="s">
        <v>17</v>
      </c>
      <c r="C38" s="94" t="s">
        <v>54</v>
      </c>
      <c r="D38" s="95" t="s">
        <v>308</v>
      </c>
      <c r="E38" s="96" t="s">
        <v>114</v>
      </c>
      <c r="F38" s="97" t="s">
        <v>270</v>
      </c>
      <c r="G38" s="98" t="e">
        <f t="shared" ref="G38:G44" si="10">CEILING(S38+W38+X38+O38+N38+Y38,10)</f>
        <v>#N/A</v>
      </c>
      <c r="H38" s="99" t="e">
        <f t="shared" ref="H38:H44" si="11">CEILING(T38+W38+X38+O38+N38+Z38,10)</f>
        <v>#N/A</v>
      </c>
      <c r="I38" s="99" t="e">
        <f t="shared" ref="I38:I44" si="12">CEILING(U38+W38+X38+O38+N38+AA38,10)</f>
        <v>#N/A</v>
      </c>
      <c r="J38" s="99" t="e">
        <f t="shared" ref="J38:J44" si="13">CEILING(V38+W38+X38+O38+N38+AB38,10)</f>
        <v>#N/A</v>
      </c>
      <c r="K38" s="57"/>
      <c r="L38" s="100" t="s">
        <v>272</v>
      </c>
      <c r="M38" s="52" t="s">
        <v>294</v>
      </c>
      <c r="N38" s="40">
        <v>0</v>
      </c>
      <c r="O38" s="53" t="e">
        <f>VLOOKUP(B38,DRAYAGE!$A$1:$C$6,3,FALSE)</f>
        <v>#N/A</v>
      </c>
      <c r="P38" s="40" t="s">
        <v>300</v>
      </c>
      <c r="S38" s="101">
        <f t="shared" ref="S38:S44" si="14">0.9*T38</f>
        <v>12150</v>
      </c>
      <c r="T38" s="54">
        <v>13500</v>
      </c>
      <c r="U38" s="103">
        <f t="shared" si="6"/>
        <v>13500</v>
      </c>
      <c r="V38" s="104">
        <f t="shared" ref="V38:V44" si="15">U38*1.266</f>
        <v>17091</v>
      </c>
      <c r="X38" s="40">
        <v>0</v>
      </c>
    </row>
    <row r="39" spans="1:29" s="40" customFormat="1" ht="14.45" customHeight="1" x14ac:dyDescent="0.25">
      <c r="A39" s="51" t="s">
        <v>55</v>
      </c>
      <c r="B39" s="51" t="s">
        <v>17</v>
      </c>
      <c r="C39" s="94" t="s">
        <v>54</v>
      </c>
      <c r="D39" s="95" t="s">
        <v>308</v>
      </c>
      <c r="E39" s="96" t="s">
        <v>114</v>
      </c>
      <c r="F39" s="97" t="s">
        <v>270</v>
      </c>
      <c r="G39" s="98" t="e">
        <f t="shared" si="10"/>
        <v>#N/A</v>
      </c>
      <c r="H39" s="99" t="e">
        <f t="shared" si="11"/>
        <v>#N/A</v>
      </c>
      <c r="I39" s="99" t="e">
        <f t="shared" si="12"/>
        <v>#N/A</v>
      </c>
      <c r="J39" s="99" t="e">
        <f t="shared" si="13"/>
        <v>#N/A</v>
      </c>
      <c r="K39" s="57"/>
      <c r="L39" s="100" t="s">
        <v>272</v>
      </c>
      <c r="M39" s="52" t="s">
        <v>294</v>
      </c>
      <c r="N39" s="40">
        <v>0</v>
      </c>
      <c r="O39" s="53" t="e">
        <f>VLOOKUP(B39,DRAYAGE!$A$1:$C$6,3,FALSE)</f>
        <v>#N/A</v>
      </c>
      <c r="P39" s="40" t="s">
        <v>300</v>
      </c>
      <c r="S39" s="101">
        <f t="shared" si="14"/>
        <v>15300</v>
      </c>
      <c r="T39" s="54">
        <v>17000</v>
      </c>
      <c r="U39" s="103">
        <f t="shared" si="6"/>
        <v>17000</v>
      </c>
      <c r="V39" s="104">
        <f t="shared" si="15"/>
        <v>21522</v>
      </c>
      <c r="X39" s="40">
        <v>0</v>
      </c>
    </row>
    <row r="40" spans="1:29" s="40" customFormat="1" ht="14.45" customHeight="1" x14ac:dyDescent="0.25">
      <c r="A40" s="51" t="s">
        <v>59</v>
      </c>
      <c r="B40" s="51" t="s">
        <v>17</v>
      </c>
      <c r="C40" s="94" t="s">
        <v>54</v>
      </c>
      <c r="D40" s="95" t="s">
        <v>308</v>
      </c>
      <c r="E40" s="96" t="s">
        <v>114</v>
      </c>
      <c r="F40" s="97" t="s">
        <v>270</v>
      </c>
      <c r="G40" s="98" t="e">
        <f t="shared" si="10"/>
        <v>#N/A</v>
      </c>
      <c r="H40" s="99" t="e">
        <f t="shared" si="11"/>
        <v>#N/A</v>
      </c>
      <c r="I40" s="99" t="e">
        <f t="shared" si="12"/>
        <v>#N/A</v>
      </c>
      <c r="J40" s="99" t="e">
        <f t="shared" si="13"/>
        <v>#N/A</v>
      </c>
      <c r="K40" s="57"/>
      <c r="L40" s="100" t="s">
        <v>272</v>
      </c>
      <c r="M40" s="52" t="s">
        <v>294</v>
      </c>
      <c r="N40" s="40">
        <v>0</v>
      </c>
      <c r="O40" s="53" t="e">
        <f>VLOOKUP(B40,DRAYAGE!$A$1:$C$6,3,FALSE)</f>
        <v>#N/A</v>
      </c>
      <c r="P40" s="40" t="s">
        <v>300</v>
      </c>
      <c r="S40" s="101">
        <f t="shared" si="14"/>
        <v>11700</v>
      </c>
      <c r="T40" s="54">
        <v>13000</v>
      </c>
      <c r="U40" s="103">
        <f t="shared" si="6"/>
        <v>13000</v>
      </c>
      <c r="V40" s="104">
        <f t="shared" si="15"/>
        <v>16458</v>
      </c>
      <c r="X40" s="40">
        <v>0</v>
      </c>
    </row>
    <row r="41" spans="1:29" s="40" customFormat="1" ht="18.75" x14ac:dyDescent="0.25">
      <c r="A41" s="51" t="s">
        <v>60</v>
      </c>
      <c r="B41" s="51" t="s">
        <v>17</v>
      </c>
      <c r="C41" s="94" t="s">
        <v>54</v>
      </c>
      <c r="D41" s="95" t="s">
        <v>308</v>
      </c>
      <c r="E41" s="96" t="s">
        <v>114</v>
      </c>
      <c r="F41" s="97" t="s">
        <v>270</v>
      </c>
      <c r="G41" s="98" t="e">
        <f t="shared" si="10"/>
        <v>#N/A</v>
      </c>
      <c r="H41" s="99" t="e">
        <f t="shared" si="11"/>
        <v>#N/A</v>
      </c>
      <c r="I41" s="99" t="e">
        <f t="shared" si="12"/>
        <v>#N/A</v>
      </c>
      <c r="J41" s="99" t="e">
        <f t="shared" si="13"/>
        <v>#N/A</v>
      </c>
      <c r="K41" s="57"/>
      <c r="L41" s="100" t="s">
        <v>272</v>
      </c>
      <c r="M41" s="52" t="s">
        <v>294</v>
      </c>
      <c r="N41" s="40">
        <v>0</v>
      </c>
      <c r="O41" s="53" t="e">
        <f>VLOOKUP(B41,DRAYAGE!$A$1:$C$6,3,FALSE)</f>
        <v>#N/A</v>
      </c>
      <c r="P41" s="40" t="s">
        <v>300</v>
      </c>
      <c r="S41" s="101">
        <f t="shared" si="14"/>
        <v>14850</v>
      </c>
      <c r="T41" s="54">
        <v>16500</v>
      </c>
      <c r="U41" s="103">
        <f t="shared" si="6"/>
        <v>16500</v>
      </c>
      <c r="V41" s="104">
        <f t="shared" si="15"/>
        <v>20889</v>
      </c>
      <c r="X41" s="40">
        <v>0</v>
      </c>
    </row>
    <row r="42" spans="1:29" s="45" customFormat="1" ht="14.45" customHeight="1" x14ac:dyDescent="0.25">
      <c r="A42" s="51" t="s">
        <v>61</v>
      </c>
      <c r="B42" s="51" t="s">
        <v>17</v>
      </c>
      <c r="C42" s="106" t="s">
        <v>54</v>
      </c>
      <c r="D42" s="95" t="s">
        <v>308</v>
      </c>
      <c r="E42" s="107" t="s">
        <v>114</v>
      </c>
      <c r="F42" s="108" t="s">
        <v>270</v>
      </c>
      <c r="G42" s="109" t="e">
        <f t="shared" si="10"/>
        <v>#N/A</v>
      </c>
      <c r="H42" s="110" t="e">
        <f t="shared" si="11"/>
        <v>#N/A</v>
      </c>
      <c r="I42" s="110" t="e">
        <f t="shared" si="12"/>
        <v>#N/A</v>
      </c>
      <c r="J42" s="110" t="e">
        <f t="shared" si="13"/>
        <v>#N/A</v>
      </c>
      <c r="K42" s="111"/>
      <c r="L42" s="112" t="s">
        <v>272</v>
      </c>
      <c r="M42" s="52" t="s">
        <v>294</v>
      </c>
      <c r="N42" s="45">
        <v>0</v>
      </c>
      <c r="O42" s="53" t="e">
        <f>VLOOKUP(B42,DRAYAGE!$A$1:$C$6,3,FALSE)</f>
        <v>#N/A</v>
      </c>
      <c r="P42" s="40" t="s">
        <v>300</v>
      </c>
      <c r="R42" s="40"/>
      <c r="S42" s="113">
        <f t="shared" si="14"/>
        <v>12150</v>
      </c>
      <c r="T42" s="54">
        <v>13500</v>
      </c>
      <c r="U42" s="103">
        <f t="shared" si="6"/>
        <v>13500</v>
      </c>
      <c r="V42" s="114">
        <f t="shared" si="15"/>
        <v>17091</v>
      </c>
      <c r="X42" s="45">
        <v>0</v>
      </c>
      <c r="Y42" s="40"/>
      <c r="Z42" s="40"/>
      <c r="AA42" s="40"/>
      <c r="AB42" s="40"/>
    </row>
    <row r="43" spans="1:29" s="40" customFormat="1" ht="18.75" x14ac:dyDescent="0.25">
      <c r="A43" s="51" t="s">
        <v>273</v>
      </c>
      <c r="B43" s="51" t="s">
        <v>17</v>
      </c>
      <c r="C43" s="94" t="s">
        <v>54</v>
      </c>
      <c r="D43" s="95" t="s">
        <v>308</v>
      </c>
      <c r="E43" s="96" t="s">
        <v>114</v>
      </c>
      <c r="F43" s="97" t="s">
        <v>270</v>
      </c>
      <c r="G43" s="98" t="e">
        <f t="shared" si="10"/>
        <v>#N/A</v>
      </c>
      <c r="H43" s="99" t="e">
        <f t="shared" si="11"/>
        <v>#N/A</v>
      </c>
      <c r="I43" s="99" t="e">
        <f t="shared" si="12"/>
        <v>#N/A</v>
      </c>
      <c r="J43" s="99" t="e">
        <f t="shared" si="13"/>
        <v>#N/A</v>
      </c>
      <c r="K43" s="57"/>
      <c r="L43" s="100" t="s">
        <v>272</v>
      </c>
      <c r="M43" s="52" t="s">
        <v>294</v>
      </c>
      <c r="N43" s="40">
        <v>0</v>
      </c>
      <c r="O43" s="53" t="e">
        <f>VLOOKUP(B43,DRAYAGE!$A$1:$C$6,3,FALSE)</f>
        <v>#N/A</v>
      </c>
      <c r="P43" s="40" t="s">
        <v>300</v>
      </c>
      <c r="S43" s="101">
        <f t="shared" si="14"/>
        <v>17550</v>
      </c>
      <c r="T43" s="54">
        <v>19500</v>
      </c>
      <c r="U43" s="103">
        <f t="shared" si="6"/>
        <v>19500</v>
      </c>
      <c r="V43" s="104">
        <f t="shared" si="15"/>
        <v>24687</v>
      </c>
      <c r="X43" s="40">
        <v>0</v>
      </c>
    </row>
    <row r="44" spans="1:29" s="40" customFormat="1" ht="14.45" customHeight="1" x14ac:dyDescent="0.25">
      <c r="A44" s="51" t="s">
        <v>58</v>
      </c>
      <c r="B44" s="51" t="s">
        <v>17</v>
      </c>
      <c r="C44" s="94" t="s">
        <v>54</v>
      </c>
      <c r="D44" s="126" t="s">
        <v>290</v>
      </c>
      <c r="E44" s="96" t="s">
        <v>114</v>
      </c>
      <c r="F44" s="97" t="s">
        <v>270</v>
      </c>
      <c r="G44" s="98" t="e">
        <f t="shared" si="10"/>
        <v>#N/A</v>
      </c>
      <c r="H44" s="99" t="e">
        <f t="shared" si="11"/>
        <v>#N/A</v>
      </c>
      <c r="I44" s="99" t="e">
        <f t="shared" si="12"/>
        <v>#N/A</v>
      </c>
      <c r="J44" s="99" t="e">
        <f t="shared" si="13"/>
        <v>#N/A</v>
      </c>
      <c r="K44" s="57"/>
      <c r="L44" s="100" t="s">
        <v>272</v>
      </c>
      <c r="M44" s="52" t="s">
        <v>294</v>
      </c>
      <c r="N44" s="40">
        <v>0</v>
      </c>
      <c r="O44" s="53" t="e">
        <f>VLOOKUP(B44,DRAYAGE!$A$1:$C$6,3,FALSE)</f>
        <v>#N/A</v>
      </c>
      <c r="P44" s="40" t="s">
        <v>298</v>
      </c>
      <c r="S44" s="101">
        <f t="shared" si="14"/>
        <v>22950</v>
      </c>
      <c r="T44" s="54">
        <v>25500</v>
      </c>
      <c r="U44" s="103">
        <f t="shared" si="6"/>
        <v>25500</v>
      </c>
      <c r="V44" s="104">
        <f t="shared" si="15"/>
        <v>32283</v>
      </c>
      <c r="X44" s="40">
        <v>0</v>
      </c>
    </row>
    <row r="45" spans="1:29" s="40" customFormat="1" ht="14.45" customHeight="1" x14ac:dyDescent="0.25">
      <c r="A45" s="46" t="s">
        <v>98</v>
      </c>
      <c r="B45" s="88"/>
      <c r="C45" s="88"/>
      <c r="D45" s="88"/>
      <c r="E45" s="210"/>
      <c r="F45" s="211"/>
      <c r="G45" s="88"/>
      <c r="H45" s="88"/>
      <c r="I45" s="88"/>
      <c r="J45" s="88"/>
      <c r="K45" s="57"/>
      <c r="L45" s="89" t="s">
        <v>48</v>
      </c>
      <c r="M45" s="89" t="s">
        <v>261</v>
      </c>
      <c r="N45" s="90" t="s">
        <v>51</v>
      </c>
      <c r="O45" s="91" t="s">
        <v>50</v>
      </c>
      <c r="P45" s="91" t="s">
        <v>262</v>
      </c>
      <c r="Q45" s="91" t="s">
        <v>263</v>
      </c>
      <c r="R45" s="92" t="s">
        <v>52</v>
      </c>
      <c r="S45" s="92" t="s">
        <v>52</v>
      </c>
      <c r="T45" s="92" t="s">
        <v>53</v>
      </c>
      <c r="U45" s="92" t="s">
        <v>265</v>
      </c>
      <c r="V45" s="92" t="s">
        <v>266</v>
      </c>
      <c r="W45" s="92" t="s">
        <v>267</v>
      </c>
      <c r="X45" s="92" t="s">
        <v>268</v>
      </c>
      <c r="Y45" s="92" t="s">
        <v>52</v>
      </c>
      <c r="Z45" s="92" t="s">
        <v>53</v>
      </c>
      <c r="AA45" s="92" t="s">
        <v>265</v>
      </c>
      <c r="AB45" s="92" t="s">
        <v>266</v>
      </c>
      <c r="AC45" s="93" t="s">
        <v>269</v>
      </c>
    </row>
    <row r="46" spans="1:29" s="40" customFormat="1" ht="14.45" customHeight="1" x14ac:dyDescent="0.25">
      <c r="A46" s="51" t="s">
        <v>331</v>
      </c>
      <c r="B46" s="51" t="s">
        <v>106</v>
      </c>
      <c r="C46" s="94" t="s">
        <v>54</v>
      </c>
      <c r="D46" s="95" t="s">
        <v>308</v>
      </c>
      <c r="E46" s="96" t="s">
        <v>114</v>
      </c>
      <c r="F46" s="97" t="s">
        <v>270</v>
      </c>
      <c r="G46" s="98">
        <f>CEILING(S46+W46+X46+O46+N46+Y46,10)</f>
        <v>14950</v>
      </c>
      <c r="H46" s="99">
        <f>CEILING(T46+W46+X46+O46+N46+Z46,10)</f>
        <v>16300</v>
      </c>
      <c r="I46" s="99">
        <f>CEILING(U46+W46+X46+O46+N46+AA46,10)</f>
        <v>16300</v>
      </c>
      <c r="J46" s="99">
        <f>CEILING(V46+W46+X46+O46+N46+AB46,10)</f>
        <v>19900</v>
      </c>
      <c r="K46" s="57"/>
      <c r="L46" s="100" t="s">
        <v>272</v>
      </c>
      <c r="M46" s="52" t="s">
        <v>293</v>
      </c>
      <c r="N46" s="40">
        <v>0</v>
      </c>
      <c r="O46" s="53">
        <v>2800</v>
      </c>
      <c r="P46" s="40" t="s">
        <v>302</v>
      </c>
      <c r="R46" s="101">
        <v>19800</v>
      </c>
      <c r="S46" s="101">
        <f>0.9*T46</f>
        <v>12150</v>
      </c>
      <c r="T46" s="54">
        <v>13500</v>
      </c>
      <c r="U46" s="103">
        <f>T46</f>
        <v>13500</v>
      </c>
      <c r="V46" s="104">
        <f>U46*1.266</f>
        <v>17091</v>
      </c>
      <c r="W46" s="40">
        <v>0</v>
      </c>
    </row>
    <row r="47" spans="1:29" s="40" customFormat="1" ht="14.45" customHeight="1" x14ac:dyDescent="0.25">
      <c r="A47" s="51" t="s">
        <v>322</v>
      </c>
      <c r="B47" s="51" t="s">
        <v>106</v>
      </c>
      <c r="C47" s="94" t="s">
        <v>54</v>
      </c>
      <c r="D47" s="126" t="s">
        <v>315</v>
      </c>
      <c r="E47" s="96" t="s">
        <v>114</v>
      </c>
      <c r="F47" s="97" t="s">
        <v>270</v>
      </c>
      <c r="G47" s="98">
        <f>CEILING(S47+W47+X47+O47+N47+Y47,10)</f>
        <v>23500</v>
      </c>
      <c r="H47" s="99">
        <f>CEILING(T47+W47+X47+O47+N47+Z47,10)</f>
        <v>25800</v>
      </c>
      <c r="I47" s="99">
        <f>CEILING(U47+W47+X47+O47+N47+AA47,10)</f>
        <v>25800</v>
      </c>
      <c r="J47" s="99">
        <f>CEILING(V47+W47+X47+O47+N47+AB47,10)</f>
        <v>31920</v>
      </c>
      <c r="K47" s="57"/>
      <c r="L47" s="100" t="s">
        <v>272</v>
      </c>
      <c r="M47" s="52" t="s">
        <v>293</v>
      </c>
      <c r="N47" s="40">
        <v>0</v>
      </c>
      <c r="O47" s="53">
        <v>2800</v>
      </c>
      <c r="P47" s="40" t="s">
        <v>302</v>
      </c>
      <c r="R47" s="101">
        <v>19800</v>
      </c>
      <c r="S47" s="101">
        <f>0.9*T47</f>
        <v>20700</v>
      </c>
      <c r="T47" s="54">
        <v>23000</v>
      </c>
      <c r="U47" s="103">
        <f>T47</f>
        <v>23000</v>
      </c>
      <c r="V47" s="104">
        <f>U47*1.266</f>
        <v>29118</v>
      </c>
      <c r="W47" s="40">
        <v>0</v>
      </c>
    </row>
    <row r="48" spans="1:29" s="40" customFormat="1" ht="14.45" customHeight="1" x14ac:dyDescent="0.25">
      <c r="A48" s="51" t="s">
        <v>330</v>
      </c>
      <c r="B48" s="51" t="s">
        <v>106</v>
      </c>
      <c r="C48" s="94" t="s">
        <v>54</v>
      </c>
      <c r="D48" s="95" t="s">
        <v>308</v>
      </c>
      <c r="E48" s="96" t="s">
        <v>114</v>
      </c>
      <c r="F48" s="97" t="s">
        <v>270</v>
      </c>
      <c r="G48" s="98">
        <f>CEILING(S48+W48+X48+O48+N48+Y48,10)</f>
        <v>16300</v>
      </c>
      <c r="H48" s="99">
        <f>CEILING(T48+W48+X48+O48+N48+Z48,10)</f>
        <v>17800</v>
      </c>
      <c r="I48" s="99">
        <f>CEILING(U48+W48+X48+O48+N48+AA48,10)</f>
        <v>17800</v>
      </c>
      <c r="J48" s="99">
        <f>CEILING(V48+W48+X48+O48+N48+AB48,10)</f>
        <v>21790</v>
      </c>
      <c r="K48" s="57"/>
      <c r="L48" s="100" t="s">
        <v>272</v>
      </c>
      <c r="M48" s="52" t="s">
        <v>293</v>
      </c>
      <c r="N48" s="40">
        <v>0</v>
      </c>
      <c r="O48" s="53">
        <v>2800</v>
      </c>
      <c r="P48" s="40" t="s">
        <v>302</v>
      </c>
      <c r="R48" s="101">
        <v>19800</v>
      </c>
      <c r="S48" s="101">
        <f>0.9*T48</f>
        <v>13500</v>
      </c>
      <c r="T48" s="54">
        <v>15000</v>
      </c>
      <c r="U48" s="103">
        <f>T48</f>
        <v>15000</v>
      </c>
      <c r="V48" s="104">
        <f>U48*1.266</f>
        <v>18990</v>
      </c>
      <c r="W48" s="40">
        <v>0</v>
      </c>
    </row>
    <row r="49" spans="1:29" s="40" customFormat="1" ht="14.45" customHeight="1" x14ac:dyDescent="0.25">
      <c r="A49" s="47" t="s">
        <v>323</v>
      </c>
      <c r="B49" s="88"/>
      <c r="C49" s="88"/>
      <c r="D49" s="88"/>
      <c r="E49" s="210"/>
      <c r="F49" s="211"/>
      <c r="G49" s="88"/>
      <c r="H49" s="88"/>
      <c r="I49" s="88"/>
      <c r="J49" s="88"/>
      <c r="K49" s="57"/>
      <c r="L49" s="89" t="s">
        <v>324</v>
      </c>
      <c r="M49" s="89" t="s">
        <v>261</v>
      </c>
      <c r="N49" s="90" t="s">
        <v>51</v>
      </c>
      <c r="O49" s="91" t="s">
        <v>50</v>
      </c>
      <c r="P49" s="91" t="s">
        <v>262</v>
      </c>
      <c r="Q49" s="91" t="s">
        <v>263</v>
      </c>
      <c r="R49" s="92" t="s">
        <v>52</v>
      </c>
      <c r="S49" s="92" t="s">
        <v>52</v>
      </c>
      <c r="T49" s="92" t="s">
        <v>53</v>
      </c>
      <c r="U49" s="92" t="s">
        <v>265</v>
      </c>
      <c r="V49" s="92" t="s">
        <v>266</v>
      </c>
      <c r="W49" s="92" t="s">
        <v>267</v>
      </c>
      <c r="X49" s="92" t="s">
        <v>268</v>
      </c>
      <c r="Y49" s="92" t="s">
        <v>52</v>
      </c>
      <c r="Z49" s="92" t="s">
        <v>53</v>
      </c>
      <c r="AA49" s="92" t="s">
        <v>265</v>
      </c>
      <c r="AB49" s="92" t="s">
        <v>266</v>
      </c>
      <c r="AC49" s="93" t="s">
        <v>269</v>
      </c>
    </row>
    <row r="50" spans="1:29" s="40" customFormat="1" ht="14.45" customHeight="1" x14ac:dyDescent="0.25">
      <c r="A50" s="51" t="s">
        <v>326</v>
      </c>
      <c r="B50" s="56" t="s">
        <v>103</v>
      </c>
      <c r="C50" s="94" t="s">
        <v>54</v>
      </c>
      <c r="D50" s="95" t="s">
        <v>308</v>
      </c>
      <c r="E50" s="96" t="s">
        <v>114</v>
      </c>
      <c r="F50" s="97" t="s">
        <v>270</v>
      </c>
      <c r="G50" s="98">
        <v>18510</v>
      </c>
      <c r="H50" s="99">
        <v>20510</v>
      </c>
      <c r="I50" s="99">
        <v>20510</v>
      </c>
      <c r="J50" s="99">
        <v>25830</v>
      </c>
      <c r="K50" s="57"/>
      <c r="L50" s="100" t="s">
        <v>272</v>
      </c>
      <c r="M50" s="52" t="s">
        <v>295</v>
      </c>
      <c r="N50" s="40">
        <v>0</v>
      </c>
      <c r="O50" s="53">
        <v>504</v>
      </c>
      <c r="P50" s="40" t="s">
        <v>325</v>
      </c>
      <c r="R50" s="101">
        <v>18000</v>
      </c>
      <c r="S50" s="101">
        <f>0.9*T50</f>
        <v>18900</v>
      </c>
      <c r="T50" s="54">
        <v>21000</v>
      </c>
      <c r="U50" s="103">
        <f>T50</f>
        <v>21000</v>
      </c>
      <c r="V50" s="104">
        <f>U50*1.266</f>
        <v>26586</v>
      </c>
      <c r="W50" s="40">
        <v>0</v>
      </c>
    </row>
    <row r="51" spans="1:29" s="40" customFormat="1" ht="14.45" customHeight="1" x14ac:dyDescent="0.25">
      <c r="A51" s="51" t="s">
        <v>327</v>
      </c>
      <c r="B51" s="56" t="s">
        <v>103</v>
      </c>
      <c r="C51" s="94" t="s">
        <v>54</v>
      </c>
      <c r="D51" s="95" t="s">
        <v>308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00" t="s">
        <v>272</v>
      </c>
      <c r="M51" s="52" t="s">
        <v>295</v>
      </c>
      <c r="N51" s="40">
        <v>0</v>
      </c>
      <c r="O51" s="53">
        <v>504</v>
      </c>
      <c r="P51" s="40" t="s">
        <v>325</v>
      </c>
      <c r="R51" s="101">
        <v>18000</v>
      </c>
      <c r="S51" s="101">
        <f>0.9*T51</f>
        <v>14400</v>
      </c>
      <c r="T51" s="54">
        <v>16000</v>
      </c>
      <c r="U51" s="103">
        <f>T51</f>
        <v>16000</v>
      </c>
      <c r="V51" s="104">
        <f>U51*1.266</f>
        <v>20256</v>
      </c>
      <c r="W51" s="40">
        <v>0</v>
      </c>
    </row>
    <row r="52" spans="1:29" s="40" customFormat="1" ht="14.45" customHeight="1" x14ac:dyDescent="0.25">
      <c r="A52" s="51" t="s">
        <v>328</v>
      </c>
      <c r="B52" s="56" t="s">
        <v>103</v>
      </c>
      <c r="C52" s="94" t="s">
        <v>54</v>
      </c>
      <c r="D52" s="95" t="s">
        <v>308</v>
      </c>
      <c r="E52" s="96" t="s">
        <v>114</v>
      </c>
      <c r="F52" s="97" t="s">
        <v>270</v>
      </c>
      <c r="G52" s="98">
        <v>18510</v>
      </c>
      <c r="H52" s="99">
        <v>20510</v>
      </c>
      <c r="I52" s="99">
        <v>20510</v>
      </c>
      <c r="J52" s="99">
        <v>25830</v>
      </c>
      <c r="K52" s="57"/>
      <c r="L52" s="100" t="s">
        <v>272</v>
      </c>
      <c r="M52" s="52" t="s">
        <v>295</v>
      </c>
      <c r="N52" s="40">
        <v>0</v>
      </c>
      <c r="O52" s="53">
        <v>504</v>
      </c>
      <c r="P52" s="40" t="s">
        <v>325</v>
      </c>
      <c r="R52" s="101">
        <v>18000</v>
      </c>
      <c r="S52" s="101">
        <f>0.9*T52</f>
        <v>18900</v>
      </c>
      <c r="T52" s="54">
        <v>21000</v>
      </c>
      <c r="U52" s="103">
        <f>T52</f>
        <v>21000</v>
      </c>
      <c r="V52" s="104">
        <f>U52*1.266</f>
        <v>26586</v>
      </c>
      <c r="W52" s="40">
        <v>0</v>
      </c>
    </row>
    <row r="53" spans="1:29" s="40" customFormat="1" ht="14.45" customHeight="1" x14ac:dyDescent="0.25">
      <c r="A53" s="47" t="s">
        <v>86</v>
      </c>
      <c r="B53" s="88"/>
      <c r="C53" s="88"/>
      <c r="D53" s="88"/>
      <c r="E53" s="210"/>
      <c r="F53" s="211"/>
      <c r="G53" s="88"/>
      <c r="H53" s="88"/>
      <c r="I53" s="88"/>
      <c r="J53" s="88"/>
      <c r="K53" s="57"/>
      <c r="L53" s="89" t="s">
        <v>48</v>
      </c>
      <c r="M53" s="89" t="s">
        <v>261</v>
      </c>
      <c r="N53" s="90" t="s">
        <v>51</v>
      </c>
      <c r="O53" s="91" t="s">
        <v>50</v>
      </c>
      <c r="P53" s="91" t="s">
        <v>262</v>
      </c>
      <c r="Q53" s="91" t="s">
        <v>263</v>
      </c>
      <c r="R53" s="91" t="s">
        <v>264</v>
      </c>
      <c r="S53" s="92" t="s">
        <v>52</v>
      </c>
      <c r="T53" s="92" t="s">
        <v>53</v>
      </c>
      <c r="U53" s="92" t="s">
        <v>265</v>
      </c>
      <c r="V53" s="92" t="s">
        <v>266</v>
      </c>
      <c r="W53" s="92" t="s">
        <v>267</v>
      </c>
      <c r="X53" s="92" t="s">
        <v>268</v>
      </c>
      <c r="Y53" s="92" t="s">
        <v>52</v>
      </c>
      <c r="Z53" s="92" t="s">
        <v>53</v>
      </c>
      <c r="AA53" s="92" t="s">
        <v>265</v>
      </c>
      <c r="AB53" s="92" t="s">
        <v>266</v>
      </c>
      <c r="AC53" s="93" t="s">
        <v>269</v>
      </c>
    </row>
    <row r="54" spans="1:29" s="40" customFormat="1" ht="18.75" x14ac:dyDescent="0.25">
      <c r="A54" s="51" t="s">
        <v>81</v>
      </c>
      <c r="B54" s="56" t="s">
        <v>19</v>
      </c>
      <c r="C54" s="94" t="s">
        <v>54</v>
      </c>
      <c r="D54" s="95" t="s">
        <v>308</v>
      </c>
      <c r="E54" s="96" t="s">
        <v>114</v>
      </c>
      <c r="F54" s="97" t="s">
        <v>270</v>
      </c>
      <c r="G54" s="98" t="e">
        <f t="shared" ref="G54:G59" si="16">CEILING(S54+W54+X54+O54+N54+Y54,10)</f>
        <v>#N/A</v>
      </c>
      <c r="H54" s="99" t="e">
        <f t="shared" ref="H54:H59" si="17">CEILING(T54+W54+X54+O54+N54+Z54,10)</f>
        <v>#N/A</v>
      </c>
      <c r="I54" s="99" t="e">
        <f t="shared" ref="I54:I59" si="18">CEILING(U54+W54+X54+O54+N54+AA54,10)</f>
        <v>#N/A</v>
      </c>
      <c r="J54" s="99" t="e">
        <f t="shared" ref="J54:J59" si="19">CEILING(V54+W54+X54+O54+N54+AB54,10)</f>
        <v>#N/A</v>
      </c>
      <c r="K54" s="57"/>
      <c r="L54" s="100" t="s">
        <v>272</v>
      </c>
      <c r="M54" s="52" t="s">
        <v>294</v>
      </c>
      <c r="N54" s="40">
        <v>0</v>
      </c>
      <c r="O54" s="53" t="e">
        <f>VLOOKUP(B54,DRAYAGE!$A$1:$C$6,3,FALSE)</f>
        <v>#N/A</v>
      </c>
      <c r="P54" s="40" t="s">
        <v>301</v>
      </c>
      <c r="S54" s="101">
        <f t="shared" ref="S54:S59" si="20">0.9*T54</f>
        <v>12150</v>
      </c>
      <c r="T54" s="54">
        <f t="shared" ref="T54:T59" si="21">T38</f>
        <v>13500</v>
      </c>
      <c r="U54" s="103">
        <f t="shared" si="6"/>
        <v>13500</v>
      </c>
      <c r="V54" s="104">
        <f t="shared" ref="V54:V59" si="22">U54*1.266</f>
        <v>17091</v>
      </c>
      <c r="X54" s="40">
        <v>0</v>
      </c>
    </row>
    <row r="55" spans="1:29" s="40" customFormat="1" ht="14.45" customHeight="1" x14ac:dyDescent="0.25">
      <c r="A55" s="51" t="s">
        <v>55</v>
      </c>
      <c r="B55" s="56" t="s">
        <v>19</v>
      </c>
      <c r="C55" s="94" t="s">
        <v>54</v>
      </c>
      <c r="D55" s="95" t="s">
        <v>308</v>
      </c>
      <c r="E55" s="96" t="s">
        <v>114</v>
      </c>
      <c r="F55" s="97" t="s">
        <v>270</v>
      </c>
      <c r="G55" s="98" t="e">
        <f t="shared" si="16"/>
        <v>#N/A</v>
      </c>
      <c r="H55" s="99" t="e">
        <f t="shared" si="17"/>
        <v>#N/A</v>
      </c>
      <c r="I55" s="99" t="e">
        <f t="shared" si="18"/>
        <v>#N/A</v>
      </c>
      <c r="J55" s="99" t="e">
        <f t="shared" si="19"/>
        <v>#N/A</v>
      </c>
      <c r="K55" s="57"/>
      <c r="L55" s="100" t="s">
        <v>272</v>
      </c>
      <c r="M55" s="52" t="s">
        <v>294</v>
      </c>
      <c r="N55" s="40">
        <v>0</v>
      </c>
      <c r="O55" s="53" t="e">
        <f>VLOOKUP(B55,DRAYAGE!$A$1:$C$6,3,FALSE)</f>
        <v>#N/A</v>
      </c>
      <c r="P55" s="40" t="s">
        <v>301</v>
      </c>
      <c r="S55" s="101">
        <f t="shared" si="20"/>
        <v>15300</v>
      </c>
      <c r="T55" s="54">
        <f t="shared" si="21"/>
        <v>17000</v>
      </c>
      <c r="U55" s="103">
        <f t="shared" si="6"/>
        <v>17000</v>
      </c>
      <c r="V55" s="104">
        <f t="shared" si="22"/>
        <v>21522</v>
      </c>
      <c r="X55" s="40">
        <v>0</v>
      </c>
    </row>
    <row r="56" spans="1:29" s="40" customFormat="1" ht="14.45" customHeight="1" x14ac:dyDescent="0.25">
      <c r="A56" s="51" t="s">
        <v>59</v>
      </c>
      <c r="B56" s="56" t="s">
        <v>19</v>
      </c>
      <c r="C56" s="94" t="s">
        <v>54</v>
      </c>
      <c r="D56" s="95" t="s">
        <v>308</v>
      </c>
      <c r="E56" s="96" t="s">
        <v>114</v>
      </c>
      <c r="F56" s="97" t="s">
        <v>270</v>
      </c>
      <c r="G56" s="98" t="e">
        <f t="shared" si="16"/>
        <v>#N/A</v>
      </c>
      <c r="H56" s="99" t="e">
        <f t="shared" si="17"/>
        <v>#N/A</v>
      </c>
      <c r="I56" s="99" t="e">
        <f t="shared" si="18"/>
        <v>#N/A</v>
      </c>
      <c r="J56" s="99" t="e">
        <f t="shared" si="19"/>
        <v>#N/A</v>
      </c>
      <c r="K56" s="57"/>
      <c r="L56" s="100" t="s">
        <v>272</v>
      </c>
      <c r="M56" s="52" t="s">
        <v>294</v>
      </c>
      <c r="N56" s="40">
        <v>0</v>
      </c>
      <c r="O56" s="53" t="e">
        <f>VLOOKUP(B56,DRAYAGE!$A$1:$C$6,3,FALSE)</f>
        <v>#N/A</v>
      </c>
      <c r="P56" s="40" t="s">
        <v>301</v>
      </c>
      <c r="S56" s="101">
        <f t="shared" si="20"/>
        <v>11700</v>
      </c>
      <c r="T56" s="54">
        <f t="shared" si="21"/>
        <v>13000</v>
      </c>
      <c r="U56" s="103">
        <f t="shared" si="6"/>
        <v>13000</v>
      </c>
      <c r="V56" s="104">
        <f t="shared" si="22"/>
        <v>16458</v>
      </c>
      <c r="X56" s="40">
        <v>0</v>
      </c>
    </row>
    <row r="57" spans="1:29" s="40" customFormat="1" ht="18.75" x14ac:dyDescent="0.25">
      <c r="A57" s="51" t="s">
        <v>60</v>
      </c>
      <c r="B57" s="56" t="s">
        <v>19</v>
      </c>
      <c r="C57" s="94" t="s">
        <v>54</v>
      </c>
      <c r="D57" s="95" t="s">
        <v>308</v>
      </c>
      <c r="E57" s="96" t="s">
        <v>114</v>
      </c>
      <c r="F57" s="97" t="s">
        <v>270</v>
      </c>
      <c r="G57" s="98" t="e">
        <f t="shared" si="16"/>
        <v>#N/A</v>
      </c>
      <c r="H57" s="99" t="e">
        <f t="shared" si="17"/>
        <v>#N/A</v>
      </c>
      <c r="I57" s="99" t="e">
        <f t="shared" si="18"/>
        <v>#N/A</v>
      </c>
      <c r="J57" s="99" t="e">
        <f t="shared" si="19"/>
        <v>#N/A</v>
      </c>
      <c r="K57" s="57"/>
      <c r="L57" s="100" t="s">
        <v>272</v>
      </c>
      <c r="M57" s="52" t="s">
        <v>294</v>
      </c>
      <c r="N57" s="40">
        <v>0</v>
      </c>
      <c r="O57" s="53" t="e">
        <f>VLOOKUP(B57,DRAYAGE!$A$1:$C$6,3,FALSE)</f>
        <v>#N/A</v>
      </c>
      <c r="P57" s="40" t="s">
        <v>301</v>
      </c>
      <c r="S57" s="101">
        <f t="shared" si="20"/>
        <v>14850</v>
      </c>
      <c r="T57" s="54">
        <f t="shared" si="21"/>
        <v>16500</v>
      </c>
      <c r="U57" s="103">
        <f t="shared" si="6"/>
        <v>16500</v>
      </c>
      <c r="V57" s="104">
        <f t="shared" si="22"/>
        <v>20889</v>
      </c>
      <c r="X57" s="40">
        <v>0</v>
      </c>
    </row>
    <row r="58" spans="1:29" s="40" customFormat="1" ht="14.45" customHeight="1" x14ac:dyDescent="0.25">
      <c r="A58" s="51" t="s">
        <v>61</v>
      </c>
      <c r="B58" s="56" t="s">
        <v>19</v>
      </c>
      <c r="C58" s="94" t="s">
        <v>54</v>
      </c>
      <c r="D58" s="95" t="s">
        <v>308</v>
      </c>
      <c r="E58" s="96" t="s">
        <v>114</v>
      </c>
      <c r="F58" s="97" t="s">
        <v>270</v>
      </c>
      <c r="G58" s="98" t="e">
        <f t="shared" si="16"/>
        <v>#N/A</v>
      </c>
      <c r="H58" s="99" t="e">
        <f t="shared" si="17"/>
        <v>#N/A</v>
      </c>
      <c r="I58" s="99" t="e">
        <f t="shared" si="18"/>
        <v>#N/A</v>
      </c>
      <c r="J58" s="99" t="e">
        <f t="shared" si="19"/>
        <v>#N/A</v>
      </c>
      <c r="K58" s="57"/>
      <c r="L58" s="100" t="s">
        <v>272</v>
      </c>
      <c r="M58" s="52" t="s">
        <v>294</v>
      </c>
      <c r="N58" s="40">
        <v>0</v>
      </c>
      <c r="O58" s="53" t="e">
        <f>VLOOKUP(B58,DRAYAGE!$A$1:$C$6,3,FALSE)</f>
        <v>#N/A</v>
      </c>
      <c r="P58" s="40" t="s">
        <v>301</v>
      </c>
      <c r="S58" s="101">
        <f t="shared" si="20"/>
        <v>12150</v>
      </c>
      <c r="T58" s="54">
        <f t="shared" si="21"/>
        <v>13500</v>
      </c>
      <c r="U58" s="103">
        <f t="shared" si="6"/>
        <v>13500</v>
      </c>
      <c r="V58" s="104">
        <f t="shared" si="22"/>
        <v>17091</v>
      </c>
      <c r="X58" s="40">
        <v>0</v>
      </c>
    </row>
    <row r="59" spans="1:29" s="40" customFormat="1" ht="18.75" x14ac:dyDescent="0.25">
      <c r="A59" s="51" t="s">
        <v>273</v>
      </c>
      <c r="B59" s="56" t="s">
        <v>19</v>
      </c>
      <c r="C59" s="94" t="s">
        <v>54</v>
      </c>
      <c r="D59" s="95" t="s">
        <v>308</v>
      </c>
      <c r="E59" s="96" t="s">
        <v>114</v>
      </c>
      <c r="F59" s="97" t="s">
        <v>270</v>
      </c>
      <c r="G59" s="98" t="e">
        <f t="shared" si="16"/>
        <v>#N/A</v>
      </c>
      <c r="H59" s="99" t="e">
        <f t="shared" si="17"/>
        <v>#N/A</v>
      </c>
      <c r="I59" s="99" t="e">
        <f t="shared" si="18"/>
        <v>#N/A</v>
      </c>
      <c r="J59" s="99" t="e">
        <f t="shared" si="19"/>
        <v>#N/A</v>
      </c>
      <c r="K59" s="57"/>
      <c r="L59" s="100" t="s">
        <v>272</v>
      </c>
      <c r="M59" s="52" t="s">
        <v>294</v>
      </c>
      <c r="N59" s="40">
        <v>0</v>
      </c>
      <c r="O59" s="53" t="e">
        <f>VLOOKUP(B59,DRAYAGE!$A$1:$C$6,3,FALSE)</f>
        <v>#N/A</v>
      </c>
      <c r="P59" s="40" t="s">
        <v>301</v>
      </c>
      <c r="S59" s="101">
        <f t="shared" si="20"/>
        <v>17550</v>
      </c>
      <c r="T59" s="54">
        <f t="shared" si="21"/>
        <v>19500</v>
      </c>
      <c r="U59" s="103">
        <f t="shared" si="6"/>
        <v>19500</v>
      </c>
      <c r="V59" s="104">
        <f t="shared" si="22"/>
        <v>24687</v>
      </c>
      <c r="X59" s="40">
        <v>0</v>
      </c>
    </row>
    <row r="60" spans="1:29" s="40" customFormat="1" ht="14.45" customHeight="1" x14ac:dyDescent="0.25">
      <c r="A60" s="212" t="s">
        <v>271</v>
      </c>
      <c r="B60" s="212"/>
      <c r="C60" s="212"/>
      <c r="D60" s="212"/>
      <c r="E60" s="212"/>
      <c r="F60" s="212"/>
      <c r="G60" s="212"/>
      <c r="H60" s="212"/>
      <c r="I60" s="212"/>
      <c r="J60" s="212"/>
      <c r="K60" s="57"/>
      <c r="L60" s="100"/>
      <c r="M60" s="100"/>
      <c r="S60" s="101"/>
      <c r="T60" s="102"/>
      <c r="U60" s="103"/>
      <c r="V60" s="104"/>
    </row>
    <row r="61" spans="1:29" s="32" customFormat="1" ht="12.75" x14ac:dyDescent="0.2">
      <c r="A61" s="31"/>
      <c r="B61" s="33"/>
      <c r="C61" s="33"/>
      <c r="D61" s="33"/>
      <c r="E61" s="33"/>
      <c r="F61" s="34"/>
      <c r="G61" s="34"/>
      <c r="H61" s="34"/>
      <c r="I61" s="35"/>
      <c r="J61" s="29"/>
      <c r="K61" s="29"/>
      <c r="L61" s="27"/>
      <c r="M61" s="27"/>
      <c r="N61" s="30"/>
      <c r="O61" s="30"/>
      <c r="P61" s="30"/>
      <c r="Q61" s="30"/>
      <c r="R61" s="30"/>
      <c r="S61" s="28"/>
      <c r="T61" s="28"/>
      <c r="U61" s="28"/>
      <c r="V61" s="28"/>
      <c r="W61" s="28"/>
    </row>
    <row r="62" spans="1:29" s="37" customFormat="1" ht="14.45" customHeight="1" x14ac:dyDescent="0.25">
      <c r="A62" s="180" t="s">
        <v>111</v>
      </c>
      <c r="B62" s="180"/>
      <c r="C62" s="180"/>
      <c r="D62" s="180"/>
      <c r="E62" s="180"/>
      <c r="F62" s="180"/>
      <c r="G62" s="180"/>
      <c r="H62" s="180"/>
      <c r="I62" s="180"/>
      <c r="J62" s="180"/>
      <c r="K62" s="57"/>
    </row>
    <row r="63" spans="1:29" s="37" customFormat="1" ht="14.45" customHeight="1" x14ac:dyDescent="0.25">
      <c r="A63" s="208" t="s">
        <v>112</v>
      </c>
      <c r="B63" s="208"/>
      <c r="C63" s="208"/>
      <c r="D63" s="208"/>
      <c r="E63" s="208"/>
      <c r="F63" s="208"/>
      <c r="G63" s="208"/>
      <c r="H63" s="208"/>
      <c r="I63" s="208"/>
      <c r="J63" s="208"/>
      <c r="K63" s="57"/>
    </row>
    <row r="64" spans="1:29" s="37" customFormat="1" ht="14.45" customHeight="1" x14ac:dyDescent="0.25">
      <c r="A64" s="186" t="s">
        <v>67</v>
      </c>
      <c r="B64" s="186"/>
      <c r="C64" s="186"/>
      <c r="D64" s="186"/>
      <c r="E64" s="186" t="s">
        <v>68</v>
      </c>
      <c r="F64" s="186"/>
      <c r="G64" s="186"/>
      <c r="H64" s="186"/>
      <c r="I64" s="186"/>
      <c r="J64" s="186"/>
      <c r="K64" s="57"/>
      <c r="L64" s="209" t="s">
        <v>113</v>
      </c>
      <c r="M64" s="209"/>
      <c r="N64" s="209"/>
      <c r="O64" s="209"/>
      <c r="P64" s="209"/>
      <c r="Q64" s="209"/>
    </row>
    <row r="65" spans="1:17" s="37" customFormat="1" ht="14.45" customHeight="1" x14ac:dyDescent="0.25">
      <c r="A65" s="196" t="s">
        <v>69</v>
      </c>
      <c r="B65" s="196"/>
      <c r="C65" s="196"/>
      <c r="D65" s="196"/>
      <c r="E65" s="58" t="s">
        <v>114</v>
      </c>
      <c r="F65" s="196" t="s">
        <v>70</v>
      </c>
      <c r="G65" s="196"/>
      <c r="H65" s="196"/>
      <c r="I65" s="196"/>
      <c r="J65" s="196"/>
      <c r="K65" s="57"/>
      <c r="L65" s="197" t="s">
        <v>115</v>
      </c>
      <c r="M65" s="197"/>
      <c r="N65" s="197"/>
      <c r="O65" s="197"/>
      <c r="P65" s="197"/>
      <c r="Q65" s="197"/>
    </row>
    <row r="66" spans="1:17" s="37" customFormat="1" ht="14.45" customHeight="1" x14ac:dyDescent="0.25">
      <c r="A66" s="196" t="s">
        <v>71</v>
      </c>
      <c r="B66" s="196"/>
      <c r="C66" s="196"/>
      <c r="D66" s="201"/>
      <c r="E66" s="58" t="s">
        <v>114</v>
      </c>
      <c r="F66" s="196" t="s">
        <v>116</v>
      </c>
      <c r="G66" s="196"/>
      <c r="H66" s="196"/>
      <c r="I66" s="196"/>
      <c r="J66" s="196"/>
      <c r="K66" s="57"/>
      <c r="L66" s="197"/>
      <c r="M66" s="197"/>
      <c r="N66" s="197"/>
      <c r="O66" s="197"/>
      <c r="P66" s="197"/>
      <c r="Q66" s="197"/>
    </row>
    <row r="67" spans="1:17" s="37" customFormat="1" ht="14.45" customHeight="1" x14ac:dyDescent="0.25">
      <c r="A67" s="196" t="s">
        <v>117</v>
      </c>
      <c r="B67" s="196"/>
      <c r="C67" s="196"/>
      <c r="D67" s="201"/>
      <c r="E67" s="58" t="s">
        <v>114</v>
      </c>
      <c r="F67" s="196" t="s">
        <v>306</v>
      </c>
      <c r="G67" s="196"/>
      <c r="H67" s="196"/>
      <c r="I67" s="196"/>
      <c r="J67" s="196"/>
      <c r="K67" s="57"/>
      <c r="L67" s="59" t="s">
        <v>118</v>
      </c>
      <c r="M67" s="129"/>
      <c r="N67" s="129"/>
      <c r="O67" s="129"/>
      <c r="P67" s="129"/>
      <c r="Q67" s="129"/>
    </row>
    <row r="68" spans="1:17" s="37" customFormat="1" ht="14.45" customHeight="1" x14ac:dyDescent="0.25">
      <c r="A68" s="196" t="s">
        <v>303</v>
      </c>
      <c r="B68" s="196"/>
      <c r="C68" s="196"/>
      <c r="D68" s="201"/>
      <c r="E68" s="58" t="s">
        <v>114</v>
      </c>
      <c r="F68" s="196" t="s">
        <v>304</v>
      </c>
      <c r="G68" s="196"/>
      <c r="H68" s="196"/>
      <c r="I68" s="196"/>
      <c r="J68" s="196"/>
      <c r="K68" s="57"/>
      <c r="L68" s="59" t="s">
        <v>118</v>
      </c>
      <c r="M68" s="129"/>
      <c r="N68" s="129"/>
      <c r="O68" s="129"/>
      <c r="P68" s="129"/>
      <c r="Q68" s="129"/>
    </row>
    <row r="69" spans="1:17" s="37" customFormat="1" ht="40.5" customHeight="1" x14ac:dyDescent="0.25">
      <c r="A69" s="229" t="s">
        <v>309</v>
      </c>
      <c r="B69" s="229"/>
      <c r="C69" s="229"/>
      <c r="D69" s="198"/>
      <c r="E69" s="131" t="s">
        <v>114</v>
      </c>
      <c r="F69" s="229" t="s">
        <v>310</v>
      </c>
      <c r="G69" s="229"/>
      <c r="H69" s="229"/>
      <c r="I69" s="229"/>
      <c r="J69" s="229"/>
      <c r="K69" s="132"/>
      <c r="L69" s="59" t="s">
        <v>118</v>
      </c>
      <c r="M69" s="129"/>
      <c r="N69" s="129"/>
      <c r="O69" s="129"/>
      <c r="P69" s="129"/>
      <c r="Q69" s="129"/>
    </row>
    <row r="70" spans="1:17" s="37" customFormat="1" ht="14.45" customHeight="1" x14ac:dyDescent="0.25">
      <c r="A70" s="196" t="s">
        <v>119</v>
      </c>
      <c r="B70" s="196"/>
      <c r="C70" s="196"/>
      <c r="D70" s="196"/>
      <c r="E70" s="58" t="s">
        <v>114</v>
      </c>
      <c r="F70" s="196" t="s">
        <v>120</v>
      </c>
      <c r="G70" s="196"/>
      <c r="H70" s="196"/>
      <c r="I70" s="196"/>
      <c r="J70" s="196"/>
      <c r="K70" s="132"/>
      <c r="L70" s="197" t="s">
        <v>121</v>
      </c>
      <c r="M70" s="197"/>
      <c r="N70" s="197"/>
      <c r="O70" s="197"/>
      <c r="P70" s="197"/>
      <c r="Q70" s="197"/>
    </row>
    <row r="71" spans="1:17" s="37" customFormat="1" ht="14.45" customHeight="1" x14ac:dyDescent="0.25">
      <c r="A71" s="196" t="s">
        <v>122</v>
      </c>
      <c r="B71" s="196"/>
      <c r="C71" s="196"/>
      <c r="D71" s="196"/>
      <c r="E71" s="58" t="s">
        <v>114</v>
      </c>
      <c r="F71" s="196" t="s">
        <v>123</v>
      </c>
      <c r="G71" s="196"/>
      <c r="H71" s="196"/>
      <c r="I71" s="196"/>
      <c r="J71" s="196"/>
      <c r="K71" s="132"/>
      <c r="L71" s="197"/>
      <c r="M71" s="197"/>
      <c r="N71" s="197"/>
      <c r="O71" s="197"/>
      <c r="P71" s="197"/>
      <c r="Q71" s="197"/>
    </row>
    <row r="72" spans="1:17" s="37" customFormat="1" ht="14.45" customHeight="1" x14ac:dyDescent="0.25">
      <c r="A72" s="196" t="s">
        <v>277</v>
      </c>
      <c r="B72" s="196"/>
      <c r="C72" s="196"/>
      <c r="D72" s="196"/>
      <c r="E72" s="58" t="s">
        <v>114</v>
      </c>
      <c r="F72" s="196" t="s">
        <v>278</v>
      </c>
      <c r="G72" s="196"/>
      <c r="H72" s="196"/>
      <c r="I72" s="196"/>
      <c r="J72" s="196"/>
      <c r="K72" s="132"/>
      <c r="L72" s="197"/>
      <c r="M72" s="197"/>
      <c r="N72" s="197"/>
      <c r="O72" s="197"/>
      <c r="P72" s="197"/>
      <c r="Q72" s="197"/>
    </row>
    <row r="73" spans="1:17" s="37" customFormat="1" ht="14.45" customHeight="1" x14ac:dyDescent="0.25">
      <c r="A73" s="196" t="s">
        <v>124</v>
      </c>
      <c r="B73" s="196"/>
      <c r="C73" s="196"/>
      <c r="D73" s="196"/>
      <c r="E73" s="58" t="s">
        <v>114</v>
      </c>
      <c r="F73" s="196" t="s">
        <v>125</v>
      </c>
      <c r="G73" s="196"/>
      <c r="H73" s="196"/>
      <c r="I73" s="196"/>
      <c r="J73" s="196"/>
      <c r="K73" s="132"/>
      <c r="L73" s="197"/>
      <c r="M73" s="197"/>
      <c r="N73" s="197"/>
      <c r="O73" s="197"/>
      <c r="P73" s="197"/>
      <c r="Q73" s="197"/>
    </row>
    <row r="74" spans="1:17" s="37" customFormat="1" ht="14.45" customHeight="1" x14ac:dyDescent="0.25">
      <c r="A74" s="196" t="s">
        <v>126</v>
      </c>
      <c r="B74" s="196"/>
      <c r="C74" s="196"/>
      <c r="D74" s="201"/>
      <c r="E74" s="58" t="s">
        <v>127</v>
      </c>
      <c r="F74" s="128" t="s">
        <v>128</v>
      </c>
      <c r="G74" s="185" t="s">
        <v>129</v>
      </c>
      <c r="H74" s="185"/>
      <c r="I74" s="185"/>
      <c r="J74" s="185"/>
      <c r="K74" s="132"/>
      <c r="L74" s="197" t="s">
        <v>130</v>
      </c>
      <c r="M74" s="197"/>
      <c r="N74" s="197"/>
      <c r="O74" s="197"/>
      <c r="P74" s="197"/>
      <c r="Q74" s="197"/>
    </row>
    <row r="75" spans="1:17" s="37" customFormat="1" ht="14.45" customHeight="1" x14ac:dyDescent="0.25">
      <c r="A75" s="196" t="s">
        <v>126</v>
      </c>
      <c r="B75" s="196"/>
      <c r="C75" s="196"/>
      <c r="D75" s="196"/>
      <c r="E75" s="58" t="s">
        <v>127</v>
      </c>
      <c r="F75" s="128" t="s">
        <v>131</v>
      </c>
      <c r="G75" s="185" t="s">
        <v>132</v>
      </c>
      <c r="H75" s="185"/>
      <c r="I75" s="185"/>
      <c r="J75" s="185"/>
      <c r="K75" s="132"/>
      <c r="L75" s="197" t="s">
        <v>130</v>
      </c>
      <c r="M75" s="197"/>
      <c r="N75" s="197"/>
      <c r="O75" s="197"/>
      <c r="P75" s="197"/>
      <c r="Q75" s="197"/>
    </row>
    <row r="76" spans="1:17" s="37" customFormat="1" ht="37.5" customHeight="1" x14ac:dyDescent="0.25">
      <c r="A76" s="198" t="s">
        <v>311</v>
      </c>
      <c r="B76" s="199"/>
      <c r="C76" s="199"/>
      <c r="D76" s="200"/>
      <c r="E76" s="198" t="s">
        <v>312</v>
      </c>
      <c r="F76" s="199"/>
      <c r="G76" s="199"/>
      <c r="H76" s="199"/>
      <c r="I76" s="199"/>
      <c r="J76" s="200"/>
      <c r="K76" s="132"/>
      <c r="L76" s="197"/>
      <c r="M76" s="197"/>
      <c r="N76" s="197"/>
      <c r="O76" s="197"/>
      <c r="P76" s="197"/>
      <c r="Q76" s="197"/>
    </row>
    <row r="77" spans="1:17" s="37" customFormat="1" ht="14.45" customHeight="1" x14ac:dyDescent="0.25">
      <c r="A77" s="180" t="s">
        <v>133</v>
      </c>
      <c r="B77" s="180"/>
      <c r="C77" s="180"/>
      <c r="D77" s="180"/>
      <c r="E77" s="180"/>
      <c r="F77" s="180"/>
      <c r="G77" s="180"/>
      <c r="H77" s="180"/>
      <c r="I77" s="180"/>
      <c r="J77" s="180"/>
      <c r="K77" s="57"/>
      <c r="L77" s="129"/>
      <c r="M77" s="129"/>
    </row>
    <row r="78" spans="1:17" s="37" customFormat="1" ht="14.45" customHeight="1" x14ac:dyDescent="0.2">
      <c r="A78" s="60" t="s">
        <v>134</v>
      </c>
      <c r="B78" s="60" t="s">
        <v>135</v>
      </c>
      <c r="C78" s="60" t="s">
        <v>136</v>
      </c>
      <c r="D78" s="193" t="s">
        <v>137</v>
      </c>
      <c r="E78" s="194"/>
      <c r="F78" s="195"/>
      <c r="G78" s="61" t="s">
        <v>138</v>
      </c>
      <c r="H78" s="60" t="s">
        <v>139</v>
      </c>
      <c r="I78" s="61" t="s">
        <v>140</v>
      </c>
      <c r="J78" s="61" t="s">
        <v>141</v>
      </c>
      <c r="K78" s="57"/>
      <c r="L78" s="129"/>
      <c r="M78" s="129"/>
    </row>
    <row r="79" spans="1:17" s="37" customFormat="1" ht="14.45" customHeight="1" x14ac:dyDescent="0.2">
      <c r="A79" s="62" t="s">
        <v>142</v>
      </c>
      <c r="B79" s="62" t="s">
        <v>49</v>
      </c>
      <c r="C79" s="62" t="s">
        <v>143</v>
      </c>
      <c r="D79" s="187" t="s">
        <v>144</v>
      </c>
      <c r="E79" s="188"/>
      <c r="F79" s="189"/>
      <c r="G79" s="63">
        <v>50</v>
      </c>
      <c r="H79" s="62" t="s">
        <v>145</v>
      </c>
      <c r="I79" s="63">
        <v>150</v>
      </c>
      <c r="J79" s="63" t="s">
        <v>110</v>
      </c>
      <c r="K79" s="57"/>
      <c r="L79" s="129"/>
      <c r="M79" s="129"/>
    </row>
    <row r="80" spans="1:17" s="37" customFormat="1" ht="14.45" customHeight="1" x14ac:dyDescent="0.2">
      <c r="A80" s="62" t="s">
        <v>142</v>
      </c>
      <c r="B80" s="62" t="s">
        <v>146</v>
      </c>
      <c r="C80" s="62" t="s">
        <v>147</v>
      </c>
      <c r="D80" s="187" t="s">
        <v>148</v>
      </c>
      <c r="E80" s="188"/>
      <c r="F80" s="189"/>
      <c r="G80" s="63">
        <v>3</v>
      </c>
      <c r="H80" s="62" t="s">
        <v>149</v>
      </c>
      <c r="I80" s="63">
        <v>3</v>
      </c>
      <c r="J80" s="63" t="s">
        <v>110</v>
      </c>
      <c r="K80" s="57"/>
      <c r="L80" s="129"/>
      <c r="M80" s="129"/>
    </row>
    <row r="81" spans="1:13" s="37" customFormat="1" ht="14.45" customHeight="1" x14ac:dyDescent="0.2">
      <c r="A81" s="62" t="s">
        <v>150</v>
      </c>
      <c r="B81" s="62" t="s">
        <v>146</v>
      </c>
      <c r="C81" s="62" t="s">
        <v>147</v>
      </c>
      <c r="D81" s="187" t="s">
        <v>151</v>
      </c>
      <c r="E81" s="188"/>
      <c r="F81" s="189"/>
      <c r="G81" s="63">
        <v>3</v>
      </c>
      <c r="H81" s="62" t="s">
        <v>152</v>
      </c>
      <c r="I81" s="63">
        <v>3</v>
      </c>
      <c r="J81" s="63" t="s">
        <v>110</v>
      </c>
      <c r="K81" s="57"/>
      <c r="L81" s="129"/>
      <c r="M81" s="129"/>
    </row>
    <row r="82" spans="1:13" s="37" customFormat="1" ht="14.45" customHeight="1" x14ac:dyDescent="0.2">
      <c r="A82" s="62" t="s">
        <v>173</v>
      </c>
      <c r="B82" s="62" t="s">
        <v>49</v>
      </c>
      <c r="C82" s="62" t="s">
        <v>143</v>
      </c>
      <c r="D82" s="187" t="s">
        <v>313</v>
      </c>
      <c r="E82" s="188"/>
      <c r="F82" s="189"/>
      <c r="G82" s="66">
        <v>75</v>
      </c>
      <c r="H82" s="62" t="s">
        <v>145</v>
      </c>
      <c r="I82" s="66">
        <f>75*3</f>
        <v>225</v>
      </c>
      <c r="J82" s="66" t="s">
        <v>314</v>
      </c>
      <c r="K82" s="132"/>
      <c r="L82" s="129"/>
      <c r="M82" s="129"/>
    </row>
    <row r="83" spans="1:13" s="37" customFormat="1" ht="14.45" customHeight="1" x14ac:dyDescent="0.2">
      <c r="A83" s="62" t="s">
        <v>142</v>
      </c>
      <c r="B83" s="62" t="s">
        <v>49</v>
      </c>
      <c r="C83" s="62" t="s">
        <v>143</v>
      </c>
      <c r="D83" s="187" t="s">
        <v>279</v>
      </c>
      <c r="E83" s="188"/>
      <c r="F83" s="189"/>
      <c r="G83" s="63">
        <v>150</v>
      </c>
      <c r="H83" s="62" t="s">
        <v>280</v>
      </c>
      <c r="I83" s="63" t="s">
        <v>153</v>
      </c>
      <c r="J83" s="63" t="s">
        <v>110</v>
      </c>
      <c r="K83" s="57"/>
      <c r="L83" s="129"/>
      <c r="M83" s="129"/>
    </row>
    <row r="84" spans="1:13" s="37" customFormat="1" ht="14.45" customHeight="1" x14ac:dyDescent="0.2">
      <c r="A84" s="62" t="s">
        <v>154</v>
      </c>
      <c r="B84" s="62" t="s">
        <v>49</v>
      </c>
      <c r="C84" s="62" t="s">
        <v>143</v>
      </c>
      <c r="D84" s="187" t="s">
        <v>155</v>
      </c>
      <c r="E84" s="188"/>
      <c r="F84" s="189"/>
      <c r="G84" s="63">
        <v>250</v>
      </c>
      <c r="H84" s="62" t="s">
        <v>49</v>
      </c>
      <c r="I84" s="63" t="s">
        <v>153</v>
      </c>
      <c r="J84" s="63" t="s">
        <v>110</v>
      </c>
      <c r="K84" s="57"/>
      <c r="L84" s="129"/>
      <c r="M84" s="129"/>
    </row>
    <row r="85" spans="1:13" s="37" customFormat="1" ht="14.45" customHeight="1" x14ac:dyDescent="0.2">
      <c r="A85" s="65" t="s">
        <v>156</v>
      </c>
      <c r="B85" s="65" t="s">
        <v>49</v>
      </c>
      <c r="C85" s="65" t="s">
        <v>143</v>
      </c>
      <c r="D85" s="187" t="s">
        <v>157</v>
      </c>
      <c r="E85" s="188"/>
      <c r="F85" s="189"/>
      <c r="G85" s="63">
        <v>250</v>
      </c>
      <c r="H85" s="62" t="s">
        <v>49</v>
      </c>
      <c r="I85" s="63" t="s">
        <v>153</v>
      </c>
      <c r="J85" s="63" t="s">
        <v>110</v>
      </c>
      <c r="K85" s="57"/>
      <c r="L85" s="129"/>
      <c r="M85" s="129"/>
    </row>
    <row r="86" spans="1:13" s="37" customFormat="1" ht="14.45" customHeight="1" x14ac:dyDescent="0.2">
      <c r="A86" s="62" t="s">
        <v>142</v>
      </c>
      <c r="B86" s="62" t="s">
        <v>49</v>
      </c>
      <c r="C86" s="62" t="s">
        <v>143</v>
      </c>
      <c r="D86" s="187" t="s">
        <v>281</v>
      </c>
      <c r="E86" s="188"/>
      <c r="F86" s="189"/>
      <c r="G86" s="63">
        <v>200</v>
      </c>
      <c r="H86" s="62" t="s">
        <v>280</v>
      </c>
      <c r="I86" s="63" t="s">
        <v>153</v>
      </c>
      <c r="J86" s="63" t="s">
        <v>110</v>
      </c>
      <c r="K86" s="57"/>
      <c r="L86" s="129"/>
      <c r="M86" s="129"/>
    </row>
    <row r="87" spans="1:13" s="37" customFormat="1" ht="14.45" customHeight="1" x14ac:dyDescent="0.2">
      <c r="A87" s="62" t="s">
        <v>142</v>
      </c>
      <c r="B87" s="62" t="s">
        <v>49</v>
      </c>
      <c r="C87" s="62" t="s">
        <v>143</v>
      </c>
      <c r="D87" s="187" t="s">
        <v>158</v>
      </c>
      <c r="E87" s="188"/>
      <c r="F87" s="189"/>
      <c r="G87" s="66">
        <v>150</v>
      </c>
      <c r="H87" s="62" t="s">
        <v>49</v>
      </c>
      <c r="I87" s="66" t="s">
        <v>153</v>
      </c>
      <c r="J87" s="63" t="s">
        <v>110</v>
      </c>
      <c r="K87" s="57"/>
      <c r="L87" s="129"/>
      <c r="M87" s="129"/>
    </row>
    <row r="88" spans="1:13" s="37" customFormat="1" ht="14.45" customHeight="1" x14ac:dyDescent="0.2">
      <c r="A88" s="62" t="s">
        <v>150</v>
      </c>
      <c r="B88" s="67" t="s">
        <v>49</v>
      </c>
      <c r="C88" s="62" t="s">
        <v>143</v>
      </c>
      <c r="D88" s="187" t="s">
        <v>159</v>
      </c>
      <c r="E88" s="188"/>
      <c r="F88" s="189"/>
      <c r="G88" s="68">
        <v>180</v>
      </c>
      <c r="H88" s="67" t="s">
        <v>49</v>
      </c>
      <c r="I88" s="68" t="s">
        <v>153</v>
      </c>
      <c r="J88" s="63" t="s">
        <v>110</v>
      </c>
      <c r="K88" s="57"/>
      <c r="L88" s="129"/>
      <c r="M88" s="129"/>
    </row>
    <row r="89" spans="1:13" s="37" customFormat="1" ht="14.45" customHeight="1" x14ac:dyDescent="0.2">
      <c r="A89" s="62" t="s">
        <v>160</v>
      </c>
      <c r="B89" s="67" t="s">
        <v>49</v>
      </c>
      <c r="C89" s="62" t="s">
        <v>143</v>
      </c>
      <c r="D89" s="187" t="s">
        <v>161</v>
      </c>
      <c r="E89" s="188"/>
      <c r="F89" s="189"/>
      <c r="G89" s="69">
        <v>47.9</v>
      </c>
      <c r="H89" s="67" t="s">
        <v>24</v>
      </c>
      <c r="I89" s="69">
        <v>47.9</v>
      </c>
      <c r="J89" s="63" t="s">
        <v>110</v>
      </c>
      <c r="K89" s="57"/>
      <c r="L89" s="129"/>
      <c r="M89" s="129"/>
    </row>
    <row r="90" spans="1:13" s="37" customFormat="1" ht="14.45" customHeight="1" x14ac:dyDescent="0.2">
      <c r="A90" s="62" t="s">
        <v>160</v>
      </c>
      <c r="B90" s="67" t="s">
        <v>49</v>
      </c>
      <c r="C90" s="62" t="s">
        <v>143</v>
      </c>
      <c r="D90" s="187" t="s">
        <v>161</v>
      </c>
      <c r="E90" s="188"/>
      <c r="F90" s="189"/>
      <c r="G90" s="69">
        <v>65.400000000000006</v>
      </c>
      <c r="H90" s="67" t="s">
        <v>162</v>
      </c>
      <c r="I90" s="69">
        <v>65.400000000000006</v>
      </c>
      <c r="J90" s="63" t="s">
        <v>110</v>
      </c>
      <c r="K90" s="57"/>
      <c r="L90" s="129"/>
      <c r="M90" s="129"/>
    </row>
    <row r="91" spans="1:13" s="37" customFormat="1" ht="14.1" customHeight="1" x14ac:dyDescent="0.2">
      <c r="A91" s="62" t="s">
        <v>163</v>
      </c>
      <c r="B91" s="67" t="s">
        <v>49</v>
      </c>
      <c r="C91" s="62" t="s">
        <v>143</v>
      </c>
      <c r="D91" s="187" t="s">
        <v>164</v>
      </c>
      <c r="E91" s="188"/>
      <c r="F91" s="189"/>
      <c r="G91" s="69">
        <v>48</v>
      </c>
      <c r="H91" s="67" t="s">
        <v>49</v>
      </c>
      <c r="I91" s="69">
        <v>48</v>
      </c>
      <c r="J91" s="63" t="s">
        <v>110</v>
      </c>
      <c r="K91" s="57"/>
      <c r="L91" s="129"/>
      <c r="M91" s="129"/>
    </row>
    <row r="92" spans="1:13" s="37" customFormat="1" ht="14.45" customHeight="1" x14ac:dyDescent="0.2">
      <c r="A92" s="62" t="s">
        <v>163</v>
      </c>
      <c r="B92" s="67" t="s">
        <v>49</v>
      </c>
      <c r="C92" s="62" t="s">
        <v>143</v>
      </c>
      <c r="D92" s="187" t="s">
        <v>165</v>
      </c>
      <c r="E92" s="188"/>
      <c r="F92" s="189"/>
      <c r="G92" s="69">
        <v>18</v>
      </c>
      <c r="H92" s="67" t="s">
        <v>49</v>
      </c>
      <c r="I92" s="69">
        <v>18</v>
      </c>
      <c r="J92" s="63" t="s">
        <v>110</v>
      </c>
      <c r="K92" s="57"/>
      <c r="L92" s="129"/>
      <c r="M92" s="129"/>
    </row>
    <row r="93" spans="1:13" s="37" customFormat="1" ht="14.45" customHeight="1" x14ac:dyDescent="0.2">
      <c r="A93" s="62" t="s">
        <v>163</v>
      </c>
      <c r="B93" s="67" t="s">
        <v>49</v>
      </c>
      <c r="C93" s="62" t="s">
        <v>143</v>
      </c>
      <c r="D93" s="187" t="s">
        <v>166</v>
      </c>
      <c r="E93" s="188"/>
      <c r="F93" s="189"/>
      <c r="G93" s="69">
        <v>42</v>
      </c>
      <c r="H93" s="67" t="s">
        <v>49</v>
      </c>
      <c r="I93" s="69">
        <v>42</v>
      </c>
      <c r="J93" s="63" t="s">
        <v>110</v>
      </c>
      <c r="K93" s="57"/>
      <c r="L93" s="129"/>
      <c r="M93" s="129"/>
    </row>
    <row r="94" spans="1:13" s="37" customFormat="1" ht="14.45" customHeight="1" x14ac:dyDescent="0.2">
      <c r="A94" s="62" t="s">
        <v>167</v>
      </c>
      <c r="B94" s="62" t="s">
        <v>49</v>
      </c>
      <c r="C94" s="62" t="s">
        <v>143</v>
      </c>
      <c r="D94" s="187" t="s">
        <v>168</v>
      </c>
      <c r="E94" s="188"/>
      <c r="F94" s="189"/>
      <c r="G94" s="66">
        <v>54</v>
      </c>
      <c r="H94" s="62" t="s">
        <v>49</v>
      </c>
      <c r="I94" s="66">
        <v>54</v>
      </c>
      <c r="J94" s="63" t="s">
        <v>110</v>
      </c>
      <c r="K94" s="57"/>
      <c r="L94" s="129"/>
      <c r="M94" s="129"/>
    </row>
    <row r="95" spans="1:13" s="37" customFormat="1" ht="14.45" customHeight="1" x14ac:dyDescent="0.2">
      <c r="A95" s="67" t="s">
        <v>169</v>
      </c>
      <c r="B95" s="67" t="s">
        <v>49</v>
      </c>
      <c r="C95" s="67" t="s">
        <v>147</v>
      </c>
      <c r="D95" s="187" t="s">
        <v>170</v>
      </c>
      <c r="E95" s="188"/>
      <c r="F95" s="189"/>
      <c r="G95" s="70">
        <v>35</v>
      </c>
      <c r="H95" s="70" t="s">
        <v>280</v>
      </c>
      <c r="I95" s="70">
        <v>35</v>
      </c>
      <c r="J95" s="63" t="s">
        <v>110</v>
      </c>
      <c r="K95" s="57"/>
      <c r="L95" s="129"/>
      <c r="M95" s="129"/>
    </row>
    <row r="96" spans="1:13" s="37" customFormat="1" ht="14.45" customHeight="1" x14ac:dyDescent="0.2">
      <c r="A96" s="62" t="s">
        <v>142</v>
      </c>
      <c r="B96" s="62" t="s">
        <v>49</v>
      </c>
      <c r="C96" s="62" t="s">
        <v>143</v>
      </c>
      <c r="D96" s="187" t="s">
        <v>171</v>
      </c>
      <c r="E96" s="188"/>
      <c r="F96" s="189"/>
      <c r="G96" s="63">
        <v>85</v>
      </c>
      <c r="H96" s="62" t="s">
        <v>172</v>
      </c>
      <c r="I96" s="63" t="s">
        <v>153</v>
      </c>
      <c r="J96" s="63" t="s">
        <v>110</v>
      </c>
      <c r="K96" s="57"/>
      <c r="L96" s="129"/>
      <c r="M96" s="129"/>
    </row>
    <row r="97" spans="1:16" s="37" customFormat="1" ht="14.45" customHeight="1" x14ac:dyDescent="0.2">
      <c r="A97" s="62" t="s">
        <v>173</v>
      </c>
      <c r="B97" s="62" t="s">
        <v>146</v>
      </c>
      <c r="C97" s="62" t="s">
        <v>147</v>
      </c>
      <c r="D97" s="187" t="s">
        <v>174</v>
      </c>
      <c r="E97" s="188"/>
      <c r="F97" s="189"/>
      <c r="G97" s="63">
        <v>4</v>
      </c>
      <c r="H97" s="62" t="s">
        <v>149</v>
      </c>
      <c r="I97" s="63">
        <v>4</v>
      </c>
      <c r="J97" s="63" t="s">
        <v>110</v>
      </c>
      <c r="K97" s="57"/>
      <c r="L97" s="129"/>
      <c r="M97" s="129"/>
    </row>
    <row r="98" spans="1:16" s="37" customFormat="1" ht="14.45" customHeight="1" x14ac:dyDescent="0.2">
      <c r="A98" s="62" t="s">
        <v>173</v>
      </c>
      <c r="B98" s="62" t="s">
        <v>49</v>
      </c>
      <c r="C98" s="62" t="s">
        <v>143</v>
      </c>
      <c r="D98" s="187" t="s">
        <v>175</v>
      </c>
      <c r="E98" s="188"/>
      <c r="F98" s="189"/>
      <c r="G98" s="71" t="s">
        <v>210</v>
      </c>
      <c r="H98" s="62" t="s">
        <v>24</v>
      </c>
      <c r="I98" s="66" t="s">
        <v>153</v>
      </c>
      <c r="J98" s="63" t="s">
        <v>282</v>
      </c>
      <c r="K98" s="57"/>
      <c r="L98" s="129"/>
      <c r="M98" s="129"/>
    </row>
    <row r="99" spans="1:16" s="37" customFormat="1" ht="14.45" customHeight="1" x14ac:dyDescent="0.2">
      <c r="A99" s="62" t="s">
        <v>173</v>
      </c>
      <c r="B99" s="62" t="s">
        <v>49</v>
      </c>
      <c r="C99" s="62" t="s">
        <v>143</v>
      </c>
      <c r="D99" s="187" t="s">
        <v>176</v>
      </c>
      <c r="E99" s="188"/>
      <c r="F99" s="189"/>
      <c r="G99" s="66" t="s">
        <v>210</v>
      </c>
      <c r="H99" s="62" t="s">
        <v>162</v>
      </c>
      <c r="I99" s="66" t="s">
        <v>153</v>
      </c>
      <c r="J99" s="63" t="s">
        <v>282</v>
      </c>
      <c r="K99" s="57"/>
      <c r="L99" s="129"/>
      <c r="M99" s="129"/>
    </row>
    <row r="100" spans="1:16" s="37" customFormat="1" ht="14.45" customHeight="1" x14ac:dyDescent="0.2">
      <c r="A100" s="62" t="s">
        <v>173</v>
      </c>
      <c r="B100" s="62" t="s">
        <v>146</v>
      </c>
      <c r="C100" s="62" t="s">
        <v>147</v>
      </c>
      <c r="D100" s="187" t="s">
        <v>177</v>
      </c>
      <c r="E100" s="188"/>
      <c r="F100" s="189"/>
      <c r="G100" s="63">
        <v>2</v>
      </c>
      <c r="H100" s="62" t="s">
        <v>149</v>
      </c>
      <c r="I100" s="63">
        <v>2</v>
      </c>
      <c r="J100" s="63" t="s">
        <v>110</v>
      </c>
      <c r="K100" s="57"/>
      <c r="L100" s="129"/>
      <c r="M100" s="129"/>
    </row>
    <row r="101" spans="1:16" s="37" customFormat="1" ht="14.45" customHeight="1" x14ac:dyDescent="0.2">
      <c r="A101" s="62" t="s">
        <v>173</v>
      </c>
      <c r="B101" s="62" t="s">
        <v>146</v>
      </c>
      <c r="C101" s="62" t="s">
        <v>283</v>
      </c>
      <c r="D101" s="187" t="s">
        <v>284</v>
      </c>
      <c r="E101" s="188"/>
      <c r="F101" s="189"/>
      <c r="G101" s="63">
        <v>10</v>
      </c>
      <c r="H101" s="62" t="s">
        <v>285</v>
      </c>
      <c r="I101" s="63" t="s">
        <v>153</v>
      </c>
      <c r="J101" s="63" t="s">
        <v>110</v>
      </c>
      <c r="K101" s="57"/>
      <c r="L101" s="129"/>
      <c r="M101" s="129"/>
    </row>
    <row r="102" spans="1:16" s="37" customFormat="1" ht="14.45" customHeight="1" x14ac:dyDescent="0.2">
      <c r="A102" s="62" t="s">
        <v>142</v>
      </c>
      <c r="B102" s="62" t="s">
        <v>49</v>
      </c>
      <c r="C102" s="62" t="s">
        <v>143</v>
      </c>
      <c r="D102" s="187" t="s">
        <v>178</v>
      </c>
      <c r="E102" s="188"/>
      <c r="F102" s="189"/>
      <c r="G102" s="63">
        <v>50</v>
      </c>
      <c r="H102" s="62" t="s">
        <v>145</v>
      </c>
      <c r="I102" s="63" t="s">
        <v>153</v>
      </c>
      <c r="J102" s="63" t="s">
        <v>110</v>
      </c>
      <c r="K102" s="57"/>
      <c r="L102" s="129"/>
      <c r="M102" s="129"/>
    </row>
    <row r="103" spans="1:16" s="37" customFormat="1" ht="14.45" customHeight="1" x14ac:dyDescent="0.2">
      <c r="A103" s="62" t="s">
        <v>173</v>
      </c>
      <c r="B103" s="62" t="s">
        <v>49</v>
      </c>
      <c r="C103" s="62" t="s">
        <v>143</v>
      </c>
      <c r="D103" s="187" t="s">
        <v>179</v>
      </c>
      <c r="E103" s="188"/>
      <c r="F103" s="189"/>
      <c r="G103" s="63">
        <v>175</v>
      </c>
      <c r="H103" s="62" t="s">
        <v>49</v>
      </c>
      <c r="I103" s="63" t="s">
        <v>153</v>
      </c>
      <c r="J103" s="63" t="s">
        <v>110</v>
      </c>
      <c r="K103" s="57"/>
      <c r="L103" s="129"/>
      <c r="M103" s="129"/>
    </row>
    <row r="104" spans="1:16" s="37" customFormat="1" ht="14.45" customHeight="1" x14ac:dyDescent="0.2">
      <c r="A104" s="62" t="s">
        <v>142</v>
      </c>
      <c r="B104" s="62" t="s">
        <v>49</v>
      </c>
      <c r="C104" s="62" t="s">
        <v>147</v>
      </c>
      <c r="D104" s="187" t="s">
        <v>180</v>
      </c>
      <c r="E104" s="188"/>
      <c r="F104" s="189"/>
      <c r="G104" s="63">
        <v>40</v>
      </c>
      <c r="H104" s="62" t="s">
        <v>181</v>
      </c>
      <c r="I104" s="63" t="s">
        <v>153</v>
      </c>
      <c r="J104" s="63" t="s">
        <v>110</v>
      </c>
      <c r="K104" s="57"/>
      <c r="L104" s="129"/>
      <c r="M104" s="129"/>
    </row>
    <row r="105" spans="1:16" s="37" customFormat="1" ht="14.45" customHeight="1" x14ac:dyDescent="0.2">
      <c r="A105" s="62" t="s">
        <v>173</v>
      </c>
      <c r="B105" s="62" t="s">
        <v>146</v>
      </c>
      <c r="C105" s="62" t="s">
        <v>147</v>
      </c>
      <c r="D105" s="187" t="s">
        <v>182</v>
      </c>
      <c r="E105" s="188"/>
      <c r="F105" s="189"/>
      <c r="G105" s="63">
        <v>7.5</v>
      </c>
      <c r="H105" s="62" t="s">
        <v>152</v>
      </c>
      <c r="I105" s="63">
        <v>75</v>
      </c>
      <c r="J105" s="63" t="s">
        <v>110</v>
      </c>
      <c r="K105" s="57"/>
      <c r="L105" s="129"/>
      <c r="M105" s="129"/>
    </row>
    <row r="106" spans="1:16" s="37" customFormat="1" ht="14.45" customHeight="1" x14ac:dyDescent="0.2">
      <c r="A106" s="62" t="s">
        <v>142</v>
      </c>
      <c r="B106" s="62" t="s">
        <v>146</v>
      </c>
      <c r="C106" s="62" t="s">
        <v>147</v>
      </c>
      <c r="D106" s="187" t="s">
        <v>183</v>
      </c>
      <c r="E106" s="188"/>
      <c r="F106" s="189"/>
      <c r="G106" s="63">
        <v>20</v>
      </c>
      <c r="H106" s="62" t="s">
        <v>184</v>
      </c>
      <c r="I106" s="63" t="s">
        <v>153</v>
      </c>
      <c r="J106" s="63" t="s">
        <v>110</v>
      </c>
      <c r="K106" s="57"/>
      <c r="L106" s="129"/>
      <c r="M106" s="129"/>
    </row>
    <row r="107" spans="1:16" s="37" customFormat="1" ht="14.45" customHeight="1" x14ac:dyDescent="0.2">
      <c r="A107" s="62" t="s">
        <v>142</v>
      </c>
      <c r="B107" s="62" t="s">
        <v>146</v>
      </c>
      <c r="C107" s="62" t="s">
        <v>147</v>
      </c>
      <c r="D107" s="187" t="s">
        <v>185</v>
      </c>
      <c r="E107" s="188"/>
      <c r="F107" s="189"/>
      <c r="G107" s="63">
        <v>25</v>
      </c>
      <c r="H107" s="62" t="s">
        <v>184</v>
      </c>
      <c r="I107" s="63" t="s">
        <v>153</v>
      </c>
      <c r="J107" s="63" t="s">
        <v>110</v>
      </c>
      <c r="K107" s="57"/>
      <c r="L107" s="129"/>
      <c r="M107" s="129"/>
    </row>
    <row r="108" spans="1:16" s="37" customFormat="1" ht="14.45" customHeight="1" x14ac:dyDescent="0.2">
      <c r="A108" s="62" t="s">
        <v>142</v>
      </c>
      <c r="B108" s="62" t="s">
        <v>142</v>
      </c>
      <c r="C108" s="62" t="s">
        <v>147</v>
      </c>
      <c r="D108" s="187" t="s">
        <v>186</v>
      </c>
      <c r="E108" s="188"/>
      <c r="F108" s="189"/>
      <c r="G108" s="68">
        <v>75</v>
      </c>
      <c r="H108" s="62" t="s">
        <v>181</v>
      </c>
      <c r="I108" s="63" t="s">
        <v>153</v>
      </c>
      <c r="J108" s="63" t="s">
        <v>110</v>
      </c>
      <c r="K108" s="57"/>
      <c r="L108" s="129"/>
      <c r="M108" s="129"/>
    </row>
    <row r="109" spans="1:16" s="37" customFormat="1" ht="14.45" customHeight="1" x14ac:dyDescent="0.2">
      <c r="A109" s="62" t="s">
        <v>142</v>
      </c>
      <c r="B109" s="62" t="s">
        <v>142</v>
      </c>
      <c r="C109" s="62" t="s">
        <v>147</v>
      </c>
      <c r="D109" s="187" t="s">
        <v>187</v>
      </c>
      <c r="E109" s="188"/>
      <c r="F109" s="189"/>
      <c r="G109" s="63">
        <v>35</v>
      </c>
      <c r="H109" s="62" t="s">
        <v>181</v>
      </c>
      <c r="I109" s="63" t="s">
        <v>153</v>
      </c>
      <c r="J109" s="63" t="s">
        <v>110</v>
      </c>
      <c r="K109" s="57"/>
      <c r="L109" s="129"/>
      <c r="M109" s="129"/>
    </row>
    <row r="110" spans="1:16" s="37" customFormat="1" ht="14.45" customHeight="1" x14ac:dyDescent="0.2">
      <c r="A110" s="62" t="s">
        <v>142</v>
      </c>
      <c r="B110" s="62" t="s">
        <v>146</v>
      </c>
      <c r="C110" s="62" t="s">
        <v>143</v>
      </c>
      <c r="D110" s="187" t="s">
        <v>188</v>
      </c>
      <c r="E110" s="188"/>
      <c r="F110" s="189"/>
      <c r="G110" s="63">
        <v>100</v>
      </c>
      <c r="H110" s="62" t="s">
        <v>181</v>
      </c>
      <c r="I110" s="63" t="s">
        <v>153</v>
      </c>
      <c r="J110" s="63" t="s">
        <v>110</v>
      </c>
      <c r="K110" s="57"/>
      <c r="L110" s="129"/>
      <c r="M110" s="129"/>
    </row>
    <row r="111" spans="1:16" s="37" customFormat="1" ht="14.45" customHeight="1" x14ac:dyDescent="0.2">
      <c r="A111" s="62" t="s">
        <v>142</v>
      </c>
      <c r="B111" s="62" t="s">
        <v>146</v>
      </c>
      <c r="C111" s="62" t="s">
        <v>143</v>
      </c>
      <c r="D111" s="187" t="s">
        <v>189</v>
      </c>
      <c r="E111" s="188"/>
      <c r="F111" s="189"/>
      <c r="G111" s="63">
        <v>100</v>
      </c>
      <c r="H111" s="62" t="s">
        <v>190</v>
      </c>
      <c r="I111" s="63" t="s">
        <v>153</v>
      </c>
      <c r="J111" s="63" t="s">
        <v>110</v>
      </c>
      <c r="K111" s="57"/>
      <c r="O111" s="38"/>
      <c r="P111" s="38"/>
    </row>
    <row r="112" spans="1:16" s="37" customFormat="1" ht="14.45" customHeight="1" x14ac:dyDescent="0.2">
      <c r="A112" s="62" t="s">
        <v>142</v>
      </c>
      <c r="B112" s="62" t="s">
        <v>146</v>
      </c>
      <c r="C112" s="62" t="s">
        <v>143</v>
      </c>
      <c r="D112" s="187" t="s">
        <v>191</v>
      </c>
      <c r="E112" s="188"/>
      <c r="F112" s="189"/>
      <c r="G112" s="63">
        <v>100</v>
      </c>
      <c r="H112" s="62" t="s">
        <v>181</v>
      </c>
      <c r="I112" s="63" t="s">
        <v>153</v>
      </c>
      <c r="J112" s="63" t="s">
        <v>110</v>
      </c>
      <c r="K112" s="57"/>
      <c r="O112" s="39"/>
      <c r="P112" s="39"/>
    </row>
    <row r="113" spans="1:29" s="37" customFormat="1" ht="14.45" customHeight="1" x14ac:dyDescent="0.2">
      <c r="A113" s="62" t="s">
        <v>173</v>
      </c>
      <c r="B113" s="62" t="s">
        <v>146</v>
      </c>
      <c r="C113" s="62" t="s">
        <v>143</v>
      </c>
      <c r="D113" s="187" t="s">
        <v>189</v>
      </c>
      <c r="E113" s="188"/>
      <c r="F113" s="189"/>
      <c r="G113" s="63">
        <v>50</v>
      </c>
      <c r="H113" s="62" t="s">
        <v>192</v>
      </c>
      <c r="I113" s="63" t="s">
        <v>153</v>
      </c>
      <c r="J113" s="63" t="s">
        <v>110</v>
      </c>
      <c r="K113" s="57"/>
      <c r="O113" s="39"/>
      <c r="P113" s="39"/>
    </row>
    <row r="114" spans="1:29" s="37" customFormat="1" ht="14.45" customHeight="1" x14ac:dyDescent="0.2">
      <c r="A114" s="62" t="s">
        <v>173</v>
      </c>
      <c r="B114" s="62" t="s">
        <v>146</v>
      </c>
      <c r="C114" s="62" t="s">
        <v>143</v>
      </c>
      <c r="D114" s="187" t="s">
        <v>191</v>
      </c>
      <c r="E114" s="188"/>
      <c r="F114" s="189"/>
      <c r="G114" s="63">
        <v>50</v>
      </c>
      <c r="H114" s="62" t="s">
        <v>181</v>
      </c>
      <c r="I114" s="63" t="s">
        <v>153</v>
      </c>
      <c r="J114" s="63" t="s">
        <v>110</v>
      </c>
      <c r="K114" s="57"/>
      <c r="O114" s="38"/>
      <c r="P114" s="38"/>
    </row>
    <row r="115" spans="1:29" s="37" customFormat="1" ht="14.45" customHeight="1" x14ac:dyDescent="0.25">
      <c r="A115" s="62" t="s">
        <v>142</v>
      </c>
      <c r="B115" s="62" t="s">
        <v>146</v>
      </c>
      <c r="C115" s="62" t="s">
        <v>143</v>
      </c>
      <c r="D115" s="187" t="s">
        <v>193</v>
      </c>
      <c r="E115" s="188"/>
      <c r="F115" s="189"/>
      <c r="G115" s="63">
        <v>85</v>
      </c>
      <c r="H115" s="62" t="s">
        <v>194</v>
      </c>
      <c r="I115" s="63" t="s">
        <v>153</v>
      </c>
      <c r="J115" s="63" t="s">
        <v>110</v>
      </c>
      <c r="K115" s="57"/>
      <c r="O115" s="36"/>
      <c r="P115" s="36"/>
    </row>
    <row r="116" spans="1:29" s="37" customFormat="1" ht="14.45" customHeight="1" x14ac:dyDescent="0.25">
      <c r="A116" s="62" t="s">
        <v>173</v>
      </c>
      <c r="B116" s="62" t="s">
        <v>146</v>
      </c>
      <c r="C116" s="62" t="s">
        <v>195</v>
      </c>
      <c r="D116" s="187" t="s">
        <v>196</v>
      </c>
      <c r="E116" s="188"/>
      <c r="F116" s="189"/>
      <c r="G116" s="63">
        <v>0.1</v>
      </c>
      <c r="H116" s="62" t="s">
        <v>197</v>
      </c>
      <c r="I116" s="63">
        <v>150</v>
      </c>
      <c r="J116" s="63" t="s">
        <v>110</v>
      </c>
      <c r="K116" s="57"/>
      <c r="O116" s="36"/>
      <c r="P116" s="36"/>
    </row>
    <row r="117" spans="1:29" s="37" customFormat="1" ht="14.45" customHeight="1" x14ac:dyDescent="0.25">
      <c r="A117" s="62" t="s">
        <v>142</v>
      </c>
      <c r="B117" s="62" t="s">
        <v>49</v>
      </c>
      <c r="C117" s="62" t="s">
        <v>198</v>
      </c>
      <c r="D117" s="187" t="s">
        <v>199</v>
      </c>
      <c r="E117" s="188"/>
      <c r="F117" s="189"/>
      <c r="G117" s="63">
        <v>35</v>
      </c>
      <c r="H117" s="62" t="s">
        <v>181</v>
      </c>
      <c r="I117" s="63" t="s">
        <v>153</v>
      </c>
      <c r="J117" s="63" t="s">
        <v>110</v>
      </c>
      <c r="K117" s="57"/>
      <c r="O117" s="36"/>
      <c r="P117" s="36"/>
    </row>
    <row r="118" spans="1:29" s="37" customFormat="1" ht="14.45" customHeight="1" x14ac:dyDescent="0.25">
      <c r="A118" s="62" t="s">
        <v>142</v>
      </c>
      <c r="B118" s="62" t="s">
        <v>146</v>
      </c>
      <c r="C118" s="62" t="s">
        <v>198</v>
      </c>
      <c r="D118" s="187" t="s">
        <v>200</v>
      </c>
      <c r="E118" s="188"/>
      <c r="F118" s="189"/>
      <c r="G118" s="63">
        <v>7</v>
      </c>
      <c r="H118" s="62" t="s">
        <v>152</v>
      </c>
      <c r="I118" s="63">
        <v>7</v>
      </c>
      <c r="J118" s="63" t="s">
        <v>110</v>
      </c>
      <c r="K118" s="57"/>
      <c r="O118" s="36"/>
      <c r="P118" s="36"/>
    </row>
    <row r="119" spans="1:29" s="37" customFormat="1" ht="14.1" customHeight="1" x14ac:dyDescent="0.25">
      <c r="A119" s="62" t="s">
        <v>142</v>
      </c>
      <c r="B119" s="62" t="s">
        <v>142</v>
      </c>
      <c r="C119" s="62" t="s">
        <v>201</v>
      </c>
      <c r="D119" s="187" t="s">
        <v>202</v>
      </c>
      <c r="E119" s="188"/>
      <c r="F119" s="189"/>
      <c r="G119" s="63">
        <v>40</v>
      </c>
      <c r="H119" s="62" t="s">
        <v>203</v>
      </c>
      <c r="I119" s="63" t="s">
        <v>153</v>
      </c>
      <c r="J119" s="63" t="s">
        <v>110</v>
      </c>
      <c r="K119" s="57"/>
      <c r="O119" s="36"/>
      <c r="P119" s="36"/>
    </row>
    <row r="120" spans="1:29" s="37" customFormat="1" ht="14.1" customHeight="1" x14ac:dyDescent="0.25">
      <c r="A120" s="62" t="s">
        <v>142</v>
      </c>
      <c r="B120" s="62" t="s">
        <v>49</v>
      </c>
      <c r="C120" s="62" t="s">
        <v>143</v>
      </c>
      <c r="D120" s="187" t="s">
        <v>204</v>
      </c>
      <c r="E120" s="188"/>
      <c r="F120" s="189"/>
      <c r="G120" s="63">
        <v>50</v>
      </c>
      <c r="H120" s="62" t="s">
        <v>49</v>
      </c>
      <c r="I120" s="63" t="s">
        <v>153</v>
      </c>
      <c r="J120" s="63" t="s">
        <v>110</v>
      </c>
      <c r="K120" s="57"/>
      <c r="L120" s="38"/>
      <c r="M120" s="38"/>
      <c r="N120" s="38"/>
      <c r="O120" s="36"/>
      <c r="P120" s="36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 spans="1:29" s="39" customFormat="1" ht="14.1" customHeight="1" x14ac:dyDescent="0.25">
      <c r="A121" s="62" t="s">
        <v>142</v>
      </c>
      <c r="B121" s="62" t="s">
        <v>49</v>
      </c>
      <c r="C121" s="62" t="s">
        <v>143</v>
      </c>
      <c r="D121" s="187" t="s">
        <v>205</v>
      </c>
      <c r="E121" s="188"/>
      <c r="F121" s="189"/>
      <c r="G121" s="63">
        <v>200</v>
      </c>
      <c r="H121" s="62" t="s">
        <v>206</v>
      </c>
      <c r="I121" s="63" t="s">
        <v>153</v>
      </c>
      <c r="J121" s="63" t="s">
        <v>110</v>
      </c>
      <c r="K121" s="57"/>
      <c r="O121" s="36"/>
      <c r="P121" s="36"/>
    </row>
    <row r="122" spans="1:29" s="39" customFormat="1" ht="14.1" customHeight="1" x14ac:dyDescent="0.25">
      <c r="A122" s="62" t="s">
        <v>142</v>
      </c>
      <c r="B122" s="62" t="s">
        <v>49</v>
      </c>
      <c r="C122" s="62" t="s">
        <v>143</v>
      </c>
      <c r="D122" s="187" t="s">
        <v>207</v>
      </c>
      <c r="E122" s="188"/>
      <c r="F122" s="189"/>
      <c r="G122" s="63">
        <v>250</v>
      </c>
      <c r="H122" s="62" t="s">
        <v>208</v>
      </c>
      <c r="I122" s="63">
        <v>100</v>
      </c>
      <c r="J122" s="63" t="s">
        <v>110</v>
      </c>
      <c r="K122" s="57"/>
      <c r="L122" s="38"/>
      <c r="M122" s="38"/>
      <c r="N122" s="38"/>
      <c r="O122" s="36"/>
      <c r="P122" s="36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 spans="1:29" s="38" customFormat="1" ht="14.1" customHeight="1" x14ac:dyDescent="0.25">
      <c r="A123" s="62" t="s">
        <v>142</v>
      </c>
      <c r="B123" s="62" t="s">
        <v>49</v>
      </c>
      <c r="C123" s="62" t="s">
        <v>201</v>
      </c>
      <c r="D123" s="187" t="s">
        <v>209</v>
      </c>
      <c r="E123" s="188"/>
      <c r="F123" s="189"/>
      <c r="G123" s="63" t="s">
        <v>210</v>
      </c>
      <c r="H123" s="62"/>
      <c r="I123" s="63" t="s">
        <v>153</v>
      </c>
      <c r="J123" s="63" t="s">
        <v>110</v>
      </c>
      <c r="K123" s="57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:29" s="36" customFormat="1" x14ac:dyDescent="0.25">
      <c r="A124" s="62" t="s">
        <v>142</v>
      </c>
      <c r="B124" s="62" t="s">
        <v>49</v>
      </c>
      <c r="C124" s="62" t="s">
        <v>201</v>
      </c>
      <c r="D124" s="187" t="s">
        <v>211</v>
      </c>
      <c r="E124" s="188"/>
      <c r="F124" s="189"/>
      <c r="G124" s="63" t="s">
        <v>212</v>
      </c>
      <c r="H124" s="62"/>
      <c r="I124" s="63" t="s">
        <v>153</v>
      </c>
      <c r="J124" s="63" t="s">
        <v>110</v>
      </c>
      <c r="K124" s="72"/>
    </row>
    <row r="125" spans="1:29" s="36" customFormat="1" x14ac:dyDescent="0.25">
      <c r="A125" s="62" t="s">
        <v>213</v>
      </c>
      <c r="B125" s="62" t="s">
        <v>49</v>
      </c>
      <c r="C125" s="62" t="s">
        <v>214</v>
      </c>
      <c r="D125" s="187" t="s">
        <v>215</v>
      </c>
      <c r="E125" s="188"/>
      <c r="F125" s="189"/>
      <c r="G125" s="63">
        <v>100</v>
      </c>
      <c r="H125" s="62" t="s">
        <v>49</v>
      </c>
      <c r="I125" s="63">
        <v>100</v>
      </c>
      <c r="J125" s="63" t="s">
        <v>110</v>
      </c>
      <c r="K125" s="72"/>
    </row>
    <row r="126" spans="1:29" s="36" customFormat="1" x14ac:dyDescent="0.25">
      <c r="A126" s="62" t="s">
        <v>213</v>
      </c>
      <c r="B126" s="62" t="s">
        <v>216</v>
      </c>
      <c r="C126" s="62" t="s">
        <v>147</v>
      </c>
      <c r="D126" s="187" t="s">
        <v>217</v>
      </c>
      <c r="E126" s="188"/>
      <c r="F126" s="189"/>
      <c r="G126" s="63">
        <v>50</v>
      </c>
      <c r="H126" s="62"/>
      <c r="I126" s="63">
        <v>50</v>
      </c>
      <c r="J126" s="63" t="s">
        <v>110</v>
      </c>
      <c r="K126" s="72"/>
    </row>
    <row r="127" spans="1:29" s="36" customFormat="1" x14ac:dyDescent="0.25">
      <c r="A127" s="62" t="s">
        <v>150</v>
      </c>
      <c r="B127" s="62" t="s">
        <v>49</v>
      </c>
      <c r="C127" s="62" t="s">
        <v>218</v>
      </c>
      <c r="D127" s="187" t="s">
        <v>219</v>
      </c>
      <c r="E127" s="188"/>
      <c r="F127" s="189"/>
      <c r="G127" s="69" t="s">
        <v>220</v>
      </c>
      <c r="H127" s="67" t="s">
        <v>49</v>
      </c>
      <c r="I127" s="69" t="s">
        <v>153</v>
      </c>
      <c r="J127" s="63" t="s">
        <v>110</v>
      </c>
      <c r="K127" s="72"/>
    </row>
    <row r="128" spans="1:29" s="36" customFormat="1" x14ac:dyDescent="0.25">
      <c r="A128" s="62" t="s">
        <v>221</v>
      </c>
      <c r="B128" s="62" t="s">
        <v>49</v>
      </c>
      <c r="C128" s="62" t="s">
        <v>201</v>
      </c>
      <c r="D128" s="187" t="s">
        <v>222</v>
      </c>
      <c r="E128" s="188"/>
      <c r="F128" s="189"/>
      <c r="G128" s="69" t="s">
        <v>220</v>
      </c>
      <c r="H128" s="67" t="s">
        <v>49</v>
      </c>
      <c r="I128" s="69" t="s">
        <v>153</v>
      </c>
      <c r="J128" s="63" t="s">
        <v>110</v>
      </c>
      <c r="K128" s="72"/>
    </row>
    <row r="129" spans="1:11" s="36" customFormat="1" x14ac:dyDescent="0.25">
      <c r="A129" s="62" t="s">
        <v>142</v>
      </c>
      <c r="B129" s="62" t="s">
        <v>49</v>
      </c>
      <c r="C129" s="62" t="s">
        <v>223</v>
      </c>
      <c r="D129" s="187" t="s">
        <v>224</v>
      </c>
      <c r="E129" s="188"/>
      <c r="F129" s="189"/>
      <c r="G129" s="63" t="s">
        <v>225</v>
      </c>
      <c r="H129" s="62"/>
      <c r="I129" s="63" t="s">
        <v>153</v>
      </c>
      <c r="J129" s="63" t="s">
        <v>110</v>
      </c>
      <c r="K129" s="72"/>
    </row>
    <row r="130" spans="1:11" s="36" customFormat="1" x14ac:dyDescent="0.25">
      <c r="A130" s="62" t="s">
        <v>142</v>
      </c>
      <c r="B130" s="62" t="s">
        <v>49</v>
      </c>
      <c r="C130" s="62" t="s">
        <v>226</v>
      </c>
      <c r="D130" s="187" t="s">
        <v>227</v>
      </c>
      <c r="E130" s="188"/>
      <c r="F130" s="189"/>
      <c r="G130" s="66">
        <v>150</v>
      </c>
      <c r="H130" s="62" t="s">
        <v>49</v>
      </c>
      <c r="I130" s="66">
        <v>150</v>
      </c>
      <c r="J130" s="63" t="s">
        <v>110</v>
      </c>
      <c r="K130" s="72"/>
    </row>
    <row r="131" spans="1:11" s="36" customFormat="1" x14ac:dyDescent="0.25">
      <c r="A131" s="62" t="s">
        <v>142</v>
      </c>
      <c r="B131" s="62" t="s">
        <v>49</v>
      </c>
      <c r="C131" s="62" t="s">
        <v>228</v>
      </c>
      <c r="D131" s="187" t="s">
        <v>229</v>
      </c>
      <c r="E131" s="188"/>
      <c r="F131" s="189"/>
      <c r="G131" s="66">
        <v>25</v>
      </c>
      <c r="H131" s="62" t="s">
        <v>230</v>
      </c>
      <c r="I131" s="66">
        <v>25</v>
      </c>
      <c r="J131" s="63" t="s">
        <v>110</v>
      </c>
      <c r="K131" s="72"/>
    </row>
    <row r="132" spans="1:11" s="36" customFormat="1" x14ac:dyDescent="0.25">
      <c r="A132" s="62" t="s">
        <v>142</v>
      </c>
      <c r="B132" s="62" t="s">
        <v>146</v>
      </c>
      <c r="C132" s="62" t="s">
        <v>198</v>
      </c>
      <c r="D132" s="187" t="s">
        <v>231</v>
      </c>
      <c r="E132" s="188"/>
      <c r="F132" s="189"/>
      <c r="G132" s="66" t="s">
        <v>232</v>
      </c>
      <c r="H132" s="62" t="s">
        <v>149</v>
      </c>
      <c r="I132" s="66" t="s">
        <v>153</v>
      </c>
      <c r="J132" s="63" t="s">
        <v>110</v>
      </c>
      <c r="K132" s="72"/>
    </row>
    <row r="133" spans="1:11" s="36" customFormat="1" x14ac:dyDescent="0.25">
      <c r="A133" s="62" t="s">
        <v>173</v>
      </c>
      <c r="B133" s="62" t="s">
        <v>146</v>
      </c>
      <c r="C133" s="62" t="s">
        <v>233</v>
      </c>
      <c r="D133" s="187" t="s">
        <v>234</v>
      </c>
      <c r="E133" s="188"/>
      <c r="F133" s="189"/>
      <c r="G133" s="66">
        <v>0.5</v>
      </c>
      <c r="H133" s="62" t="s">
        <v>235</v>
      </c>
      <c r="I133" s="66">
        <v>50</v>
      </c>
      <c r="J133" s="63" t="s">
        <v>110</v>
      </c>
      <c r="K133" s="72"/>
    </row>
    <row r="134" spans="1:11" s="36" customFormat="1" x14ac:dyDescent="0.25">
      <c r="A134" s="64" t="s">
        <v>173</v>
      </c>
      <c r="B134" s="64" t="s">
        <v>146</v>
      </c>
      <c r="C134" s="64" t="s">
        <v>233</v>
      </c>
      <c r="D134" s="187" t="s">
        <v>236</v>
      </c>
      <c r="E134" s="188"/>
      <c r="F134" s="189"/>
      <c r="G134" s="73">
        <v>0.5</v>
      </c>
      <c r="H134" s="64" t="s">
        <v>235</v>
      </c>
      <c r="I134" s="73">
        <v>50</v>
      </c>
      <c r="J134" s="63" t="s">
        <v>110</v>
      </c>
      <c r="K134" s="72"/>
    </row>
    <row r="135" spans="1:11" s="36" customFormat="1" x14ac:dyDescent="0.25">
      <c r="A135" s="62" t="s">
        <v>173</v>
      </c>
      <c r="B135" s="62" t="s">
        <v>146</v>
      </c>
      <c r="C135" s="62" t="s">
        <v>201</v>
      </c>
      <c r="D135" s="187" t="s">
        <v>237</v>
      </c>
      <c r="E135" s="188"/>
      <c r="F135" s="189"/>
      <c r="G135" s="66" t="s">
        <v>238</v>
      </c>
      <c r="H135" s="62" t="s">
        <v>235</v>
      </c>
      <c r="I135" s="66">
        <v>50</v>
      </c>
      <c r="J135" s="63" t="s">
        <v>110</v>
      </c>
      <c r="K135" s="72"/>
    </row>
    <row r="136" spans="1:11" s="36" customFormat="1" x14ac:dyDescent="0.25">
      <c r="A136" s="62" t="s">
        <v>239</v>
      </c>
      <c r="B136" s="62" t="s">
        <v>49</v>
      </c>
      <c r="C136" s="62" t="s">
        <v>143</v>
      </c>
      <c r="D136" s="187" t="s">
        <v>240</v>
      </c>
      <c r="E136" s="188"/>
      <c r="F136" s="189"/>
      <c r="G136" s="69" t="s">
        <v>220</v>
      </c>
      <c r="H136" s="67" t="s">
        <v>49</v>
      </c>
      <c r="I136" s="69" t="s">
        <v>153</v>
      </c>
      <c r="J136" s="63" t="s">
        <v>110</v>
      </c>
      <c r="K136" s="72"/>
    </row>
    <row r="137" spans="1:11" s="36" customFormat="1" x14ac:dyDescent="0.25">
      <c r="A137" s="62" t="s">
        <v>142</v>
      </c>
      <c r="B137" s="62" t="s">
        <v>142</v>
      </c>
      <c r="C137" s="62" t="s">
        <v>147</v>
      </c>
      <c r="D137" s="187" t="s">
        <v>241</v>
      </c>
      <c r="E137" s="188"/>
      <c r="F137" s="189"/>
      <c r="G137" s="66" t="s">
        <v>242</v>
      </c>
      <c r="H137" s="62"/>
      <c r="I137" s="66">
        <v>15</v>
      </c>
      <c r="J137" s="63" t="s">
        <v>110</v>
      </c>
      <c r="K137" s="72"/>
    </row>
    <row r="138" spans="1:11" s="36" customFormat="1" x14ac:dyDescent="0.25">
      <c r="A138" s="62" t="s">
        <v>243</v>
      </c>
      <c r="B138" s="62" t="s">
        <v>49</v>
      </c>
      <c r="C138" s="62" t="s">
        <v>143</v>
      </c>
      <c r="D138" s="187" t="s">
        <v>244</v>
      </c>
      <c r="E138" s="188"/>
      <c r="F138" s="189"/>
      <c r="G138" s="66">
        <v>200</v>
      </c>
      <c r="H138" s="62" t="s">
        <v>49</v>
      </c>
      <c r="I138" s="63">
        <v>200</v>
      </c>
      <c r="J138" s="63" t="s">
        <v>110</v>
      </c>
      <c r="K138" s="72"/>
    </row>
    <row r="139" spans="1:11" s="36" customFormat="1" x14ac:dyDescent="0.25">
      <c r="A139" s="62" t="s">
        <v>245</v>
      </c>
      <c r="B139" s="62" t="s">
        <v>49</v>
      </c>
      <c r="C139" s="62" t="s">
        <v>143</v>
      </c>
      <c r="D139" s="187" t="s">
        <v>246</v>
      </c>
      <c r="E139" s="188"/>
      <c r="F139" s="189"/>
      <c r="G139" s="66">
        <v>250</v>
      </c>
      <c r="H139" s="62" t="s">
        <v>49</v>
      </c>
      <c r="I139" s="63">
        <v>100</v>
      </c>
      <c r="J139" s="63" t="s">
        <v>110</v>
      </c>
      <c r="K139" s="72"/>
    </row>
    <row r="140" spans="1:11" s="36" customFormat="1" x14ac:dyDescent="0.25">
      <c r="A140" s="62" t="s">
        <v>247</v>
      </c>
      <c r="B140" s="62" t="s">
        <v>49</v>
      </c>
      <c r="C140" s="62" t="s">
        <v>143</v>
      </c>
      <c r="D140" s="187" t="s">
        <v>248</v>
      </c>
      <c r="E140" s="188"/>
      <c r="F140" s="189"/>
      <c r="G140" s="63">
        <v>250</v>
      </c>
      <c r="H140" s="62" t="s">
        <v>49</v>
      </c>
      <c r="I140" s="63">
        <v>200</v>
      </c>
      <c r="J140" s="63" t="s">
        <v>110</v>
      </c>
      <c r="K140" s="72"/>
    </row>
    <row r="141" spans="1:11" s="36" customFormat="1" x14ac:dyDescent="0.25">
      <c r="A141" s="62" t="s">
        <v>142</v>
      </c>
      <c r="B141" s="62" t="s">
        <v>49</v>
      </c>
      <c r="C141" s="62" t="s">
        <v>143</v>
      </c>
      <c r="D141" s="187" t="s">
        <v>249</v>
      </c>
      <c r="E141" s="188"/>
      <c r="F141" s="189"/>
      <c r="G141" s="63"/>
      <c r="H141" s="62" t="s">
        <v>49</v>
      </c>
      <c r="I141" s="63" t="s">
        <v>153</v>
      </c>
      <c r="J141" s="63" t="s">
        <v>110</v>
      </c>
      <c r="K141" s="72"/>
    </row>
    <row r="142" spans="1:11" s="36" customFormat="1" x14ac:dyDescent="0.25">
      <c r="A142" s="62" t="s">
        <v>250</v>
      </c>
      <c r="B142" s="62" t="s">
        <v>49</v>
      </c>
      <c r="C142" s="62" t="s">
        <v>143</v>
      </c>
      <c r="D142" s="187" t="s">
        <v>251</v>
      </c>
      <c r="E142" s="188"/>
      <c r="F142" s="189"/>
      <c r="G142" s="66">
        <v>350</v>
      </c>
      <c r="H142" s="62" t="s">
        <v>49</v>
      </c>
      <c r="I142" s="63">
        <v>350</v>
      </c>
      <c r="J142" s="63" t="s">
        <v>110</v>
      </c>
      <c r="K142" s="72"/>
    </row>
    <row r="143" spans="1:11" s="36" customFormat="1" x14ac:dyDescent="0.25">
      <c r="A143" s="118"/>
      <c r="B143" s="118"/>
      <c r="C143" s="118"/>
      <c r="D143" s="119"/>
      <c r="E143" s="119"/>
      <c r="F143" s="119"/>
      <c r="G143" s="120"/>
      <c r="H143" s="118"/>
      <c r="I143" s="121"/>
      <c r="J143" s="121"/>
      <c r="K143" s="72"/>
    </row>
    <row r="144" spans="1:11" s="36" customFormat="1" x14ac:dyDescent="0.25">
      <c r="A144" s="180" t="s">
        <v>72</v>
      </c>
      <c r="B144" s="180"/>
      <c r="C144" s="180"/>
      <c r="D144" s="180"/>
      <c r="E144" s="180"/>
      <c r="F144" s="180"/>
      <c r="G144" s="180"/>
      <c r="H144" s="180"/>
      <c r="I144" s="180"/>
      <c r="J144" s="180"/>
      <c r="K144" s="72"/>
    </row>
    <row r="145" spans="1:11" s="36" customFormat="1" x14ac:dyDescent="0.25">
      <c r="A145" s="186" t="s">
        <v>67</v>
      </c>
      <c r="B145" s="186"/>
      <c r="C145" s="186"/>
      <c r="D145" s="186"/>
      <c r="E145" s="186" t="s">
        <v>68</v>
      </c>
      <c r="F145" s="186"/>
      <c r="G145" s="186"/>
      <c r="H145" s="186"/>
      <c r="I145" s="186"/>
      <c r="J145" s="186"/>
      <c r="K145" s="72"/>
    </row>
    <row r="146" spans="1:11" s="36" customFormat="1" x14ac:dyDescent="0.25">
      <c r="A146" s="185" t="s">
        <v>73</v>
      </c>
      <c r="B146" s="185"/>
      <c r="C146" s="185"/>
      <c r="D146" s="185"/>
      <c r="E146" s="185" t="s">
        <v>254</v>
      </c>
      <c r="F146" s="185"/>
      <c r="G146" s="185"/>
      <c r="H146" s="185"/>
      <c r="I146" s="185"/>
      <c r="J146" s="185"/>
      <c r="K146" s="72"/>
    </row>
    <row r="147" spans="1:11" s="36" customFormat="1" ht="15" customHeight="1" x14ac:dyDescent="0.25">
      <c r="A147" s="185" t="s">
        <v>252</v>
      </c>
      <c r="B147" s="185"/>
      <c r="C147" s="185"/>
      <c r="D147" s="185"/>
      <c r="E147" s="185" t="s">
        <v>253</v>
      </c>
      <c r="F147" s="185"/>
      <c r="G147" s="185"/>
      <c r="H147" s="185"/>
      <c r="I147" s="185"/>
      <c r="J147" s="185"/>
      <c r="K147" s="72"/>
    </row>
    <row r="148" spans="1:11" s="36" customFormat="1" ht="15" customHeight="1" x14ac:dyDescent="0.25">
      <c r="A148" s="185" t="s">
        <v>74</v>
      </c>
      <c r="B148" s="185"/>
      <c r="C148" s="185"/>
      <c r="D148" s="185"/>
      <c r="E148" s="185" t="s">
        <v>75</v>
      </c>
      <c r="F148" s="185"/>
      <c r="G148" s="185"/>
      <c r="H148" s="185"/>
      <c r="I148" s="185"/>
      <c r="J148" s="185"/>
      <c r="K148" s="72"/>
    </row>
    <row r="149" spans="1:11" s="36" customFormat="1" x14ac:dyDescent="0.25">
      <c r="A149" s="185" t="s">
        <v>76</v>
      </c>
      <c r="B149" s="185"/>
      <c r="C149" s="185"/>
      <c r="D149" s="185"/>
      <c r="E149" s="185" t="s">
        <v>77</v>
      </c>
      <c r="F149" s="185"/>
      <c r="G149" s="185"/>
      <c r="H149" s="185"/>
      <c r="I149" s="185"/>
      <c r="J149" s="185"/>
      <c r="K149" s="72"/>
    </row>
    <row r="150" spans="1:11" s="36" customFormat="1" ht="15" customHeight="1" x14ac:dyDescent="0.25">
      <c r="A150" s="185" t="s">
        <v>78</v>
      </c>
      <c r="B150" s="185"/>
      <c r="C150" s="185"/>
      <c r="D150" s="185"/>
      <c r="E150" s="185" t="s">
        <v>79</v>
      </c>
      <c r="F150" s="185"/>
      <c r="G150" s="185"/>
      <c r="H150" s="185"/>
      <c r="I150" s="185"/>
      <c r="J150" s="185"/>
      <c r="K150" s="72"/>
    </row>
    <row r="151" spans="1:11" s="36" customFormat="1" ht="15" customHeight="1" x14ac:dyDescent="0.25">
      <c r="A151" s="180" t="s">
        <v>89</v>
      </c>
      <c r="B151" s="180"/>
      <c r="C151" s="180"/>
      <c r="D151" s="180"/>
      <c r="E151" s="180"/>
      <c r="F151" s="180"/>
      <c r="G151" s="180"/>
      <c r="H151" s="180"/>
      <c r="I151" s="180"/>
      <c r="J151" s="180"/>
      <c r="K151" s="72"/>
    </row>
    <row r="152" spans="1:11" s="36" customFormat="1" x14ac:dyDescent="0.25">
      <c r="A152" s="181" t="s">
        <v>80</v>
      </c>
      <c r="B152" s="181"/>
      <c r="C152" s="181"/>
      <c r="D152" s="181"/>
      <c r="E152" s="181"/>
      <c r="F152" s="181"/>
      <c r="G152" s="181"/>
      <c r="H152" s="181"/>
      <c r="I152" s="181"/>
      <c r="J152" s="181"/>
      <c r="K152" s="72"/>
    </row>
    <row r="153" spans="1:11" s="36" customFormat="1" ht="15" customHeight="1" x14ac:dyDescent="0.25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72"/>
    </row>
    <row r="154" spans="1:11" s="36" customFormat="1" x14ac:dyDescent="0.25">
      <c r="A154" s="182" t="s">
        <v>90</v>
      </c>
      <c r="B154" s="182"/>
      <c r="C154" s="182"/>
      <c r="D154" s="182"/>
      <c r="E154" s="182"/>
      <c r="F154" s="182"/>
      <c r="G154" s="182"/>
      <c r="H154" s="182"/>
      <c r="I154" s="182"/>
      <c r="J154" s="182"/>
      <c r="K154" s="72"/>
    </row>
    <row r="155" spans="1:11" s="36" customFormat="1" ht="15" customHeight="1" x14ac:dyDescent="0.25">
      <c r="A155" s="182"/>
      <c r="B155" s="182"/>
      <c r="C155" s="182"/>
      <c r="D155" s="182"/>
      <c r="E155" s="182"/>
      <c r="F155" s="182"/>
      <c r="G155" s="182"/>
      <c r="H155" s="182"/>
      <c r="I155" s="182"/>
      <c r="J155" s="182"/>
      <c r="K155" s="72"/>
    </row>
    <row r="156" spans="1:11" s="42" customFormat="1" ht="13.9" customHeight="1" x14ac:dyDescent="0.25">
      <c r="A156" s="183" t="s">
        <v>307</v>
      </c>
      <c r="B156" s="183"/>
      <c r="C156" s="183"/>
      <c r="D156" s="183"/>
      <c r="E156" s="183"/>
      <c r="F156" s="183"/>
      <c r="G156" s="183"/>
      <c r="H156" s="183"/>
      <c r="I156" s="183"/>
      <c r="J156" s="48"/>
    </row>
    <row r="157" spans="1:11" s="49" customFormat="1" ht="13.9" customHeight="1" x14ac:dyDescent="0.25">
      <c r="A157" s="184" t="s">
        <v>105</v>
      </c>
      <c r="B157" s="184"/>
      <c r="C157" s="184"/>
      <c r="D157" s="184"/>
      <c r="E157" s="184"/>
      <c r="F157" s="184"/>
      <c r="G157" s="184"/>
      <c r="H157" s="184"/>
      <c r="I157" s="184"/>
      <c r="J157" s="48"/>
    </row>
    <row r="158" spans="1:11" x14ac:dyDescent="0.25">
      <c r="J158" s="48"/>
    </row>
    <row r="159" spans="1:11" x14ac:dyDescent="0.25">
      <c r="J159" s="48"/>
    </row>
    <row r="160" spans="1:11" x14ac:dyDescent="0.25">
      <c r="J160" s="48"/>
    </row>
  </sheetData>
  <protectedRanges>
    <protectedRange algorithmName="SHA-512" hashValue="VF6HSW3Iy4xJ9rvYE/9xGHEoimGCygSu8D4FeqmdsD954MzAHwkkxLcwSP9Q5ui8KTGpWBzFAFpp2yGVfuii3Q==" saltValue="Ht0jMOW+8eakbuvlYpVr7Q==" spinCount="100000" sqref="G38:J43 G54:J60 G13:J28 G30:J32 G34:J36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4:J44 G46:J48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0:J52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mergeCells count="147">
    <mergeCell ref="B6:C6"/>
    <mergeCell ref="G6:I6"/>
    <mergeCell ref="A7:J7"/>
    <mergeCell ref="E8:I8"/>
    <mergeCell ref="B9:I9"/>
    <mergeCell ref="A10:J10"/>
    <mergeCell ref="A1:B1"/>
    <mergeCell ref="C2:G2"/>
    <mergeCell ref="B3:H3"/>
    <mergeCell ref="B4:C4"/>
    <mergeCell ref="G4:I4"/>
    <mergeCell ref="B5:C5"/>
    <mergeCell ref="G5:I5"/>
    <mergeCell ref="E33:F33"/>
    <mergeCell ref="E37:F37"/>
    <mergeCell ref="E45:F45"/>
    <mergeCell ref="E49:F49"/>
    <mergeCell ref="E53:F53"/>
    <mergeCell ref="A60:J60"/>
    <mergeCell ref="N10:R10"/>
    <mergeCell ref="S10:X10"/>
    <mergeCell ref="Y10:AB10"/>
    <mergeCell ref="E11:F11"/>
    <mergeCell ref="E12:F12"/>
    <mergeCell ref="E29:F29"/>
    <mergeCell ref="A66:D66"/>
    <mergeCell ref="F66:J66"/>
    <mergeCell ref="L66:Q66"/>
    <mergeCell ref="A67:D67"/>
    <mergeCell ref="F67:J67"/>
    <mergeCell ref="A68:D68"/>
    <mergeCell ref="F68:J68"/>
    <mergeCell ref="A62:J62"/>
    <mergeCell ref="A63:J63"/>
    <mergeCell ref="A64:D64"/>
    <mergeCell ref="E64:J64"/>
    <mergeCell ref="L64:Q64"/>
    <mergeCell ref="A65:D65"/>
    <mergeCell ref="F65:J65"/>
    <mergeCell ref="L65:Q65"/>
    <mergeCell ref="A72:D72"/>
    <mergeCell ref="F72:J72"/>
    <mergeCell ref="L72:Q72"/>
    <mergeCell ref="A73:D73"/>
    <mergeCell ref="F73:J73"/>
    <mergeCell ref="L73:Q73"/>
    <mergeCell ref="A69:D69"/>
    <mergeCell ref="F69:J69"/>
    <mergeCell ref="A70:D70"/>
    <mergeCell ref="F70:J70"/>
    <mergeCell ref="L70:Q70"/>
    <mergeCell ref="A71:D71"/>
    <mergeCell ref="F71:J71"/>
    <mergeCell ref="L71:Q71"/>
    <mergeCell ref="A76:D76"/>
    <mergeCell ref="E76:J76"/>
    <mergeCell ref="L76:Q76"/>
    <mergeCell ref="A77:J77"/>
    <mergeCell ref="D78:F78"/>
    <mergeCell ref="D79:F79"/>
    <mergeCell ref="A74:D74"/>
    <mergeCell ref="G74:J74"/>
    <mergeCell ref="L74:Q74"/>
    <mergeCell ref="A75:D75"/>
    <mergeCell ref="G75:J75"/>
    <mergeCell ref="L75:Q75"/>
    <mergeCell ref="D86:F86"/>
    <mergeCell ref="D87:F87"/>
    <mergeCell ref="D88:F88"/>
    <mergeCell ref="D89:F89"/>
    <mergeCell ref="D90:F90"/>
    <mergeCell ref="D91:F91"/>
    <mergeCell ref="D80:F80"/>
    <mergeCell ref="D81:F81"/>
    <mergeCell ref="D82:F82"/>
    <mergeCell ref="D83:F83"/>
    <mergeCell ref="D84:F84"/>
    <mergeCell ref="D85:F85"/>
    <mergeCell ref="D98:F98"/>
    <mergeCell ref="D99:F99"/>
    <mergeCell ref="D100:F100"/>
    <mergeCell ref="D101:F101"/>
    <mergeCell ref="D102:F102"/>
    <mergeCell ref="D103:F103"/>
    <mergeCell ref="D92:F92"/>
    <mergeCell ref="D93:F93"/>
    <mergeCell ref="D94:F94"/>
    <mergeCell ref="D95:F95"/>
    <mergeCell ref="D96:F96"/>
    <mergeCell ref="D97:F97"/>
    <mergeCell ref="D110:F110"/>
    <mergeCell ref="D111:F111"/>
    <mergeCell ref="D112:F112"/>
    <mergeCell ref="D113:F113"/>
    <mergeCell ref="D114:F114"/>
    <mergeCell ref="D115:F115"/>
    <mergeCell ref="D104:F104"/>
    <mergeCell ref="D105:F105"/>
    <mergeCell ref="D106:F106"/>
    <mergeCell ref="D107:F107"/>
    <mergeCell ref="D108:F108"/>
    <mergeCell ref="D109:F109"/>
    <mergeCell ref="D122:F122"/>
    <mergeCell ref="D123:F123"/>
    <mergeCell ref="D124:F124"/>
    <mergeCell ref="D125:F125"/>
    <mergeCell ref="D126:F126"/>
    <mergeCell ref="D127:F127"/>
    <mergeCell ref="D116:F116"/>
    <mergeCell ref="D117:F117"/>
    <mergeCell ref="D118:F118"/>
    <mergeCell ref="D119:F119"/>
    <mergeCell ref="D120:F120"/>
    <mergeCell ref="D121:F121"/>
    <mergeCell ref="D134:F134"/>
    <mergeCell ref="D135:F135"/>
    <mergeCell ref="D136:F136"/>
    <mergeCell ref="D137:F137"/>
    <mergeCell ref="D138:F138"/>
    <mergeCell ref="D139:F139"/>
    <mergeCell ref="D128:F128"/>
    <mergeCell ref="D129:F129"/>
    <mergeCell ref="D130:F130"/>
    <mergeCell ref="D131:F131"/>
    <mergeCell ref="D132:F132"/>
    <mergeCell ref="D133:F133"/>
    <mergeCell ref="A146:D146"/>
    <mergeCell ref="E146:J146"/>
    <mergeCell ref="A147:D147"/>
    <mergeCell ref="E147:J147"/>
    <mergeCell ref="A148:D148"/>
    <mergeCell ref="E148:J148"/>
    <mergeCell ref="D140:F140"/>
    <mergeCell ref="D141:F141"/>
    <mergeCell ref="D142:F142"/>
    <mergeCell ref="A144:J144"/>
    <mergeCell ref="A145:D145"/>
    <mergeCell ref="E145:J145"/>
    <mergeCell ref="A154:J155"/>
    <mergeCell ref="A156:I156"/>
    <mergeCell ref="A157:I157"/>
    <mergeCell ref="A149:D149"/>
    <mergeCell ref="E149:J149"/>
    <mergeCell ref="A150:D150"/>
    <mergeCell ref="E150:J150"/>
    <mergeCell ref="A151:J151"/>
    <mergeCell ref="A152:J153"/>
  </mergeCells>
  <hyperlinks>
    <hyperlink ref="G6" r:id="rId1" xr:uid="{A50AF616-0340-44CA-B9A2-881DCA22E462}"/>
    <hyperlink ref="G4" r:id="rId2" xr:uid="{2B0EF60C-471A-4577-90BF-2AB54A0D27FE}"/>
  </hyperlinks>
  <pageMargins left="0.35" right="0.35" top="0.35" bottom="0.35" header="0.3" footer="0.3"/>
  <pageSetup scale="53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EE99C9-1959-4299-9CA4-F9A8BD0A7F63}">
          <x14:formula1>
            <xm:f>'C:\Users\twang\AppData\Local\Microsoft\Windows\Temporary Internet Files\Content.Outlook\U7WJNCNV\[QUOTE TEMPLATE 05-01-21.xltx]Sheet1'!#REF!</xm:f>
          </x14:formula1>
          <xm:sqref>C30:C32 C54:C59 Q13:Q15 C46:C48 C38:C44 C13:C28 C34:C36</xm:sqref>
        </x14:dataValidation>
        <x14:dataValidation type="list" allowBlank="1" showInputMessage="1" showErrorMessage="1" xr:uid="{A3C13A47-FE88-4F11-A88F-63D6C9E1AB07}">
          <x14:formula1>
            <xm:f>'C:\Users\twang\AppData\Local\Microsoft\Windows\Temporary Internet Files\Content.Outlook\U7WJNCNV\[QUOTE TEMPLATE 05-01-21.xltx]Sheet1'!#REF!</xm:f>
          </x14:formula1>
          <xm:sqref>E70:E71 E73:E75 E65:E68 E30:E32 E13:E28 E46:E48 E38:E44 E54:E59 E34:E36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5655-CF5E-4F8D-B9B1-4B7F55D0C04B}">
  <sheetPr>
    <pageSetUpPr fitToPage="1"/>
  </sheetPr>
  <dimension ref="A1:AC158"/>
  <sheetViews>
    <sheetView zoomScale="90" zoomScaleNormal="90" zoomScaleSheetLayoutView="82" workbookViewId="0">
      <pane xSplit="4" topLeftCell="E1" activePane="topRight" state="frozen"/>
      <selection activeCell="A19" sqref="A19"/>
      <selection pane="topRight" activeCell="F13" sqref="F13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2.5703125" style="50" bestFit="1" customWidth="1"/>
    <col min="5" max="5" width="16.7109375" style="50" customWidth="1"/>
    <col min="6" max="6" width="15.42578125" style="50" customWidth="1"/>
    <col min="7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36</v>
      </c>
      <c r="B4" s="213" t="s">
        <v>37</v>
      </c>
      <c r="C4" s="213"/>
      <c r="D4" s="127"/>
      <c r="F4" s="41" t="s">
        <v>36</v>
      </c>
      <c r="G4" s="214" t="s">
        <v>305</v>
      </c>
      <c r="H4" s="213"/>
      <c r="I4" s="213"/>
      <c r="J4" s="4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J5" s="4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305</v>
      </c>
      <c r="H6" s="213"/>
      <c r="I6" s="213"/>
      <c r="J6" s="4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239"/>
      <c r="B7" s="239"/>
      <c r="C7" s="239"/>
      <c r="D7" s="239"/>
      <c r="E7" s="239"/>
      <c r="F7" s="239"/>
      <c r="G7" s="239"/>
      <c r="H7" s="239"/>
      <c r="I7" s="239"/>
      <c r="J7" s="239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44607</v>
      </c>
      <c r="C8" s="45" t="s">
        <v>91</v>
      </c>
      <c r="D8" s="44">
        <v>44620</v>
      </c>
      <c r="E8" s="213" t="s">
        <v>92</v>
      </c>
      <c r="F8" s="213"/>
      <c r="G8" s="213"/>
      <c r="H8" s="213"/>
      <c r="I8" s="213"/>
      <c r="J8" s="4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213" t="s">
        <v>40</v>
      </c>
      <c r="C9" s="213"/>
      <c r="D9" s="213"/>
      <c r="E9" s="213"/>
      <c r="F9" s="213"/>
      <c r="G9" s="213"/>
      <c r="H9" s="213"/>
      <c r="I9" s="213"/>
      <c r="J9" s="43"/>
      <c r="K9" s="12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 t="s">
        <v>257</v>
      </c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88" t="s">
        <v>82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  <c r="L12" s="89" t="s">
        <v>48</v>
      </c>
      <c r="M12" s="89" t="s">
        <v>261</v>
      </c>
      <c r="N12" s="90" t="s">
        <v>51</v>
      </c>
      <c r="O12" s="91" t="s">
        <v>50</v>
      </c>
      <c r="P12" s="91" t="s">
        <v>262</v>
      </c>
      <c r="Q12" s="91" t="s">
        <v>263</v>
      </c>
      <c r="R12" s="91" t="s">
        <v>264</v>
      </c>
      <c r="S12" s="92" t="s">
        <v>52</v>
      </c>
      <c r="T12" s="92" t="s">
        <v>53</v>
      </c>
      <c r="U12" s="92" t="s">
        <v>265</v>
      </c>
      <c r="V12" s="92" t="s">
        <v>266</v>
      </c>
      <c r="W12" s="92" t="s">
        <v>267</v>
      </c>
      <c r="X12" s="92" t="s">
        <v>268</v>
      </c>
      <c r="Y12" s="92" t="s">
        <v>52</v>
      </c>
      <c r="Z12" s="92" t="s">
        <v>53</v>
      </c>
      <c r="AA12" s="92" t="s">
        <v>265</v>
      </c>
      <c r="AB12" s="92" t="s">
        <v>266</v>
      </c>
      <c r="AC12" s="93" t="s">
        <v>269</v>
      </c>
    </row>
    <row r="13" spans="1:29" s="40" customFormat="1" ht="18.75" x14ac:dyDescent="0.25">
      <c r="A13" s="51" t="s">
        <v>81</v>
      </c>
      <c r="B13" s="51" t="s">
        <v>16</v>
      </c>
      <c r="C13" s="94" t="s">
        <v>54</v>
      </c>
      <c r="D13" s="95" t="s">
        <v>308</v>
      </c>
      <c r="E13" s="96" t="s">
        <v>114</v>
      </c>
      <c r="F13" s="97" t="s">
        <v>270</v>
      </c>
      <c r="G13" s="98" t="e">
        <f t="shared" ref="G13:G28" si="0">CEILING(S13+W13+X13+O13+N13+Y13,10)</f>
        <v>#N/A</v>
      </c>
      <c r="H13" s="99" t="e">
        <f t="shared" ref="H13:H28" si="1">CEILING(T13+W13+X13+O13+N13+Z13,10)</f>
        <v>#N/A</v>
      </c>
      <c r="I13" s="99" t="e">
        <f t="shared" ref="I13:I28" si="2">CEILING(U13+W13+X13+O13+N13+AA13,10)</f>
        <v>#N/A</v>
      </c>
      <c r="J13" s="99" t="e">
        <f t="shared" ref="J13:J28" si="3">CEILING(V13+W13+X13+O13+N13+AB13,10)</f>
        <v>#N/A</v>
      </c>
      <c r="K13" s="57"/>
      <c r="L13" s="100" t="s">
        <v>272</v>
      </c>
      <c r="M13" s="52" t="s">
        <v>292</v>
      </c>
      <c r="N13" s="40">
        <v>0</v>
      </c>
      <c r="O13" s="53" t="e">
        <f>VLOOKUP(B13,DRAYAGE!$A$1:$C$6,3,FALSE)</f>
        <v>#N/A</v>
      </c>
      <c r="P13" s="40" t="s">
        <v>298</v>
      </c>
      <c r="S13" s="101">
        <f t="shared" ref="S13:S28" si="4">0.9*T13</f>
        <v>9900</v>
      </c>
      <c r="T13" s="54">
        <v>11000</v>
      </c>
      <c r="U13" s="103">
        <f>T13</f>
        <v>11000</v>
      </c>
      <c r="V13" s="104">
        <f t="shared" ref="V13:V28" si="5">U13*1.266</f>
        <v>13926</v>
      </c>
      <c r="X13" s="40">
        <v>0</v>
      </c>
    </row>
    <row r="14" spans="1:29" s="40" customFormat="1" ht="14.45" customHeight="1" x14ac:dyDescent="0.25">
      <c r="A14" s="51" t="s">
        <v>55</v>
      </c>
      <c r="B14" s="51" t="s">
        <v>16</v>
      </c>
      <c r="C14" s="94" t="s">
        <v>54</v>
      </c>
      <c r="D14" s="95" t="s">
        <v>308</v>
      </c>
      <c r="E14" s="96" t="s">
        <v>114</v>
      </c>
      <c r="F14" s="97" t="s">
        <v>270</v>
      </c>
      <c r="G14" s="98" t="e">
        <f t="shared" si="0"/>
        <v>#N/A</v>
      </c>
      <c r="H14" s="99" t="e">
        <f t="shared" si="1"/>
        <v>#N/A</v>
      </c>
      <c r="I14" s="99" t="e">
        <f t="shared" si="2"/>
        <v>#N/A</v>
      </c>
      <c r="J14" s="99" t="e">
        <f t="shared" si="3"/>
        <v>#N/A</v>
      </c>
      <c r="K14" s="57"/>
      <c r="L14" s="100" t="s">
        <v>272</v>
      </c>
      <c r="M14" s="52" t="s">
        <v>292</v>
      </c>
      <c r="N14" s="40">
        <v>0</v>
      </c>
      <c r="O14" s="53" t="e">
        <f>VLOOKUP(B14,DRAYAGE!$A$1:$C$6,3,FALSE)</f>
        <v>#N/A</v>
      </c>
      <c r="P14" s="40" t="s">
        <v>298</v>
      </c>
      <c r="S14" s="101">
        <f t="shared" si="4"/>
        <v>11250</v>
      </c>
      <c r="T14" s="54">
        <v>12500</v>
      </c>
      <c r="U14" s="103">
        <f t="shared" ref="U14:U57" si="6">T14</f>
        <v>12500</v>
      </c>
      <c r="V14" s="104">
        <f t="shared" si="5"/>
        <v>15825</v>
      </c>
      <c r="X14" s="40">
        <v>0</v>
      </c>
    </row>
    <row r="15" spans="1:29" s="40" customFormat="1" ht="14.45" customHeight="1" x14ac:dyDescent="0.25">
      <c r="A15" s="51" t="s">
        <v>55</v>
      </c>
      <c r="B15" s="51" t="s">
        <v>16</v>
      </c>
      <c r="C15" s="94" t="s">
        <v>54</v>
      </c>
      <c r="D15" s="126" t="s">
        <v>329</v>
      </c>
      <c r="E15" s="96" t="s">
        <v>114</v>
      </c>
      <c r="F15" s="97" t="s">
        <v>270</v>
      </c>
      <c r="G15" s="98" t="e">
        <f t="shared" si="0"/>
        <v>#N/A</v>
      </c>
      <c r="H15" s="99" t="e">
        <f t="shared" si="1"/>
        <v>#N/A</v>
      </c>
      <c r="I15" s="99" t="e">
        <f t="shared" si="2"/>
        <v>#N/A</v>
      </c>
      <c r="J15" s="99" t="e">
        <f t="shared" si="3"/>
        <v>#N/A</v>
      </c>
      <c r="K15" s="57"/>
      <c r="L15" s="100" t="s">
        <v>272</v>
      </c>
      <c r="M15" s="52" t="s">
        <v>292</v>
      </c>
      <c r="N15" s="40">
        <v>0</v>
      </c>
      <c r="O15" s="53" t="e">
        <f>VLOOKUP(B15,DRAYAGE!$A$1:$C$6,3,FALSE)</f>
        <v>#N/A</v>
      </c>
      <c r="P15" s="40" t="s">
        <v>298</v>
      </c>
      <c r="S15" s="101">
        <f t="shared" si="4"/>
        <v>12150</v>
      </c>
      <c r="T15" s="54">
        <v>13500</v>
      </c>
      <c r="U15" s="103">
        <f t="shared" si="6"/>
        <v>13500</v>
      </c>
      <c r="V15" s="104">
        <f t="shared" si="5"/>
        <v>17091</v>
      </c>
      <c r="X15" s="40">
        <v>0</v>
      </c>
    </row>
    <row r="16" spans="1:29" s="40" customFormat="1" ht="14.45" customHeight="1" x14ac:dyDescent="0.25">
      <c r="A16" s="51" t="s">
        <v>56</v>
      </c>
      <c r="B16" s="51" t="s">
        <v>16</v>
      </c>
      <c r="C16" s="94" t="s">
        <v>54</v>
      </c>
      <c r="D16" s="95" t="s">
        <v>308</v>
      </c>
      <c r="E16" s="96" t="s">
        <v>114</v>
      </c>
      <c r="F16" s="97" t="s">
        <v>270</v>
      </c>
      <c r="G16" s="98" t="e">
        <f t="shared" si="0"/>
        <v>#N/A</v>
      </c>
      <c r="H16" s="99" t="e">
        <f t="shared" si="1"/>
        <v>#N/A</v>
      </c>
      <c r="I16" s="99" t="e">
        <f t="shared" si="2"/>
        <v>#N/A</v>
      </c>
      <c r="J16" s="99" t="e">
        <f t="shared" si="3"/>
        <v>#N/A</v>
      </c>
      <c r="K16" s="57"/>
      <c r="L16" s="100" t="s">
        <v>272</v>
      </c>
      <c r="M16" s="52" t="s">
        <v>292</v>
      </c>
      <c r="N16" s="40">
        <v>0</v>
      </c>
      <c r="O16" s="53" t="e">
        <f>VLOOKUP(B16,DRAYAGE!$A$1:$C$6,3,FALSE)</f>
        <v>#N/A</v>
      </c>
      <c r="P16" s="40" t="s">
        <v>298</v>
      </c>
      <c r="S16" s="101">
        <f t="shared" si="4"/>
        <v>11250</v>
      </c>
      <c r="T16" s="54">
        <v>12500</v>
      </c>
      <c r="U16" s="103">
        <f t="shared" si="6"/>
        <v>12500</v>
      </c>
      <c r="V16" s="104">
        <f t="shared" si="5"/>
        <v>15825</v>
      </c>
      <c r="X16" s="40">
        <v>0</v>
      </c>
    </row>
    <row r="17" spans="1:29" s="40" customFormat="1" ht="14.45" customHeight="1" x14ac:dyDescent="0.25">
      <c r="A17" s="51" t="s">
        <v>57</v>
      </c>
      <c r="B17" s="51" t="s">
        <v>16</v>
      </c>
      <c r="C17" s="94" t="s">
        <v>54</v>
      </c>
      <c r="D17" s="95" t="s">
        <v>308</v>
      </c>
      <c r="E17" s="96" t="s">
        <v>114</v>
      </c>
      <c r="F17" s="97" t="s">
        <v>270</v>
      </c>
      <c r="G17" s="98" t="e">
        <f t="shared" si="0"/>
        <v>#N/A</v>
      </c>
      <c r="H17" s="99" t="e">
        <f t="shared" si="1"/>
        <v>#N/A</v>
      </c>
      <c r="I17" s="99" t="e">
        <f t="shared" si="2"/>
        <v>#N/A</v>
      </c>
      <c r="J17" s="99" t="e">
        <f t="shared" si="3"/>
        <v>#N/A</v>
      </c>
      <c r="K17" s="57"/>
      <c r="L17" s="100" t="s">
        <v>272</v>
      </c>
      <c r="M17" s="52" t="s">
        <v>292</v>
      </c>
      <c r="N17" s="40">
        <v>0</v>
      </c>
      <c r="O17" s="53" t="e">
        <f>VLOOKUP(B17,DRAYAGE!$A$1:$C$6,3,FALSE)</f>
        <v>#N/A</v>
      </c>
      <c r="P17" s="40" t="s">
        <v>298</v>
      </c>
      <c r="S17" s="101">
        <f t="shared" si="4"/>
        <v>13950</v>
      </c>
      <c r="T17" s="54">
        <v>15500</v>
      </c>
      <c r="U17" s="103">
        <f t="shared" si="6"/>
        <v>15500</v>
      </c>
      <c r="V17" s="104">
        <f t="shared" si="5"/>
        <v>19623</v>
      </c>
      <c r="X17" s="40">
        <v>0</v>
      </c>
    </row>
    <row r="18" spans="1:29" s="40" customFormat="1" ht="14.45" customHeight="1" x14ac:dyDescent="0.25">
      <c r="A18" s="51" t="s">
        <v>59</v>
      </c>
      <c r="B18" s="51" t="s">
        <v>16</v>
      </c>
      <c r="C18" s="94" t="s">
        <v>54</v>
      </c>
      <c r="D18" s="95" t="s">
        <v>308</v>
      </c>
      <c r="E18" s="96" t="s">
        <v>114</v>
      </c>
      <c r="F18" s="97" t="s">
        <v>270</v>
      </c>
      <c r="G18" s="98" t="e">
        <f t="shared" si="0"/>
        <v>#N/A</v>
      </c>
      <c r="H18" s="99" t="e">
        <f t="shared" si="1"/>
        <v>#N/A</v>
      </c>
      <c r="I18" s="99" t="e">
        <f t="shared" si="2"/>
        <v>#N/A</v>
      </c>
      <c r="J18" s="99" t="e">
        <f t="shared" si="3"/>
        <v>#N/A</v>
      </c>
      <c r="K18" s="57"/>
      <c r="L18" s="100" t="s">
        <v>272</v>
      </c>
      <c r="M18" s="52" t="s">
        <v>292</v>
      </c>
      <c r="N18" s="40">
        <v>0</v>
      </c>
      <c r="O18" s="53" t="e">
        <f>VLOOKUP(B18,DRAYAGE!$A$1:$C$6,3,FALSE)</f>
        <v>#N/A</v>
      </c>
      <c r="P18" s="40" t="s">
        <v>298</v>
      </c>
      <c r="S18" s="101">
        <f t="shared" si="4"/>
        <v>9900</v>
      </c>
      <c r="T18" s="54">
        <v>11000</v>
      </c>
      <c r="U18" s="103">
        <f t="shared" si="6"/>
        <v>11000</v>
      </c>
      <c r="V18" s="104">
        <f t="shared" si="5"/>
        <v>13926</v>
      </c>
      <c r="X18" s="40">
        <v>0</v>
      </c>
    </row>
    <row r="19" spans="1:29" s="40" customFormat="1" ht="18.75" x14ac:dyDescent="0.25">
      <c r="A19" s="51" t="s">
        <v>60</v>
      </c>
      <c r="B19" s="51" t="s">
        <v>16</v>
      </c>
      <c r="C19" s="94" t="s">
        <v>54</v>
      </c>
      <c r="D19" s="95" t="s">
        <v>308</v>
      </c>
      <c r="E19" s="96" t="s">
        <v>114</v>
      </c>
      <c r="F19" s="97" t="s">
        <v>270</v>
      </c>
      <c r="G19" s="98" t="e">
        <f t="shared" si="0"/>
        <v>#N/A</v>
      </c>
      <c r="H19" s="99" t="e">
        <f t="shared" si="1"/>
        <v>#N/A</v>
      </c>
      <c r="I19" s="99" t="e">
        <f t="shared" si="2"/>
        <v>#N/A</v>
      </c>
      <c r="J19" s="99" t="e">
        <f t="shared" si="3"/>
        <v>#N/A</v>
      </c>
      <c r="K19" s="57"/>
      <c r="L19" s="100" t="s">
        <v>272</v>
      </c>
      <c r="M19" s="52" t="s">
        <v>292</v>
      </c>
      <c r="N19" s="40">
        <v>0</v>
      </c>
      <c r="O19" s="53" t="e">
        <f>VLOOKUP(B19,DRAYAGE!$A$1:$C$6,3,FALSE)</f>
        <v>#N/A</v>
      </c>
      <c r="P19" s="40" t="s">
        <v>298</v>
      </c>
      <c r="S19" s="101">
        <f t="shared" si="4"/>
        <v>10800</v>
      </c>
      <c r="T19" s="54">
        <v>12000</v>
      </c>
      <c r="U19" s="103">
        <f t="shared" si="6"/>
        <v>12000</v>
      </c>
      <c r="V19" s="104">
        <f t="shared" si="5"/>
        <v>15192</v>
      </c>
      <c r="X19" s="40">
        <v>0</v>
      </c>
    </row>
    <row r="20" spans="1:29" s="40" customFormat="1" ht="14.45" customHeight="1" x14ac:dyDescent="0.25">
      <c r="A20" s="51" t="s">
        <v>61</v>
      </c>
      <c r="B20" s="51" t="s">
        <v>16</v>
      </c>
      <c r="C20" s="94" t="s">
        <v>54</v>
      </c>
      <c r="D20" s="95" t="s">
        <v>308</v>
      </c>
      <c r="E20" s="96" t="s">
        <v>114</v>
      </c>
      <c r="F20" s="97" t="s">
        <v>270</v>
      </c>
      <c r="G20" s="98" t="e">
        <f t="shared" si="0"/>
        <v>#N/A</v>
      </c>
      <c r="H20" s="99" t="e">
        <f t="shared" si="1"/>
        <v>#N/A</v>
      </c>
      <c r="I20" s="99" t="e">
        <f t="shared" si="2"/>
        <v>#N/A</v>
      </c>
      <c r="J20" s="99" t="e">
        <f t="shared" si="3"/>
        <v>#N/A</v>
      </c>
      <c r="K20" s="57"/>
      <c r="L20" s="100" t="s">
        <v>272</v>
      </c>
      <c r="M20" s="52" t="s">
        <v>292</v>
      </c>
      <c r="N20" s="40">
        <v>0</v>
      </c>
      <c r="O20" s="53" t="e">
        <f>VLOOKUP(B20,DRAYAGE!$A$1:$C$6,3,FALSE)</f>
        <v>#N/A</v>
      </c>
      <c r="P20" s="40" t="s">
        <v>298</v>
      </c>
      <c r="S20" s="101">
        <f t="shared" si="4"/>
        <v>9900</v>
      </c>
      <c r="T20" s="54">
        <v>11000</v>
      </c>
      <c r="U20" s="103">
        <f t="shared" si="6"/>
        <v>11000</v>
      </c>
      <c r="V20" s="104">
        <f t="shared" si="5"/>
        <v>13926</v>
      </c>
      <c r="X20" s="40">
        <v>0</v>
      </c>
    </row>
    <row r="21" spans="1:29" s="45" customFormat="1" ht="14.45" customHeight="1" x14ac:dyDescent="0.25">
      <c r="A21" s="51" t="s">
        <v>276</v>
      </c>
      <c r="B21" s="51" t="s">
        <v>16</v>
      </c>
      <c r="C21" s="106" t="s">
        <v>54</v>
      </c>
      <c r="D21" s="95" t="s">
        <v>308</v>
      </c>
      <c r="E21" s="107" t="s">
        <v>114</v>
      </c>
      <c r="F21" s="108" t="s">
        <v>270</v>
      </c>
      <c r="G21" s="109" t="e">
        <f t="shared" si="0"/>
        <v>#N/A</v>
      </c>
      <c r="H21" s="110" t="e">
        <f t="shared" si="1"/>
        <v>#N/A</v>
      </c>
      <c r="I21" s="110" t="e">
        <f t="shared" si="2"/>
        <v>#N/A</v>
      </c>
      <c r="J21" s="110" t="e">
        <f t="shared" si="3"/>
        <v>#N/A</v>
      </c>
      <c r="K21" s="111"/>
      <c r="L21" s="112" t="s">
        <v>272</v>
      </c>
      <c r="M21" s="52" t="s">
        <v>292</v>
      </c>
      <c r="N21" s="45">
        <v>0</v>
      </c>
      <c r="O21" s="53" t="e">
        <f>VLOOKUP(B21,DRAYAGE!$A$1:$C$6,3,FALSE)</f>
        <v>#N/A</v>
      </c>
      <c r="P21" s="40" t="s">
        <v>298</v>
      </c>
      <c r="S21" s="113">
        <f t="shared" si="4"/>
        <v>10350</v>
      </c>
      <c r="T21" s="54">
        <v>11500</v>
      </c>
      <c r="U21" s="103">
        <f t="shared" si="6"/>
        <v>11500</v>
      </c>
      <c r="V21" s="114">
        <f t="shared" si="5"/>
        <v>14559</v>
      </c>
      <c r="X21" s="45">
        <v>0</v>
      </c>
      <c r="Y21" s="40">
        <f t="shared" ref="Y21:Y28" si="7">0.9*Z21</f>
        <v>135</v>
      </c>
      <c r="Z21" s="45">
        <v>150</v>
      </c>
      <c r="AA21" s="40">
        <f t="shared" ref="AA21:AA28" si="8">Z21</f>
        <v>150</v>
      </c>
      <c r="AB21" s="40">
        <f t="shared" ref="AB21:AB28" si="9">Z21*1.266</f>
        <v>189.9</v>
      </c>
    </row>
    <row r="22" spans="1:29" s="40" customFormat="1" ht="14.45" customHeight="1" x14ac:dyDescent="0.25">
      <c r="A22" s="51" t="s">
        <v>108</v>
      </c>
      <c r="B22" s="51" t="s">
        <v>16</v>
      </c>
      <c r="C22" s="94" t="s">
        <v>54</v>
      </c>
      <c r="D22" s="95" t="s">
        <v>308</v>
      </c>
      <c r="E22" s="96" t="s">
        <v>114</v>
      </c>
      <c r="F22" s="97" t="s">
        <v>270</v>
      </c>
      <c r="G22" s="98" t="e">
        <f t="shared" si="0"/>
        <v>#N/A</v>
      </c>
      <c r="H22" s="99" t="e">
        <f t="shared" si="1"/>
        <v>#N/A</v>
      </c>
      <c r="I22" s="99" t="e">
        <f t="shared" si="2"/>
        <v>#N/A</v>
      </c>
      <c r="J22" s="99" t="e">
        <f t="shared" si="3"/>
        <v>#N/A</v>
      </c>
      <c r="K22" s="57"/>
      <c r="L22" s="100" t="s">
        <v>272</v>
      </c>
      <c r="M22" s="52" t="s">
        <v>292</v>
      </c>
      <c r="N22" s="40">
        <v>0</v>
      </c>
      <c r="O22" s="53" t="e">
        <f>VLOOKUP(B22,DRAYAGE!$A$1:$C$6,3,FALSE)</f>
        <v>#N/A</v>
      </c>
      <c r="P22" s="40" t="s">
        <v>298</v>
      </c>
      <c r="S22" s="101">
        <f t="shared" si="4"/>
        <v>10800</v>
      </c>
      <c r="T22" s="54">
        <v>12000</v>
      </c>
      <c r="U22" s="103">
        <f t="shared" si="6"/>
        <v>12000</v>
      </c>
      <c r="V22" s="104">
        <f t="shared" si="5"/>
        <v>15192</v>
      </c>
      <c r="X22" s="40">
        <v>0</v>
      </c>
    </row>
    <row r="23" spans="1:29" s="40" customFormat="1" ht="14.45" customHeight="1" x14ac:dyDescent="0.25">
      <c r="A23" s="51" t="s">
        <v>62</v>
      </c>
      <c r="B23" s="51" t="s">
        <v>16</v>
      </c>
      <c r="C23" s="94" t="s">
        <v>54</v>
      </c>
      <c r="D23" s="95" t="s">
        <v>308</v>
      </c>
      <c r="E23" s="96" t="s">
        <v>114</v>
      </c>
      <c r="F23" s="97" t="s">
        <v>270</v>
      </c>
      <c r="G23" s="98" t="e">
        <f t="shared" si="0"/>
        <v>#N/A</v>
      </c>
      <c r="H23" s="99" t="e">
        <f t="shared" si="1"/>
        <v>#N/A</v>
      </c>
      <c r="I23" s="99" t="e">
        <f t="shared" si="2"/>
        <v>#N/A</v>
      </c>
      <c r="J23" s="99" t="e">
        <f t="shared" si="3"/>
        <v>#N/A</v>
      </c>
      <c r="K23" s="57"/>
      <c r="L23" s="100" t="s">
        <v>272</v>
      </c>
      <c r="M23" s="52" t="s">
        <v>292</v>
      </c>
      <c r="N23" s="40">
        <v>0</v>
      </c>
      <c r="O23" s="53" t="e">
        <f>VLOOKUP(B23,DRAYAGE!$A$1:$C$6,3,FALSE)</f>
        <v>#N/A</v>
      </c>
      <c r="P23" s="40" t="s">
        <v>298</v>
      </c>
      <c r="S23" s="101">
        <f t="shared" si="4"/>
        <v>13950</v>
      </c>
      <c r="T23" s="54">
        <v>15500</v>
      </c>
      <c r="U23" s="103">
        <f t="shared" si="6"/>
        <v>15500</v>
      </c>
      <c r="V23" s="104">
        <f t="shared" si="5"/>
        <v>19623</v>
      </c>
      <c r="X23" s="40">
        <v>0</v>
      </c>
      <c r="Y23" s="40">
        <f t="shared" si="7"/>
        <v>180</v>
      </c>
      <c r="Z23" s="40">
        <v>200</v>
      </c>
      <c r="AA23" s="40">
        <f t="shared" si="8"/>
        <v>200</v>
      </c>
      <c r="AB23" s="40">
        <f t="shared" si="9"/>
        <v>253.2</v>
      </c>
    </row>
    <row r="24" spans="1:29" s="40" customFormat="1" ht="18.75" x14ac:dyDescent="0.25">
      <c r="A24" s="51" t="s">
        <v>64</v>
      </c>
      <c r="B24" s="51" t="s">
        <v>16</v>
      </c>
      <c r="C24" s="94" t="s">
        <v>54</v>
      </c>
      <c r="D24" s="95" t="s">
        <v>308</v>
      </c>
      <c r="E24" s="96" t="s">
        <v>114</v>
      </c>
      <c r="F24" s="97" t="s">
        <v>270</v>
      </c>
      <c r="G24" s="98" t="e">
        <f t="shared" si="0"/>
        <v>#N/A</v>
      </c>
      <c r="H24" s="99" t="e">
        <f t="shared" si="1"/>
        <v>#N/A</v>
      </c>
      <c r="I24" s="99" t="e">
        <f t="shared" si="2"/>
        <v>#N/A</v>
      </c>
      <c r="J24" s="99" t="e">
        <f t="shared" si="3"/>
        <v>#N/A</v>
      </c>
      <c r="K24" s="57"/>
      <c r="L24" s="100" t="s">
        <v>272</v>
      </c>
      <c r="M24" s="52" t="s">
        <v>292</v>
      </c>
      <c r="N24" s="40">
        <v>0</v>
      </c>
      <c r="O24" s="53" t="e">
        <f>VLOOKUP(B24,DRAYAGE!$A$1:$C$6,3,FALSE)</f>
        <v>#N/A</v>
      </c>
      <c r="P24" s="40" t="s">
        <v>298</v>
      </c>
      <c r="S24" s="101">
        <f t="shared" si="4"/>
        <v>13950</v>
      </c>
      <c r="T24" s="54">
        <v>15500</v>
      </c>
      <c r="U24" s="103">
        <f t="shared" si="6"/>
        <v>15500</v>
      </c>
      <c r="V24" s="104">
        <f t="shared" si="5"/>
        <v>19623</v>
      </c>
      <c r="X24" s="40">
        <v>0</v>
      </c>
    </row>
    <row r="25" spans="1:29" s="40" customFormat="1" ht="14.45" customHeight="1" x14ac:dyDescent="0.25">
      <c r="A25" s="51" t="s">
        <v>66</v>
      </c>
      <c r="B25" s="51" t="s">
        <v>16</v>
      </c>
      <c r="C25" s="94" t="s">
        <v>54</v>
      </c>
      <c r="D25" s="95" t="s">
        <v>308</v>
      </c>
      <c r="E25" s="96" t="s">
        <v>114</v>
      </c>
      <c r="F25" s="97" t="s">
        <v>270</v>
      </c>
      <c r="G25" s="98" t="e">
        <f t="shared" si="0"/>
        <v>#N/A</v>
      </c>
      <c r="H25" s="99" t="e">
        <f t="shared" si="1"/>
        <v>#N/A</v>
      </c>
      <c r="I25" s="99" t="e">
        <f t="shared" si="2"/>
        <v>#N/A</v>
      </c>
      <c r="J25" s="99" t="e">
        <f t="shared" si="3"/>
        <v>#N/A</v>
      </c>
      <c r="K25" s="57"/>
      <c r="L25" s="100" t="s">
        <v>272</v>
      </c>
      <c r="M25" s="52" t="s">
        <v>292</v>
      </c>
      <c r="N25" s="40">
        <v>0</v>
      </c>
      <c r="O25" s="53" t="e">
        <f>VLOOKUP(B25,DRAYAGE!$A$1:$C$6,3,FALSE)</f>
        <v>#N/A</v>
      </c>
      <c r="P25" s="40" t="s">
        <v>298</v>
      </c>
      <c r="S25" s="101">
        <f t="shared" si="4"/>
        <v>10800</v>
      </c>
      <c r="T25" s="54">
        <v>12000</v>
      </c>
      <c r="U25" s="103">
        <f t="shared" si="6"/>
        <v>12000</v>
      </c>
      <c r="V25" s="104">
        <f t="shared" si="5"/>
        <v>15192</v>
      </c>
      <c r="X25" s="40">
        <v>0</v>
      </c>
    </row>
    <row r="26" spans="1:29" s="40" customFormat="1" ht="14.45" customHeight="1" x14ac:dyDescent="0.25">
      <c r="A26" s="51" t="s">
        <v>65</v>
      </c>
      <c r="B26" s="51" t="s">
        <v>16</v>
      </c>
      <c r="C26" s="94" t="s">
        <v>54</v>
      </c>
      <c r="D26" s="95" t="s">
        <v>308</v>
      </c>
      <c r="E26" s="96" t="s">
        <v>114</v>
      </c>
      <c r="F26" s="97" t="s">
        <v>270</v>
      </c>
      <c r="G26" s="98" t="e">
        <f t="shared" si="0"/>
        <v>#N/A</v>
      </c>
      <c r="H26" s="99" t="e">
        <f t="shared" si="1"/>
        <v>#N/A</v>
      </c>
      <c r="I26" s="99" t="e">
        <f t="shared" si="2"/>
        <v>#N/A</v>
      </c>
      <c r="J26" s="99" t="e">
        <f t="shared" si="3"/>
        <v>#N/A</v>
      </c>
      <c r="K26" s="57"/>
      <c r="L26" s="100" t="s">
        <v>272</v>
      </c>
      <c r="M26" s="52" t="s">
        <v>292</v>
      </c>
      <c r="N26" s="40">
        <v>0</v>
      </c>
      <c r="O26" s="53" t="e">
        <f>VLOOKUP(B26,DRAYAGE!$A$1:$C$6,3,FALSE)</f>
        <v>#N/A</v>
      </c>
      <c r="P26" s="40" t="s">
        <v>298</v>
      </c>
      <c r="S26" s="101">
        <f t="shared" si="4"/>
        <v>13950</v>
      </c>
      <c r="T26" s="54">
        <v>15500</v>
      </c>
      <c r="U26" s="103">
        <f t="shared" si="6"/>
        <v>15500</v>
      </c>
      <c r="V26" s="104">
        <f t="shared" si="5"/>
        <v>19623</v>
      </c>
      <c r="X26" s="40">
        <v>0</v>
      </c>
      <c r="Y26" s="40">
        <f t="shared" si="7"/>
        <v>360</v>
      </c>
      <c r="Z26" s="40">
        <v>400</v>
      </c>
      <c r="AA26" s="40">
        <f t="shared" si="8"/>
        <v>400</v>
      </c>
      <c r="AB26" s="40">
        <f t="shared" si="9"/>
        <v>506.4</v>
      </c>
    </row>
    <row r="27" spans="1:29" s="40" customFormat="1" ht="14.45" customHeight="1" x14ac:dyDescent="0.25">
      <c r="A27" s="51" t="s">
        <v>63</v>
      </c>
      <c r="B27" s="51" t="s">
        <v>16</v>
      </c>
      <c r="C27" s="94" t="s">
        <v>54</v>
      </c>
      <c r="D27" s="95" t="s">
        <v>308</v>
      </c>
      <c r="E27" s="96" t="s">
        <v>114</v>
      </c>
      <c r="F27" s="97" t="s">
        <v>270</v>
      </c>
      <c r="G27" s="98" t="e">
        <f t="shared" si="0"/>
        <v>#N/A</v>
      </c>
      <c r="H27" s="99" t="e">
        <f t="shared" si="1"/>
        <v>#N/A</v>
      </c>
      <c r="I27" s="99" t="e">
        <f t="shared" si="2"/>
        <v>#N/A</v>
      </c>
      <c r="J27" s="99" t="e">
        <f t="shared" si="3"/>
        <v>#N/A</v>
      </c>
      <c r="K27" s="57"/>
      <c r="L27" s="100" t="s">
        <v>272</v>
      </c>
      <c r="M27" s="52" t="s">
        <v>292</v>
      </c>
      <c r="N27" s="40">
        <v>0</v>
      </c>
      <c r="O27" s="53" t="e">
        <f>VLOOKUP(B27,DRAYAGE!$A$1:$C$6,3,FALSE)</f>
        <v>#N/A</v>
      </c>
      <c r="P27" s="40" t="s">
        <v>298</v>
      </c>
      <c r="S27" s="101">
        <f t="shared" si="4"/>
        <v>13950</v>
      </c>
      <c r="T27" s="54">
        <v>15500</v>
      </c>
      <c r="U27" s="103">
        <f t="shared" si="6"/>
        <v>15500</v>
      </c>
      <c r="V27" s="104">
        <f t="shared" si="5"/>
        <v>19623</v>
      </c>
      <c r="X27" s="40">
        <v>0</v>
      </c>
      <c r="Y27" s="40">
        <f t="shared" si="7"/>
        <v>135</v>
      </c>
      <c r="Z27" s="40">
        <v>150</v>
      </c>
      <c r="AA27" s="40">
        <f t="shared" si="8"/>
        <v>150</v>
      </c>
      <c r="AB27" s="40">
        <f t="shared" si="9"/>
        <v>189.9</v>
      </c>
    </row>
    <row r="28" spans="1:29" s="45" customFormat="1" ht="14.45" customHeight="1" x14ac:dyDescent="0.25">
      <c r="A28" s="51" t="s">
        <v>275</v>
      </c>
      <c r="B28" s="51" t="s">
        <v>16</v>
      </c>
      <c r="C28" s="106" t="s">
        <v>54</v>
      </c>
      <c r="D28" s="95" t="s">
        <v>308</v>
      </c>
      <c r="E28" s="107" t="s">
        <v>114</v>
      </c>
      <c r="F28" s="108" t="s">
        <v>270</v>
      </c>
      <c r="G28" s="98" t="e">
        <f t="shared" si="0"/>
        <v>#N/A</v>
      </c>
      <c r="H28" s="99" t="e">
        <f t="shared" si="1"/>
        <v>#N/A</v>
      </c>
      <c r="I28" s="99" t="e">
        <f t="shared" si="2"/>
        <v>#N/A</v>
      </c>
      <c r="J28" s="99" t="e">
        <f t="shared" si="3"/>
        <v>#N/A</v>
      </c>
      <c r="K28" s="111"/>
      <c r="L28" s="112" t="s">
        <v>272</v>
      </c>
      <c r="M28" s="52" t="s">
        <v>292</v>
      </c>
      <c r="N28" s="45">
        <v>0</v>
      </c>
      <c r="O28" s="53" t="e">
        <f>VLOOKUP(B28,DRAYAGE!$A$1:$C$6,3,FALSE)</f>
        <v>#N/A</v>
      </c>
      <c r="P28" s="40" t="s">
        <v>298</v>
      </c>
      <c r="R28" s="105"/>
      <c r="S28" s="113">
        <f t="shared" si="4"/>
        <v>13950</v>
      </c>
      <c r="T28" s="54">
        <v>15500</v>
      </c>
      <c r="U28" s="103">
        <f t="shared" si="6"/>
        <v>15500</v>
      </c>
      <c r="V28" s="114">
        <f t="shared" si="5"/>
        <v>19623</v>
      </c>
      <c r="X28" s="45">
        <v>0</v>
      </c>
      <c r="Y28" s="40">
        <f t="shared" si="7"/>
        <v>450</v>
      </c>
      <c r="Z28" s="45">
        <v>500</v>
      </c>
      <c r="AA28" s="40">
        <f t="shared" si="8"/>
        <v>500</v>
      </c>
      <c r="AB28" s="40">
        <f t="shared" si="9"/>
        <v>633</v>
      </c>
    </row>
    <row r="29" spans="1:29" s="40" customFormat="1" ht="14.45" customHeight="1" x14ac:dyDescent="0.25">
      <c r="A29" s="46" t="s">
        <v>83</v>
      </c>
      <c r="B29" s="88"/>
      <c r="C29" s="88"/>
      <c r="D29" s="88"/>
      <c r="E29" s="210"/>
      <c r="F29" s="211"/>
      <c r="G29" s="88"/>
      <c r="H29" s="88"/>
      <c r="I29" s="88"/>
      <c r="J29" s="88"/>
      <c r="K29" s="57"/>
      <c r="L29" s="89" t="s">
        <v>48</v>
      </c>
      <c r="M29" s="89" t="s">
        <v>261</v>
      </c>
      <c r="N29" s="90" t="s">
        <v>51</v>
      </c>
      <c r="O29" s="91" t="s">
        <v>50</v>
      </c>
      <c r="P29" s="91" t="s">
        <v>262</v>
      </c>
      <c r="Q29" s="91" t="s">
        <v>263</v>
      </c>
      <c r="R29" s="91" t="s">
        <v>264</v>
      </c>
      <c r="S29" s="92" t="s">
        <v>52</v>
      </c>
      <c r="T29" s="92">
        <v>0</v>
      </c>
      <c r="U29" s="92" t="s">
        <v>265</v>
      </c>
      <c r="V29" s="92" t="s">
        <v>266</v>
      </c>
      <c r="W29" s="92" t="s">
        <v>267</v>
      </c>
      <c r="X29" s="92" t="s">
        <v>268</v>
      </c>
      <c r="Y29" s="92" t="s">
        <v>52</v>
      </c>
      <c r="Z29" s="92" t="s">
        <v>53</v>
      </c>
      <c r="AA29" s="92" t="s">
        <v>265</v>
      </c>
      <c r="AB29" s="92" t="s">
        <v>266</v>
      </c>
      <c r="AC29" s="93" t="s">
        <v>269</v>
      </c>
    </row>
    <row r="30" spans="1:29" s="40" customFormat="1" ht="14.45" customHeight="1" x14ac:dyDescent="0.25">
      <c r="A30" s="51" t="s">
        <v>58</v>
      </c>
      <c r="B30" s="51" t="s">
        <v>21</v>
      </c>
      <c r="C30" s="94" t="s">
        <v>54</v>
      </c>
      <c r="D30" s="95" t="s">
        <v>308</v>
      </c>
      <c r="E30" s="96" t="s">
        <v>114</v>
      </c>
      <c r="F30" s="97" t="s">
        <v>270</v>
      </c>
      <c r="G30" s="98" t="e">
        <f>CEILING(S30+W30+X30+O30+N30+Y30,10)</f>
        <v>#N/A</v>
      </c>
      <c r="H30" s="99" t="e">
        <f>CEILING(T30+W30+X30+O30+N30+Z30,10)</f>
        <v>#N/A</v>
      </c>
      <c r="I30" s="99" t="e">
        <f>CEILING(U30+W30+X30+O30+N30+AA30,10)</f>
        <v>#N/A</v>
      </c>
      <c r="J30" s="99" t="e">
        <f>CEILING(V30+W30+X30+O30+N30+AB30,10)</f>
        <v>#N/A</v>
      </c>
      <c r="K30" s="57"/>
      <c r="L30" s="100" t="s">
        <v>272</v>
      </c>
      <c r="M30" s="52" t="s">
        <v>293</v>
      </c>
      <c r="N30" s="40">
        <v>0</v>
      </c>
      <c r="O30" s="53" t="e">
        <f>VLOOKUP(B30,DRAYAGE!$A$1:$C$6,3,FALSE)</f>
        <v>#N/A</v>
      </c>
      <c r="P30" s="40" t="s">
        <v>299</v>
      </c>
      <c r="S30" s="101">
        <f>0.9*T30</f>
        <v>22950</v>
      </c>
      <c r="T30" s="54">
        <v>25500</v>
      </c>
      <c r="U30" s="103">
        <f t="shared" si="6"/>
        <v>25500</v>
      </c>
      <c r="V30" s="104">
        <f>U30*1.266</f>
        <v>32283</v>
      </c>
    </row>
    <row r="31" spans="1:29" s="40" customFormat="1" ht="14.45" customHeight="1" x14ac:dyDescent="0.25">
      <c r="A31" s="51" t="s">
        <v>320</v>
      </c>
      <c r="B31" s="51" t="s">
        <v>21</v>
      </c>
      <c r="C31" s="94" t="s">
        <v>54</v>
      </c>
      <c r="D31" s="126" t="s">
        <v>290</v>
      </c>
      <c r="E31" s="96" t="s">
        <v>114</v>
      </c>
      <c r="F31" s="97" t="s">
        <v>270</v>
      </c>
      <c r="G31" s="98" t="e">
        <f>CEILING(S31+W31+X31+O31+N31+Y31,10)</f>
        <v>#N/A</v>
      </c>
      <c r="H31" s="99" t="e">
        <f>CEILING(T31+W31+X31+O31+N31+Z31,10)</f>
        <v>#N/A</v>
      </c>
      <c r="I31" s="99" t="e">
        <f>CEILING(U31+W31+X31+O31+N31+AA31,10)</f>
        <v>#N/A</v>
      </c>
      <c r="J31" s="99" t="e">
        <f>CEILING(V31+W31+X31+O31+N31+AB31,10)</f>
        <v>#N/A</v>
      </c>
      <c r="K31" s="57"/>
      <c r="L31" s="100" t="s">
        <v>272</v>
      </c>
      <c r="M31" s="52" t="s">
        <v>293</v>
      </c>
      <c r="N31" s="40">
        <v>0</v>
      </c>
      <c r="O31" s="53" t="e">
        <f>VLOOKUP(B31,DRAYAGE!$A$1:$C$6,3,FALSE)</f>
        <v>#N/A</v>
      </c>
      <c r="P31" s="40" t="s">
        <v>299</v>
      </c>
      <c r="S31" s="101">
        <f>0.9*T31</f>
        <v>22950</v>
      </c>
      <c r="T31" s="54">
        <v>25500</v>
      </c>
      <c r="U31" s="103">
        <f t="shared" si="6"/>
        <v>25500</v>
      </c>
      <c r="V31" s="104">
        <f>U31*1.266</f>
        <v>32283</v>
      </c>
    </row>
    <row r="32" spans="1:29" s="40" customFormat="1" ht="14.45" customHeight="1" x14ac:dyDescent="0.25">
      <c r="A32" s="46" t="s">
        <v>84</v>
      </c>
      <c r="B32" s="88"/>
      <c r="C32" s="88"/>
      <c r="D32" s="88"/>
      <c r="E32" s="210"/>
      <c r="F32" s="211"/>
      <c r="G32" s="88"/>
      <c r="H32" s="88"/>
      <c r="I32" s="88"/>
      <c r="J32" s="88"/>
      <c r="K32" s="57"/>
      <c r="L32" s="89" t="s">
        <v>48</v>
      </c>
      <c r="M32" s="89" t="s">
        <v>261</v>
      </c>
      <c r="N32" s="90" t="s">
        <v>51</v>
      </c>
      <c r="O32" s="91" t="s">
        <v>50</v>
      </c>
      <c r="P32" s="91" t="s">
        <v>262</v>
      </c>
      <c r="Q32" s="91" t="s">
        <v>263</v>
      </c>
      <c r="R32" s="91" t="s">
        <v>264</v>
      </c>
      <c r="S32" s="92" t="s">
        <v>52</v>
      </c>
      <c r="T32" s="92" t="s">
        <v>53</v>
      </c>
      <c r="U32" s="92" t="s">
        <v>265</v>
      </c>
      <c r="V32" s="92" t="s">
        <v>266</v>
      </c>
      <c r="W32" s="92" t="s">
        <v>267</v>
      </c>
      <c r="X32" s="92" t="s">
        <v>268</v>
      </c>
      <c r="Y32" s="92" t="s">
        <v>52</v>
      </c>
      <c r="Z32" s="92" t="s">
        <v>53</v>
      </c>
      <c r="AA32" s="92" t="s">
        <v>265</v>
      </c>
      <c r="AB32" s="92" t="s">
        <v>266</v>
      </c>
      <c r="AC32" s="93" t="s">
        <v>269</v>
      </c>
    </row>
    <row r="33" spans="1:29" s="40" customFormat="1" ht="14.45" customHeight="1" x14ac:dyDescent="0.25">
      <c r="A33" s="51" t="s">
        <v>58</v>
      </c>
      <c r="B33" s="51" t="s">
        <v>22</v>
      </c>
      <c r="C33" s="94" t="s">
        <v>54</v>
      </c>
      <c r="D33" s="95" t="s">
        <v>308</v>
      </c>
      <c r="E33" s="96" t="s">
        <v>114</v>
      </c>
      <c r="F33" s="97" t="s">
        <v>270</v>
      </c>
      <c r="G33" s="98" t="e">
        <f>CEILING(S33+W33+X33+O33+N33+Y33,10)</f>
        <v>#N/A</v>
      </c>
      <c r="H33" s="99" t="e">
        <f>CEILING(T33+W33+X33+O33+N33+Z33,10)</f>
        <v>#N/A</v>
      </c>
      <c r="I33" s="99" t="e">
        <f>CEILING(U33+W33+X33+O33+N33+AA33,10)</f>
        <v>#N/A</v>
      </c>
      <c r="J33" s="99" t="e">
        <f>CEILING(V33+W33+X33+O33+N33+AB33,10)</f>
        <v>#N/A</v>
      </c>
      <c r="K33" s="57"/>
      <c r="L33" s="100" t="s">
        <v>272</v>
      </c>
      <c r="M33" s="52" t="s">
        <v>293</v>
      </c>
      <c r="N33" s="40">
        <v>0</v>
      </c>
      <c r="O33" s="53" t="e">
        <f>VLOOKUP(B33,DRAYAGE!$A$1:$C$6,3,FALSE)</f>
        <v>#N/A</v>
      </c>
      <c r="P33" s="40" t="s">
        <v>299</v>
      </c>
      <c r="S33" s="101">
        <f>0.9*T33</f>
        <v>22950</v>
      </c>
      <c r="T33" s="54">
        <v>25500</v>
      </c>
      <c r="U33" s="103">
        <f t="shared" si="6"/>
        <v>25500</v>
      </c>
      <c r="V33" s="104">
        <f>U33*1.266</f>
        <v>32283</v>
      </c>
      <c r="X33" s="40">
        <v>0</v>
      </c>
    </row>
    <row r="34" spans="1:29" s="40" customFormat="1" ht="14.45" customHeight="1" x14ac:dyDescent="0.25">
      <c r="A34" s="51" t="s">
        <v>320</v>
      </c>
      <c r="B34" s="51" t="s">
        <v>22</v>
      </c>
      <c r="C34" s="94" t="s">
        <v>54</v>
      </c>
      <c r="D34" s="126" t="s">
        <v>290</v>
      </c>
      <c r="E34" s="96" t="s">
        <v>114</v>
      </c>
      <c r="F34" s="97" t="s">
        <v>270</v>
      </c>
      <c r="G34" s="98" t="e">
        <f>CEILING(S34+W34+X34+O34+N34+Y34,10)</f>
        <v>#N/A</v>
      </c>
      <c r="H34" s="99" t="e">
        <f>CEILING(T34+W34+X34+O34+N34+Z34,10)</f>
        <v>#N/A</v>
      </c>
      <c r="I34" s="99" t="e">
        <f>CEILING(U34+W34+X34+O34+N34+AA34,10)</f>
        <v>#N/A</v>
      </c>
      <c r="J34" s="99" t="e">
        <f>CEILING(V34+W34+X34+O34+N34+AB34,10)</f>
        <v>#N/A</v>
      </c>
      <c r="K34" s="57"/>
      <c r="L34" s="100" t="s">
        <v>272</v>
      </c>
      <c r="M34" s="52" t="s">
        <v>293</v>
      </c>
      <c r="N34" s="40">
        <v>0</v>
      </c>
      <c r="O34" s="53" t="e">
        <f>VLOOKUP(B34,DRAYAGE!$A$1:$C$6,3,FALSE)</f>
        <v>#N/A</v>
      </c>
      <c r="P34" s="40" t="s">
        <v>299</v>
      </c>
      <c r="S34" s="101">
        <f>0.9*T34</f>
        <v>22950</v>
      </c>
      <c r="T34" s="54">
        <v>25500</v>
      </c>
      <c r="U34" s="103">
        <f t="shared" si="6"/>
        <v>25500</v>
      </c>
      <c r="V34" s="104">
        <f>U34*1.266</f>
        <v>32283</v>
      </c>
      <c r="X34" s="40">
        <v>0</v>
      </c>
    </row>
    <row r="35" spans="1:29" s="40" customFormat="1" ht="14.45" customHeight="1" x14ac:dyDescent="0.25">
      <c r="A35" s="47" t="s">
        <v>85</v>
      </c>
      <c r="B35" s="88"/>
      <c r="C35" s="88"/>
      <c r="D35" s="88"/>
      <c r="E35" s="210"/>
      <c r="F35" s="211"/>
      <c r="G35" s="88"/>
      <c r="H35" s="88"/>
      <c r="I35" s="88"/>
      <c r="J35" s="88"/>
      <c r="K35" s="57"/>
      <c r="L35" s="89" t="s">
        <v>48</v>
      </c>
      <c r="M35" s="89" t="s">
        <v>261</v>
      </c>
      <c r="N35" s="90" t="s">
        <v>51</v>
      </c>
      <c r="O35" s="91" t="s">
        <v>50</v>
      </c>
      <c r="P35" s="91" t="s">
        <v>262</v>
      </c>
      <c r="Q35" s="91" t="s">
        <v>263</v>
      </c>
      <c r="R35" s="91" t="s">
        <v>264</v>
      </c>
      <c r="S35" s="92" t="s">
        <v>52</v>
      </c>
      <c r="T35" s="92" t="s">
        <v>53</v>
      </c>
      <c r="U35" s="92" t="s">
        <v>265</v>
      </c>
      <c r="V35" s="92" t="s">
        <v>266</v>
      </c>
      <c r="W35" s="92" t="s">
        <v>267</v>
      </c>
      <c r="X35" s="92" t="s">
        <v>268</v>
      </c>
      <c r="Y35" s="92" t="s">
        <v>52</v>
      </c>
      <c r="Z35" s="92" t="s">
        <v>53</v>
      </c>
      <c r="AA35" s="92" t="s">
        <v>265</v>
      </c>
      <c r="AB35" s="92" t="s">
        <v>266</v>
      </c>
      <c r="AC35" s="93" t="s">
        <v>269</v>
      </c>
    </row>
    <row r="36" spans="1:29" s="40" customFormat="1" ht="18.75" x14ac:dyDescent="0.25">
      <c r="A36" s="51" t="s">
        <v>81</v>
      </c>
      <c r="B36" s="51" t="s">
        <v>17</v>
      </c>
      <c r="C36" s="94" t="s">
        <v>54</v>
      </c>
      <c r="D36" s="95" t="s">
        <v>308</v>
      </c>
      <c r="E36" s="96" t="s">
        <v>114</v>
      </c>
      <c r="F36" s="97" t="s">
        <v>270</v>
      </c>
      <c r="G36" s="98" t="e">
        <f t="shared" ref="G36:G42" si="10">CEILING(S36+W36+X36+O36+N36+Y36,10)</f>
        <v>#N/A</v>
      </c>
      <c r="H36" s="99" t="e">
        <f t="shared" ref="H36:H42" si="11">CEILING(T36+W36+X36+O36+N36+Z36,10)</f>
        <v>#N/A</v>
      </c>
      <c r="I36" s="99" t="e">
        <f t="shared" ref="I36:I42" si="12">CEILING(U36+W36+X36+O36+N36+AA36,10)</f>
        <v>#N/A</v>
      </c>
      <c r="J36" s="99" t="e">
        <f t="shared" ref="J36:J42" si="13">CEILING(V36+W36+X36+O36+N36+AB36,10)</f>
        <v>#N/A</v>
      </c>
      <c r="K36" s="57"/>
      <c r="L36" s="100" t="s">
        <v>272</v>
      </c>
      <c r="M36" s="52" t="s">
        <v>294</v>
      </c>
      <c r="N36" s="40">
        <v>0</v>
      </c>
      <c r="O36" s="53" t="e">
        <f>VLOOKUP(B36,DRAYAGE!$A$1:$C$6,3,FALSE)</f>
        <v>#N/A</v>
      </c>
      <c r="P36" s="40" t="s">
        <v>300</v>
      </c>
      <c r="S36" s="101">
        <f t="shared" ref="S36:S42" si="14">0.9*T36</f>
        <v>12150</v>
      </c>
      <c r="T36" s="54">
        <v>13500</v>
      </c>
      <c r="U36" s="103">
        <f t="shared" si="6"/>
        <v>13500</v>
      </c>
      <c r="V36" s="104">
        <f t="shared" ref="V36:V42" si="15">U36*1.266</f>
        <v>17091</v>
      </c>
      <c r="X36" s="40">
        <v>0</v>
      </c>
    </row>
    <row r="37" spans="1:29" s="40" customFormat="1" ht="14.45" customHeight="1" x14ac:dyDescent="0.25">
      <c r="A37" s="51" t="s">
        <v>55</v>
      </c>
      <c r="B37" s="51" t="s">
        <v>17</v>
      </c>
      <c r="C37" s="94" t="s">
        <v>54</v>
      </c>
      <c r="D37" s="95" t="s">
        <v>308</v>
      </c>
      <c r="E37" s="96" t="s">
        <v>114</v>
      </c>
      <c r="F37" s="97" t="s">
        <v>270</v>
      </c>
      <c r="G37" s="98" t="e">
        <f t="shared" si="10"/>
        <v>#N/A</v>
      </c>
      <c r="H37" s="99" t="e">
        <f t="shared" si="11"/>
        <v>#N/A</v>
      </c>
      <c r="I37" s="99" t="e">
        <f t="shared" si="12"/>
        <v>#N/A</v>
      </c>
      <c r="J37" s="99" t="e">
        <f t="shared" si="13"/>
        <v>#N/A</v>
      </c>
      <c r="K37" s="57"/>
      <c r="L37" s="100" t="s">
        <v>272</v>
      </c>
      <c r="M37" s="52" t="s">
        <v>294</v>
      </c>
      <c r="N37" s="40">
        <v>0</v>
      </c>
      <c r="O37" s="53" t="e">
        <f>VLOOKUP(B37,DRAYAGE!$A$1:$C$6,3,FALSE)</f>
        <v>#N/A</v>
      </c>
      <c r="P37" s="40" t="s">
        <v>300</v>
      </c>
      <c r="S37" s="101">
        <f t="shared" si="14"/>
        <v>13500</v>
      </c>
      <c r="T37" s="54">
        <v>15000</v>
      </c>
      <c r="U37" s="103">
        <f t="shared" si="6"/>
        <v>15000</v>
      </c>
      <c r="V37" s="104">
        <f t="shared" si="15"/>
        <v>18990</v>
      </c>
      <c r="X37" s="40">
        <v>0</v>
      </c>
    </row>
    <row r="38" spans="1:29" s="40" customFormat="1" ht="14.45" customHeight="1" x14ac:dyDescent="0.25">
      <c r="A38" s="51" t="s">
        <v>59</v>
      </c>
      <c r="B38" s="51" t="s">
        <v>17</v>
      </c>
      <c r="C38" s="94" t="s">
        <v>54</v>
      </c>
      <c r="D38" s="95" t="s">
        <v>308</v>
      </c>
      <c r="E38" s="96" t="s">
        <v>114</v>
      </c>
      <c r="F38" s="97" t="s">
        <v>270</v>
      </c>
      <c r="G38" s="98" t="e">
        <f t="shared" si="10"/>
        <v>#N/A</v>
      </c>
      <c r="H38" s="99" t="e">
        <f t="shared" si="11"/>
        <v>#N/A</v>
      </c>
      <c r="I38" s="99" t="e">
        <f t="shared" si="12"/>
        <v>#N/A</v>
      </c>
      <c r="J38" s="99" t="e">
        <f t="shared" si="13"/>
        <v>#N/A</v>
      </c>
      <c r="K38" s="57"/>
      <c r="L38" s="100" t="s">
        <v>272</v>
      </c>
      <c r="M38" s="52" t="s">
        <v>294</v>
      </c>
      <c r="N38" s="40">
        <v>0</v>
      </c>
      <c r="O38" s="53" t="e">
        <f>VLOOKUP(B38,DRAYAGE!$A$1:$C$6,3,FALSE)</f>
        <v>#N/A</v>
      </c>
      <c r="P38" s="40" t="s">
        <v>300</v>
      </c>
      <c r="S38" s="101">
        <f t="shared" si="14"/>
        <v>11700</v>
      </c>
      <c r="T38" s="54">
        <v>13000</v>
      </c>
      <c r="U38" s="103">
        <f t="shared" si="6"/>
        <v>13000</v>
      </c>
      <c r="V38" s="104">
        <f t="shared" si="15"/>
        <v>16458</v>
      </c>
      <c r="X38" s="40">
        <v>0</v>
      </c>
    </row>
    <row r="39" spans="1:29" s="40" customFormat="1" ht="18.75" x14ac:dyDescent="0.25">
      <c r="A39" s="51" t="s">
        <v>60</v>
      </c>
      <c r="B39" s="51" t="s">
        <v>17</v>
      </c>
      <c r="C39" s="94" t="s">
        <v>54</v>
      </c>
      <c r="D39" s="95" t="s">
        <v>308</v>
      </c>
      <c r="E39" s="96" t="s">
        <v>114</v>
      </c>
      <c r="F39" s="97" t="s">
        <v>270</v>
      </c>
      <c r="G39" s="98" t="e">
        <f t="shared" si="10"/>
        <v>#N/A</v>
      </c>
      <c r="H39" s="99" t="e">
        <f t="shared" si="11"/>
        <v>#N/A</v>
      </c>
      <c r="I39" s="99" t="e">
        <f t="shared" si="12"/>
        <v>#N/A</v>
      </c>
      <c r="J39" s="99" t="e">
        <f t="shared" si="13"/>
        <v>#N/A</v>
      </c>
      <c r="K39" s="57"/>
      <c r="L39" s="100" t="s">
        <v>272</v>
      </c>
      <c r="M39" s="52" t="s">
        <v>294</v>
      </c>
      <c r="N39" s="40">
        <v>0</v>
      </c>
      <c r="O39" s="53" t="e">
        <f>VLOOKUP(B39,DRAYAGE!$A$1:$C$6,3,FALSE)</f>
        <v>#N/A</v>
      </c>
      <c r="P39" s="40" t="s">
        <v>300</v>
      </c>
      <c r="S39" s="101">
        <f t="shared" si="14"/>
        <v>13050</v>
      </c>
      <c r="T39" s="54">
        <v>14500</v>
      </c>
      <c r="U39" s="103">
        <f t="shared" si="6"/>
        <v>14500</v>
      </c>
      <c r="V39" s="104">
        <f t="shared" si="15"/>
        <v>18357</v>
      </c>
      <c r="X39" s="40">
        <v>0</v>
      </c>
    </row>
    <row r="40" spans="1:29" s="45" customFormat="1" ht="14.45" customHeight="1" x14ac:dyDescent="0.25">
      <c r="A40" s="51" t="s">
        <v>61</v>
      </c>
      <c r="B40" s="51" t="s">
        <v>17</v>
      </c>
      <c r="C40" s="106" t="s">
        <v>54</v>
      </c>
      <c r="D40" s="95" t="s">
        <v>308</v>
      </c>
      <c r="E40" s="107" t="s">
        <v>114</v>
      </c>
      <c r="F40" s="108" t="s">
        <v>270</v>
      </c>
      <c r="G40" s="109" t="e">
        <f t="shared" si="10"/>
        <v>#N/A</v>
      </c>
      <c r="H40" s="110" t="e">
        <f t="shared" si="11"/>
        <v>#N/A</v>
      </c>
      <c r="I40" s="110" t="e">
        <f t="shared" si="12"/>
        <v>#N/A</v>
      </c>
      <c r="J40" s="110" t="e">
        <f t="shared" si="13"/>
        <v>#N/A</v>
      </c>
      <c r="K40" s="111"/>
      <c r="L40" s="112" t="s">
        <v>272</v>
      </c>
      <c r="M40" s="52" t="s">
        <v>294</v>
      </c>
      <c r="N40" s="45">
        <v>0</v>
      </c>
      <c r="O40" s="53" t="e">
        <f>VLOOKUP(B40,DRAYAGE!$A$1:$C$6,3,FALSE)</f>
        <v>#N/A</v>
      </c>
      <c r="P40" s="40" t="s">
        <v>300</v>
      </c>
      <c r="R40" s="40"/>
      <c r="S40" s="113">
        <f t="shared" si="14"/>
        <v>12150</v>
      </c>
      <c r="T40" s="54">
        <v>13500</v>
      </c>
      <c r="U40" s="103">
        <f t="shared" si="6"/>
        <v>13500</v>
      </c>
      <c r="V40" s="114">
        <f t="shared" si="15"/>
        <v>17091</v>
      </c>
      <c r="X40" s="45">
        <v>0</v>
      </c>
      <c r="Y40" s="40"/>
      <c r="Z40" s="40"/>
      <c r="AA40" s="40"/>
      <c r="AB40" s="40"/>
    </row>
    <row r="41" spans="1:29" s="40" customFormat="1" ht="18.75" x14ac:dyDescent="0.25">
      <c r="A41" s="51" t="s">
        <v>273</v>
      </c>
      <c r="B41" s="51" t="s">
        <v>17</v>
      </c>
      <c r="C41" s="94" t="s">
        <v>54</v>
      </c>
      <c r="D41" s="95" t="s">
        <v>308</v>
      </c>
      <c r="E41" s="96" t="s">
        <v>114</v>
      </c>
      <c r="F41" s="97" t="s">
        <v>270</v>
      </c>
      <c r="G41" s="98" t="e">
        <f t="shared" si="10"/>
        <v>#N/A</v>
      </c>
      <c r="H41" s="99" t="e">
        <f t="shared" si="11"/>
        <v>#N/A</v>
      </c>
      <c r="I41" s="99" t="e">
        <f t="shared" si="12"/>
        <v>#N/A</v>
      </c>
      <c r="J41" s="99" t="e">
        <f t="shared" si="13"/>
        <v>#N/A</v>
      </c>
      <c r="K41" s="57"/>
      <c r="L41" s="100" t="s">
        <v>272</v>
      </c>
      <c r="M41" s="52" t="s">
        <v>294</v>
      </c>
      <c r="N41" s="40">
        <v>0</v>
      </c>
      <c r="O41" s="53" t="e">
        <f>VLOOKUP(B41,DRAYAGE!$A$1:$C$6,3,FALSE)</f>
        <v>#N/A</v>
      </c>
      <c r="P41" s="40" t="s">
        <v>300</v>
      </c>
      <c r="S41" s="101">
        <f t="shared" si="14"/>
        <v>17100</v>
      </c>
      <c r="T41" s="54">
        <v>19000</v>
      </c>
      <c r="U41" s="103">
        <f t="shared" si="6"/>
        <v>19000</v>
      </c>
      <c r="V41" s="104">
        <f t="shared" si="15"/>
        <v>24054</v>
      </c>
      <c r="X41" s="40">
        <v>0</v>
      </c>
    </row>
    <row r="42" spans="1:29" s="40" customFormat="1" ht="14.45" customHeight="1" x14ac:dyDescent="0.25">
      <c r="A42" s="51" t="s">
        <v>58</v>
      </c>
      <c r="B42" s="51" t="s">
        <v>17</v>
      </c>
      <c r="C42" s="94" t="s">
        <v>54</v>
      </c>
      <c r="D42" s="126" t="s">
        <v>290</v>
      </c>
      <c r="E42" s="96" t="s">
        <v>114</v>
      </c>
      <c r="F42" s="97" t="s">
        <v>270</v>
      </c>
      <c r="G42" s="98" t="e">
        <f t="shared" si="10"/>
        <v>#N/A</v>
      </c>
      <c r="H42" s="99" t="e">
        <f t="shared" si="11"/>
        <v>#N/A</v>
      </c>
      <c r="I42" s="99" t="e">
        <f t="shared" si="12"/>
        <v>#N/A</v>
      </c>
      <c r="J42" s="99" t="e">
        <f t="shared" si="13"/>
        <v>#N/A</v>
      </c>
      <c r="K42" s="57"/>
      <c r="L42" s="100" t="s">
        <v>272</v>
      </c>
      <c r="M42" s="52" t="s">
        <v>294</v>
      </c>
      <c r="N42" s="40">
        <v>0</v>
      </c>
      <c r="O42" s="53" t="e">
        <f>VLOOKUP(B42,DRAYAGE!$A$1:$C$6,3,FALSE)</f>
        <v>#N/A</v>
      </c>
      <c r="P42" s="40" t="s">
        <v>298</v>
      </c>
      <c r="S42" s="101">
        <f t="shared" si="14"/>
        <v>22950</v>
      </c>
      <c r="T42" s="54">
        <v>25500</v>
      </c>
      <c r="U42" s="103">
        <f t="shared" si="6"/>
        <v>25500</v>
      </c>
      <c r="V42" s="104">
        <f t="shared" si="15"/>
        <v>32283</v>
      </c>
      <c r="X42" s="40">
        <v>0</v>
      </c>
    </row>
    <row r="43" spans="1:29" s="40" customFormat="1" ht="14.45" customHeight="1" x14ac:dyDescent="0.25">
      <c r="A43" s="46" t="s">
        <v>98</v>
      </c>
      <c r="B43" s="88"/>
      <c r="C43" s="88"/>
      <c r="D43" s="88"/>
      <c r="E43" s="210"/>
      <c r="F43" s="211"/>
      <c r="G43" s="88"/>
      <c r="H43" s="88"/>
      <c r="I43" s="88"/>
      <c r="J43" s="88"/>
      <c r="K43" s="57"/>
      <c r="L43" s="89" t="s">
        <v>48</v>
      </c>
      <c r="M43" s="89" t="s">
        <v>261</v>
      </c>
      <c r="N43" s="90" t="s">
        <v>51</v>
      </c>
      <c r="O43" s="91" t="s">
        <v>50</v>
      </c>
      <c r="P43" s="91" t="s">
        <v>262</v>
      </c>
      <c r="Q43" s="91" t="s">
        <v>263</v>
      </c>
      <c r="R43" s="92" t="s">
        <v>52</v>
      </c>
      <c r="S43" s="92" t="s">
        <v>52</v>
      </c>
      <c r="T43" s="92" t="s">
        <v>53</v>
      </c>
      <c r="U43" s="92" t="s">
        <v>265</v>
      </c>
      <c r="V43" s="92" t="s">
        <v>266</v>
      </c>
      <c r="W43" s="92" t="s">
        <v>267</v>
      </c>
      <c r="X43" s="92" t="s">
        <v>268</v>
      </c>
      <c r="Y43" s="92" t="s">
        <v>52</v>
      </c>
      <c r="Z43" s="92" t="s">
        <v>53</v>
      </c>
      <c r="AA43" s="92" t="s">
        <v>265</v>
      </c>
      <c r="AB43" s="92" t="s">
        <v>266</v>
      </c>
      <c r="AC43" s="93" t="s">
        <v>269</v>
      </c>
    </row>
    <row r="44" spans="1:29" s="40" customFormat="1" ht="14.45" customHeight="1" x14ac:dyDescent="0.25">
      <c r="A44" s="51" t="s">
        <v>331</v>
      </c>
      <c r="B44" s="51" t="s">
        <v>106</v>
      </c>
      <c r="C44" s="94" t="s">
        <v>54</v>
      </c>
      <c r="D44" s="95" t="s">
        <v>308</v>
      </c>
      <c r="E44" s="96" t="s">
        <v>114</v>
      </c>
      <c r="F44" s="97" t="s">
        <v>270</v>
      </c>
      <c r="G44" s="98">
        <f>CEILING(S44+W44+X44+O44+N44+Y44,10)</f>
        <v>14500</v>
      </c>
      <c r="H44" s="99">
        <f>CEILING(T44+W44+X44+O44+N44+Z44,10)</f>
        <v>15800</v>
      </c>
      <c r="I44" s="99">
        <f>CEILING(U44+W44+X44+O44+N44+AA44,10)</f>
        <v>15800</v>
      </c>
      <c r="J44" s="99">
        <f>CEILING(V44+W44+X44+O44+N44+AB44,10)</f>
        <v>19260</v>
      </c>
      <c r="K44" s="57"/>
      <c r="L44" s="100" t="s">
        <v>272</v>
      </c>
      <c r="M44" s="52" t="s">
        <v>293</v>
      </c>
      <c r="N44" s="40">
        <v>0</v>
      </c>
      <c r="O44" s="53">
        <v>2800</v>
      </c>
      <c r="P44" s="40" t="s">
        <v>302</v>
      </c>
      <c r="R44" s="101">
        <v>19800</v>
      </c>
      <c r="S44" s="101">
        <f>0.9*T44</f>
        <v>11700</v>
      </c>
      <c r="T44" s="54">
        <v>13000</v>
      </c>
      <c r="U44" s="103">
        <f>T44</f>
        <v>13000</v>
      </c>
      <c r="V44" s="104">
        <f>U44*1.266</f>
        <v>16458</v>
      </c>
      <c r="W44" s="40">
        <v>0</v>
      </c>
    </row>
    <row r="45" spans="1:29" s="40" customFormat="1" ht="14.45" customHeight="1" x14ac:dyDescent="0.25">
      <c r="A45" s="51" t="s">
        <v>322</v>
      </c>
      <c r="B45" s="51" t="s">
        <v>106</v>
      </c>
      <c r="C45" s="94" t="s">
        <v>54</v>
      </c>
      <c r="D45" s="126" t="s">
        <v>315</v>
      </c>
      <c r="E45" s="96" t="s">
        <v>114</v>
      </c>
      <c r="F45" s="97" t="s">
        <v>270</v>
      </c>
      <c r="G45" s="98">
        <f>CEILING(S45+W45+X45+O45+N45+Y45,10)</f>
        <v>25750</v>
      </c>
      <c r="H45" s="99">
        <f>CEILING(T45+W45+X45+O45+N45+Z45,10)</f>
        <v>28300</v>
      </c>
      <c r="I45" s="99">
        <f>CEILING(U45+W45+X45+O45+N45+AA45,10)</f>
        <v>28300</v>
      </c>
      <c r="J45" s="99">
        <f>CEILING(V45+W45+X45+O45+N45+AB45,10)</f>
        <v>35090</v>
      </c>
      <c r="K45" s="57"/>
      <c r="L45" s="100" t="s">
        <v>272</v>
      </c>
      <c r="M45" s="52" t="s">
        <v>293</v>
      </c>
      <c r="N45" s="40">
        <v>0</v>
      </c>
      <c r="O45" s="53">
        <v>2800</v>
      </c>
      <c r="P45" s="40" t="s">
        <v>302</v>
      </c>
      <c r="R45" s="101">
        <v>19800</v>
      </c>
      <c r="S45" s="101">
        <f>0.9*T45</f>
        <v>22950</v>
      </c>
      <c r="T45" s="54">
        <v>25500</v>
      </c>
      <c r="U45" s="103">
        <f>T45</f>
        <v>25500</v>
      </c>
      <c r="V45" s="104">
        <f>U45*1.266</f>
        <v>32283</v>
      </c>
      <c r="W45" s="40">
        <v>0</v>
      </c>
    </row>
    <row r="46" spans="1:29" s="40" customFormat="1" ht="14.45" customHeight="1" x14ac:dyDescent="0.25">
      <c r="A46" s="51" t="s">
        <v>330</v>
      </c>
      <c r="B46" s="51" t="s">
        <v>106</v>
      </c>
      <c r="C46" s="94" t="s">
        <v>54</v>
      </c>
      <c r="D46" s="95" t="s">
        <v>308</v>
      </c>
      <c r="E46" s="96" t="s">
        <v>114</v>
      </c>
      <c r="F46" s="97" t="s">
        <v>270</v>
      </c>
      <c r="G46" s="98">
        <f>CEILING(S46+W46+X46+O46+N46+Y46,10)</f>
        <v>16300</v>
      </c>
      <c r="H46" s="99">
        <f>CEILING(T46+W46+X46+O46+N46+Z46,10)</f>
        <v>17800</v>
      </c>
      <c r="I46" s="99">
        <f>CEILING(U46+W46+X46+O46+N46+AA46,10)</f>
        <v>17800</v>
      </c>
      <c r="J46" s="99">
        <f>CEILING(V46+W46+X46+O46+N46+AB46,10)</f>
        <v>21790</v>
      </c>
      <c r="K46" s="57"/>
      <c r="L46" s="100" t="s">
        <v>272</v>
      </c>
      <c r="M46" s="52" t="s">
        <v>293</v>
      </c>
      <c r="N46" s="40">
        <v>0</v>
      </c>
      <c r="O46" s="53">
        <v>2800</v>
      </c>
      <c r="P46" s="40" t="s">
        <v>302</v>
      </c>
      <c r="R46" s="101">
        <v>19800</v>
      </c>
      <c r="S46" s="101">
        <f>0.9*T46</f>
        <v>13500</v>
      </c>
      <c r="T46" s="54">
        <v>15000</v>
      </c>
      <c r="U46" s="103">
        <f>T46</f>
        <v>15000</v>
      </c>
      <c r="V46" s="104">
        <f>U46*1.266</f>
        <v>18990</v>
      </c>
      <c r="W46" s="40">
        <v>0</v>
      </c>
    </row>
    <row r="47" spans="1:29" s="40" customFormat="1" ht="14.45" customHeight="1" x14ac:dyDescent="0.25">
      <c r="A47" s="47" t="s">
        <v>323</v>
      </c>
      <c r="B47" s="88"/>
      <c r="C47" s="88"/>
      <c r="D47" s="88"/>
      <c r="E47" s="210"/>
      <c r="F47" s="211"/>
      <c r="G47" s="88"/>
      <c r="H47" s="88"/>
      <c r="I47" s="88"/>
      <c r="J47" s="88"/>
      <c r="K47" s="57"/>
      <c r="L47" s="89" t="s">
        <v>324</v>
      </c>
      <c r="M47" s="89" t="s">
        <v>261</v>
      </c>
      <c r="N47" s="90" t="s">
        <v>51</v>
      </c>
      <c r="O47" s="91" t="s">
        <v>50</v>
      </c>
      <c r="P47" s="91" t="s">
        <v>262</v>
      </c>
      <c r="Q47" s="91" t="s">
        <v>263</v>
      </c>
      <c r="R47" s="92" t="s">
        <v>52</v>
      </c>
      <c r="S47" s="92" t="s">
        <v>52</v>
      </c>
      <c r="T47" s="92" t="s">
        <v>53</v>
      </c>
      <c r="U47" s="92" t="s">
        <v>265</v>
      </c>
      <c r="V47" s="92" t="s">
        <v>266</v>
      </c>
      <c r="W47" s="92" t="s">
        <v>267</v>
      </c>
      <c r="X47" s="92" t="s">
        <v>268</v>
      </c>
      <c r="Y47" s="92" t="s">
        <v>52</v>
      </c>
      <c r="Z47" s="92" t="s">
        <v>53</v>
      </c>
      <c r="AA47" s="92" t="s">
        <v>265</v>
      </c>
      <c r="AB47" s="92" t="s">
        <v>266</v>
      </c>
      <c r="AC47" s="93" t="s">
        <v>269</v>
      </c>
    </row>
    <row r="48" spans="1:29" s="40" customFormat="1" ht="14.45" customHeight="1" x14ac:dyDescent="0.25">
      <c r="A48" s="51" t="s">
        <v>326</v>
      </c>
      <c r="B48" s="56" t="s">
        <v>103</v>
      </c>
      <c r="C48" s="94" t="s">
        <v>54</v>
      </c>
      <c r="D48" s="95" t="s">
        <v>308</v>
      </c>
      <c r="E48" s="96" t="s">
        <v>114</v>
      </c>
      <c r="F48" s="97" t="s">
        <v>270</v>
      </c>
      <c r="G48" s="98">
        <v>18510</v>
      </c>
      <c r="H48" s="99">
        <v>20510</v>
      </c>
      <c r="I48" s="99">
        <v>20510</v>
      </c>
      <c r="J48" s="99">
        <v>25830</v>
      </c>
      <c r="K48" s="57"/>
      <c r="L48" s="100" t="s">
        <v>272</v>
      </c>
      <c r="M48" s="52" t="s">
        <v>295</v>
      </c>
      <c r="N48" s="40">
        <v>0</v>
      </c>
      <c r="O48" s="53">
        <v>504</v>
      </c>
      <c r="P48" s="40" t="s">
        <v>325</v>
      </c>
      <c r="R48" s="101">
        <v>18000</v>
      </c>
      <c r="S48" s="101">
        <f>0.9*T48</f>
        <v>18900</v>
      </c>
      <c r="T48" s="54">
        <v>21000</v>
      </c>
      <c r="U48" s="103">
        <f>T48</f>
        <v>21000</v>
      </c>
      <c r="V48" s="104">
        <f>U48*1.266</f>
        <v>26586</v>
      </c>
      <c r="W48" s="40">
        <v>0</v>
      </c>
    </row>
    <row r="49" spans="1:29" s="40" customFormat="1" ht="14.45" customHeight="1" x14ac:dyDescent="0.25">
      <c r="A49" s="51" t="s">
        <v>327</v>
      </c>
      <c r="B49" s="56" t="s">
        <v>103</v>
      </c>
      <c r="C49" s="94" t="s">
        <v>54</v>
      </c>
      <c r="D49" s="95" t="s">
        <v>308</v>
      </c>
      <c r="E49" s="96" t="s">
        <v>114</v>
      </c>
      <c r="F49" s="97" t="s">
        <v>270</v>
      </c>
      <c r="G49" s="98">
        <v>18510</v>
      </c>
      <c r="H49" s="99">
        <v>20510</v>
      </c>
      <c r="I49" s="99">
        <v>20510</v>
      </c>
      <c r="J49" s="99">
        <v>25830</v>
      </c>
      <c r="K49" s="57"/>
      <c r="L49" s="100" t="s">
        <v>272</v>
      </c>
      <c r="M49" s="52" t="s">
        <v>295</v>
      </c>
      <c r="N49" s="40">
        <v>0</v>
      </c>
      <c r="O49" s="53">
        <v>504</v>
      </c>
      <c r="P49" s="40" t="s">
        <v>325</v>
      </c>
      <c r="R49" s="101">
        <v>18000</v>
      </c>
      <c r="S49" s="101">
        <f>0.9*T49</f>
        <v>14400</v>
      </c>
      <c r="T49" s="54">
        <v>16000</v>
      </c>
      <c r="U49" s="103">
        <f>T49</f>
        <v>16000</v>
      </c>
      <c r="V49" s="104">
        <f>U49*1.266</f>
        <v>20256</v>
      </c>
      <c r="W49" s="40">
        <v>0</v>
      </c>
    </row>
    <row r="50" spans="1:29" s="40" customFormat="1" ht="14.45" customHeight="1" x14ac:dyDescent="0.25">
      <c r="A50" s="51" t="s">
        <v>328</v>
      </c>
      <c r="B50" s="56" t="s">
        <v>103</v>
      </c>
      <c r="C50" s="94" t="s">
        <v>54</v>
      </c>
      <c r="D50" s="95" t="s">
        <v>308</v>
      </c>
      <c r="E50" s="96" t="s">
        <v>114</v>
      </c>
      <c r="F50" s="97" t="s">
        <v>270</v>
      </c>
      <c r="G50" s="98">
        <v>18510</v>
      </c>
      <c r="H50" s="99">
        <v>20510</v>
      </c>
      <c r="I50" s="99">
        <v>20510</v>
      </c>
      <c r="J50" s="99">
        <v>25830</v>
      </c>
      <c r="K50" s="57"/>
      <c r="L50" s="100" t="s">
        <v>272</v>
      </c>
      <c r="M50" s="52" t="s">
        <v>295</v>
      </c>
      <c r="N50" s="40">
        <v>0</v>
      </c>
      <c r="O50" s="53">
        <v>504</v>
      </c>
      <c r="P50" s="40" t="s">
        <v>325</v>
      </c>
      <c r="R50" s="101">
        <v>18000</v>
      </c>
      <c r="S50" s="101">
        <f>0.9*T50</f>
        <v>18900</v>
      </c>
      <c r="T50" s="54">
        <v>21000</v>
      </c>
      <c r="U50" s="103">
        <f>T50</f>
        <v>21000</v>
      </c>
      <c r="V50" s="104">
        <f>U50*1.266</f>
        <v>26586</v>
      </c>
      <c r="W50" s="40">
        <v>0</v>
      </c>
    </row>
    <row r="51" spans="1:29" s="40" customFormat="1" ht="14.45" customHeight="1" x14ac:dyDescent="0.25">
      <c r="A51" s="47" t="s">
        <v>86</v>
      </c>
      <c r="B51" s="88"/>
      <c r="C51" s="88"/>
      <c r="D51" s="88"/>
      <c r="E51" s="210"/>
      <c r="F51" s="211"/>
      <c r="G51" s="88"/>
      <c r="H51" s="88"/>
      <c r="I51" s="88"/>
      <c r="J51" s="88"/>
      <c r="K51" s="57"/>
      <c r="L51" s="89" t="s">
        <v>48</v>
      </c>
      <c r="M51" s="89" t="s">
        <v>261</v>
      </c>
      <c r="N51" s="90" t="s">
        <v>51</v>
      </c>
      <c r="O51" s="91" t="s">
        <v>50</v>
      </c>
      <c r="P51" s="91" t="s">
        <v>262</v>
      </c>
      <c r="Q51" s="91" t="s">
        <v>263</v>
      </c>
      <c r="R51" s="91" t="s">
        <v>264</v>
      </c>
      <c r="S51" s="92" t="s">
        <v>52</v>
      </c>
      <c r="T51" s="92" t="s">
        <v>53</v>
      </c>
      <c r="U51" s="92" t="s">
        <v>265</v>
      </c>
      <c r="V51" s="92" t="s">
        <v>266</v>
      </c>
      <c r="W51" s="92" t="s">
        <v>267</v>
      </c>
      <c r="X51" s="92" t="s">
        <v>268</v>
      </c>
      <c r="Y51" s="92" t="s">
        <v>52</v>
      </c>
      <c r="Z51" s="92" t="s">
        <v>53</v>
      </c>
      <c r="AA51" s="92" t="s">
        <v>265</v>
      </c>
      <c r="AB51" s="92" t="s">
        <v>266</v>
      </c>
      <c r="AC51" s="93" t="s">
        <v>269</v>
      </c>
    </row>
    <row r="52" spans="1:29" s="40" customFormat="1" ht="18.75" x14ac:dyDescent="0.25">
      <c r="A52" s="51" t="s">
        <v>81</v>
      </c>
      <c r="B52" s="56" t="s">
        <v>19</v>
      </c>
      <c r="C52" s="94" t="s">
        <v>54</v>
      </c>
      <c r="D52" s="95" t="s">
        <v>308</v>
      </c>
      <c r="E52" s="96" t="s">
        <v>114</v>
      </c>
      <c r="F52" s="97" t="s">
        <v>270</v>
      </c>
      <c r="G52" s="98" t="e">
        <f t="shared" ref="G52:G57" si="16">CEILING(S52+W52+X52+O52+N52+Y52,10)</f>
        <v>#N/A</v>
      </c>
      <c r="H52" s="99" t="e">
        <f t="shared" ref="H52:H57" si="17">CEILING(T52+W52+X52+O52+N52+Z52,10)</f>
        <v>#N/A</v>
      </c>
      <c r="I52" s="99" t="e">
        <f t="shared" ref="I52:I57" si="18">CEILING(U52+W52+X52+O52+N52+AA52,10)</f>
        <v>#N/A</v>
      </c>
      <c r="J52" s="99" t="e">
        <f t="shared" ref="J52:J57" si="19">CEILING(V52+W52+X52+O52+N52+AB52,10)</f>
        <v>#N/A</v>
      </c>
      <c r="K52" s="57"/>
      <c r="L52" s="100" t="s">
        <v>272</v>
      </c>
      <c r="M52" s="52" t="s">
        <v>294</v>
      </c>
      <c r="N52" s="40">
        <v>0</v>
      </c>
      <c r="O52" s="53" t="e">
        <f>VLOOKUP(B52,DRAYAGE!$A$1:$C$6,3,FALSE)</f>
        <v>#N/A</v>
      </c>
      <c r="P52" s="40" t="s">
        <v>301</v>
      </c>
      <c r="S52" s="101">
        <f t="shared" ref="S52:S57" si="20">0.9*T52</f>
        <v>12150</v>
      </c>
      <c r="T52" s="54">
        <f t="shared" ref="T52:T57" si="21">T36</f>
        <v>13500</v>
      </c>
      <c r="U52" s="103">
        <f t="shared" si="6"/>
        <v>13500</v>
      </c>
      <c r="V52" s="104">
        <f t="shared" ref="V52:V57" si="22">U52*1.266</f>
        <v>17091</v>
      </c>
      <c r="X52" s="40">
        <v>0</v>
      </c>
    </row>
    <row r="53" spans="1:29" s="40" customFormat="1" ht="14.45" customHeight="1" x14ac:dyDescent="0.25">
      <c r="A53" s="51" t="s">
        <v>55</v>
      </c>
      <c r="B53" s="56" t="s">
        <v>19</v>
      </c>
      <c r="C53" s="94" t="s">
        <v>54</v>
      </c>
      <c r="D53" s="95" t="s">
        <v>308</v>
      </c>
      <c r="E53" s="96" t="s">
        <v>114</v>
      </c>
      <c r="F53" s="97" t="s">
        <v>270</v>
      </c>
      <c r="G53" s="98" t="e">
        <f t="shared" si="16"/>
        <v>#N/A</v>
      </c>
      <c r="H53" s="99" t="e">
        <f t="shared" si="17"/>
        <v>#N/A</v>
      </c>
      <c r="I53" s="99" t="e">
        <f t="shared" si="18"/>
        <v>#N/A</v>
      </c>
      <c r="J53" s="99" t="e">
        <f t="shared" si="19"/>
        <v>#N/A</v>
      </c>
      <c r="K53" s="57"/>
      <c r="L53" s="100" t="s">
        <v>272</v>
      </c>
      <c r="M53" s="52" t="s">
        <v>294</v>
      </c>
      <c r="N53" s="40">
        <v>0</v>
      </c>
      <c r="O53" s="53" t="e">
        <f>VLOOKUP(B53,DRAYAGE!$A$1:$C$6,3,FALSE)</f>
        <v>#N/A</v>
      </c>
      <c r="P53" s="40" t="s">
        <v>301</v>
      </c>
      <c r="S53" s="101">
        <f t="shared" si="20"/>
        <v>13500</v>
      </c>
      <c r="T53" s="54">
        <f t="shared" si="21"/>
        <v>15000</v>
      </c>
      <c r="U53" s="103">
        <f t="shared" si="6"/>
        <v>15000</v>
      </c>
      <c r="V53" s="104">
        <f t="shared" si="22"/>
        <v>18990</v>
      </c>
      <c r="X53" s="40">
        <v>0</v>
      </c>
    </row>
    <row r="54" spans="1:29" s="40" customFormat="1" ht="14.45" customHeight="1" x14ac:dyDescent="0.25">
      <c r="A54" s="51" t="s">
        <v>59</v>
      </c>
      <c r="B54" s="56" t="s">
        <v>19</v>
      </c>
      <c r="C54" s="94" t="s">
        <v>54</v>
      </c>
      <c r="D54" s="95" t="s">
        <v>308</v>
      </c>
      <c r="E54" s="96" t="s">
        <v>114</v>
      </c>
      <c r="F54" s="97" t="s">
        <v>270</v>
      </c>
      <c r="G54" s="98" t="e">
        <f t="shared" si="16"/>
        <v>#N/A</v>
      </c>
      <c r="H54" s="99" t="e">
        <f t="shared" si="17"/>
        <v>#N/A</v>
      </c>
      <c r="I54" s="99" t="e">
        <f t="shared" si="18"/>
        <v>#N/A</v>
      </c>
      <c r="J54" s="99" t="e">
        <f t="shared" si="19"/>
        <v>#N/A</v>
      </c>
      <c r="K54" s="57"/>
      <c r="L54" s="100" t="s">
        <v>272</v>
      </c>
      <c r="M54" s="52" t="s">
        <v>294</v>
      </c>
      <c r="N54" s="40">
        <v>0</v>
      </c>
      <c r="O54" s="53" t="e">
        <f>VLOOKUP(B54,DRAYAGE!$A$1:$C$6,3,FALSE)</f>
        <v>#N/A</v>
      </c>
      <c r="P54" s="40" t="s">
        <v>301</v>
      </c>
      <c r="S54" s="101">
        <f t="shared" si="20"/>
        <v>11700</v>
      </c>
      <c r="T54" s="54">
        <f t="shared" si="21"/>
        <v>13000</v>
      </c>
      <c r="U54" s="103">
        <f t="shared" si="6"/>
        <v>13000</v>
      </c>
      <c r="V54" s="104">
        <f t="shared" si="22"/>
        <v>16458</v>
      </c>
      <c r="X54" s="40">
        <v>0</v>
      </c>
    </row>
    <row r="55" spans="1:29" s="40" customFormat="1" ht="18.75" x14ac:dyDescent="0.25">
      <c r="A55" s="51" t="s">
        <v>60</v>
      </c>
      <c r="B55" s="56" t="s">
        <v>19</v>
      </c>
      <c r="C55" s="94" t="s">
        <v>54</v>
      </c>
      <c r="D55" s="95" t="s">
        <v>308</v>
      </c>
      <c r="E55" s="96" t="s">
        <v>114</v>
      </c>
      <c r="F55" s="97" t="s">
        <v>270</v>
      </c>
      <c r="G55" s="98" t="e">
        <f t="shared" si="16"/>
        <v>#N/A</v>
      </c>
      <c r="H55" s="99" t="e">
        <f t="shared" si="17"/>
        <v>#N/A</v>
      </c>
      <c r="I55" s="99" t="e">
        <f t="shared" si="18"/>
        <v>#N/A</v>
      </c>
      <c r="J55" s="99" t="e">
        <f t="shared" si="19"/>
        <v>#N/A</v>
      </c>
      <c r="K55" s="57"/>
      <c r="L55" s="100" t="s">
        <v>272</v>
      </c>
      <c r="M55" s="52" t="s">
        <v>294</v>
      </c>
      <c r="N55" s="40">
        <v>0</v>
      </c>
      <c r="O55" s="53" t="e">
        <f>VLOOKUP(B55,DRAYAGE!$A$1:$C$6,3,FALSE)</f>
        <v>#N/A</v>
      </c>
      <c r="P55" s="40" t="s">
        <v>301</v>
      </c>
      <c r="S55" s="101">
        <f t="shared" si="20"/>
        <v>13050</v>
      </c>
      <c r="T55" s="54">
        <f t="shared" si="21"/>
        <v>14500</v>
      </c>
      <c r="U55" s="103">
        <f t="shared" si="6"/>
        <v>14500</v>
      </c>
      <c r="V55" s="104">
        <f t="shared" si="22"/>
        <v>18357</v>
      </c>
      <c r="X55" s="40">
        <v>0</v>
      </c>
    </row>
    <row r="56" spans="1:29" s="40" customFormat="1" ht="14.45" customHeight="1" x14ac:dyDescent="0.25">
      <c r="A56" s="51" t="s">
        <v>61</v>
      </c>
      <c r="B56" s="56" t="s">
        <v>19</v>
      </c>
      <c r="C56" s="94" t="s">
        <v>54</v>
      </c>
      <c r="D56" s="95" t="s">
        <v>308</v>
      </c>
      <c r="E56" s="96" t="s">
        <v>114</v>
      </c>
      <c r="F56" s="97" t="s">
        <v>270</v>
      </c>
      <c r="G56" s="98" t="e">
        <f t="shared" si="16"/>
        <v>#N/A</v>
      </c>
      <c r="H56" s="99" t="e">
        <f t="shared" si="17"/>
        <v>#N/A</v>
      </c>
      <c r="I56" s="99" t="e">
        <f t="shared" si="18"/>
        <v>#N/A</v>
      </c>
      <c r="J56" s="99" t="e">
        <f t="shared" si="19"/>
        <v>#N/A</v>
      </c>
      <c r="K56" s="57"/>
      <c r="L56" s="100" t="s">
        <v>272</v>
      </c>
      <c r="M56" s="52" t="s">
        <v>294</v>
      </c>
      <c r="N56" s="40">
        <v>0</v>
      </c>
      <c r="O56" s="53" t="e">
        <f>VLOOKUP(B56,DRAYAGE!$A$1:$C$6,3,FALSE)</f>
        <v>#N/A</v>
      </c>
      <c r="P56" s="40" t="s">
        <v>301</v>
      </c>
      <c r="S56" s="101">
        <f t="shared" si="20"/>
        <v>12150</v>
      </c>
      <c r="T56" s="54">
        <f t="shared" si="21"/>
        <v>13500</v>
      </c>
      <c r="U56" s="103">
        <f t="shared" si="6"/>
        <v>13500</v>
      </c>
      <c r="V56" s="104">
        <f t="shared" si="22"/>
        <v>17091</v>
      </c>
      <c r="X56" s="40">
        <v>0</v>
      </c>
    </row>
    <row r="57" spans="1:29" s="40" customFormat="1" ht="18.75" x14ac:dyDescent="0.25">
      <c r="A57" s="51" t="s">
        <v>273</v>
      </c>
      <c r="B57" s="56" t="s">
        <v>19</v>
      </c>
      <c r="C57" s="94" t="s">
        <v>54</v>
      </c>
      <c r="D57" s="95" t="s">
        <v>308</v>
      </c>
      <c r="E57" s="96" t="s">
        <v>114</v>
      </c>
      <c r="F57" s="97" t="s">
        <v>270</v>
      </c>
      <c r="G57" s="98" t="e">
        <f t="shared" si="16"/>
        <v>#N/A</v>
      </c>
      <c r="H57" s="99" t="e">
        <f t="shared" si="17"/>
        <v>#N/A</v>
      </c>
      <c r="I57" s="99" t="e">
        <f t="shared" si="18"/>
        <v>#N/A</v>
      </c>
      <c r="J57" s="99" t="e">
        <f t="shared" si="19"/>
        <v>#N/A</v>
      </c>
      <c r="K57" s="57"/>
      <c r="L57" s="100" t="s">
        <v>272</v>
      </c>
      <c r="M57" s="52" t="s">
        <v>294</v>
      </c>
      <c r="N57" s="40">
        <v>0</v>
      </c>
      <c r="O57" s="53" t="e">
        <f>VLOOKUP(B57,DRAYAGE!$A$1:$C$6,3,FALSE)</f>
        <v>#N/A</v>
      </c>
      <c r="P57" s="40" t="s">
        <v>301</v>
      </c>
      <c r="S57" s="101">
        <f t="shared" si="20"/>
        <v>17100</v>
      </c>
      <c r="T57" s="54">
        <f t="shared" si="21"/>
        <v>19000</v>
      </c>
      <c r="U57" s="103">
        <f t="shared" si="6"/>
        <v>19000</v>
      </c>
      <c r="V57" s="104">
        <f t="shared" si="22"/>
        <v>24054</v>
      </c>
      <c r="X57" s="40">
        <v>0</v>
      </c>
    </row>
    <row r="58" spans="1:29" s="40" customFormat="1" ht="14.45" customHeight="1" x14ac:dyDescent="0.25">
      <c r="A58" s="212" t="s">
        <v>271</v>
      </c>
      <c r="B58" s="212"/>
      <c r="C58" s="212"/>
      <c r="D58" s="212"/>
      <c r="E58" s="212"/>
      <c r="F58" s="212"/>
      <c r="G58" s="212"/>
      <c r="H58" s="212"/>
      <c r="I58" s="212"/>
      <c r="J58" s="212"/>
      <c r="K58" s="57"/>
      <c r="L58" s="100"/>
      <c r="M58" s="100"/>
      <c r="S58" s="101"/>
      <c r="T58" s="102"/>
      <c r="U58" s="103"/>
      <c r="V58" s="104"/>
    </row>
    <row r="59" spans="1:29" s="32" customFormat="1" ht="12.75" x14ac:dyDescent="0.2">
      <c r="A59" s="31"/>
      <c r="B59" s="33"/>
      <c r="C59" s="33"/>
      <c r="D59" s="33"/>
      <c r="E59" s="33"/>
      <c r="F59" s="34"/>
      <c r="G59" s="34"/>
      <c r="H59" s="34"/>
      <c r="I59" s="35"/>
      <c r="J59" s="29"/>
      <c r="K59" s="29"/>
      <c r="L59" s="27"/>
      <c r="M59" s="27"/>
      <c r="N59" s="30"/>
      <c r="O59" s="30"/>
      <c r="P59" s="30"/>
      <c r="Q59" s="30"/>
      <c r="R59" s="30"/>
      <c r="S59" s="28"/>
      <c r="T59" s="28"/>
      <c r="U59" s="28"/>
      <c r="V59" s="28"/>
      <c r="W59" s="28"/>
    </row>
    <row r="60" spans="1:29" s="37" customFormat="1" ht="14.45" customHeight="1" x14ac:dyDescent="0.25">
      <c r="A60" s="180" t="s">
        <v>111</v>
      </c>
      <c r="B60" s="180"/>
      <c r="C60" s="180"/>
      <c r="D60" s="180"/>
      <c r="E60" s="180"/>
      <c r="F60" s="180"/>
      <c r="G60" s="180"/>
      <c r="H60" s="180"/>
      <c r="I60" s="180"/>
      <c r="J60" s="180"/>
      <c r="K60" s="57"/>
    </row>
    <row r="61" spans="1:29" s="37" customFormat="1" ht="14.45" customHeight="1" x14ac:dyDescent="0.25">
      <c r="A61" s="208" t="s">
        <v>112</v>
      </c>
      <c r="B61" s="208"/>
      <c r="C61" s="208"/>
      <c r="D61" s="208"/>
      <c r="E61" s="208"/>
      <c r="F61" s="208"/>
      <c r="G61" s="208"/>
      <c r="H61" s="208"/>
      <c r="I61" s="208"/>
      <c r="J61" s="208"/>
      <c r="K61" s="57"/>
    </row>
    <row r="62" spans="1:29" s="37" customFormat="1" ht="14.45" customHeight="1" x14ac:dyDescent="0.25">
      <c r="A62" s="186" t="s">
        <v>67</v>
      </c>
      <c r="B62" s="186"/>
      <c r="C62" s="186"/>
      <c r="D62" s="186"/>
      <c r="E62" s="186" t="s">
        <v>68</v>
      </c>
      <c r="F62" s="186"/>
      <c r="G62" s="186"/>
      <c r="H62" s="186"/>
      <c r="I62" s="186"/>
      <c r="J62" s="186"/>
      <c r="K62" s="57"/>
      <c r="L62" s="209" t="s">
        <v>113</v>
      </c>
      <c r="M62" s="209"/>
      <c r="N62" s="209"/>
      <c r="O62" s="209"/>
      <c r="P62" s="209"/>
      <c r="Q62" s="209"/>
    </row>
    <row r="63" spans="1:29" s="37" customFormat="1" ht="14.45" customHeight="1" x14ac:dyDescent="0.25">
      <c r="A63" s="196" t="s">
        <v>69</v>
      </c>
      <c r="B63" s="196"/>
      <c r="C63" s="196"/>
      <c r="D63" s="196"/>
      <c r="E63" s="58" t="s">
        <v>114</v>
      </c>
      <c r="F63" s="196" t="s">
        <v>70</v>
      </c>
      <c r="G63" s="196"/>
      <c r="H63" s="196"/>
      <c r="I63" s="196"/>
      <c r="J63" s="196"/>
      <c r="K63" s="57"/>
      <c r="L63" s="197" t="s">
        <v>115</v>
      </c>
      <c r="M63" s="197"/>
      <c r="N63" s="197"/>
      <c r="O63" s="197"/>
      <c r="P63" s="197"/>
      <c r="Q63" s="197"/>
    </row>
    <row r="64" spans="1:29" s="37" customFormat="1" ht="14.45" customHeight="1" x14ac:dyDescent="0.25">
      <c r="A64" s="196" t="s">
        <v>71</v>
      </c>
      <c r="B64" s="196"/>
      <c r="C64" s="196"/>
      <c r="D64" s="201"/>
      <c r="E64" s="58" t="s">
        <v>114</v>
      </c>
      <c r="F64" s="196" t="s">
        <v>116</v>
      </c>
      <c r="G64" s="196"/>
      <c r="H64" s="196"/>
      <c r="I64" s="196"/>
      <c r="J64" s="196"/>
      <c r="K64" s="57"/>
      <c r="L64" s="197"/>
      <c r="M64" s="197"/>
      <c r="N64" s="197"/>
      <c r="O64" s="197"/>
      <c r="P64" s="197"/>
      <c r="Q64" s="197"/>
    </row>
    <row r="65" spans="1:17" s="37" customFormat="1" ht="14.45" customHeight="1" x14ac:dyDescent="0.25">
      <c r="A65" s="196" t="s">
        <v>117</v>
      </c>
      <c r="B65" s="196"/>
      <c r="C65" s="196"/>
      <c r="D65" s="201"/>
      <c r="E65" s="58" t="s">
        <v>114</v>
      </c>
      <c r="F65" s="196" t="s">
        <v>306</v>
      </c>
      <c r="G65" s="196"/>
      <c r="H65" s="196"/>
      <c r="I65" s="196"/>
      <c r="J65" s="196"/>
      <c r="K65" s="57"/>
      <c r="L65" s="59" t="s">
        <v>118</v>
      </c>
      <c r="M65" s="129"/>
      <c r="N65" s="129"/>
      <c r="O65" s="129"/>
      <c r="P65" s="129"/>
      <c r="Q65" s="129"/>
    </row>
    <row r="66" spans="1:17" s="37" customFormat="1" ht="14.45" customHeight="1" x14ac:dyDescent="0.25">
      <c r="A66" s="196" t="s">
        <v>303</v>
      </c>
      <c r="B66" s="196"/>
      <c r="C66" s="196"/>
      <c r="D66" s="201"/>
      <c r="E66" s="58" t="s">
        <v>114</v>
      </c>
      <c r="F66" s="196" t="s">
        <v>304</v>
      </c>
      <c r="G66" s="196"/>
      <c r="H66" s="196"/>
      <c r="I66" s="196"/>
      <c r="J66" s="196"/>
      <c r="K66" s="57"/>
      <c r="L66" s="59" t="s">
        <v>118</v>
      </c>
      <c r="M66" s="129"/>
      <c r="N66" s="129"/>
      <c r="O66" s="129"/>
      <c r="P66" s="129"/>
      <c r="Q66" s="129"/>
    </row>
    <row r="67" spans="1:17" s="37" customFormat="1" ht="40.5" customHeight="1" x14ac:dyDescent="0.25">
      <c r="A67" s="248" t="s">
        <v>309</v>
      </c>
      <c r="B67" s="248"/>
      <c r="C67" s="248"/>
      <c r="D67" s="243"/>
      <c r="E67" s="123" t="s">
        <v>114</v>
      </c>
      <c r="F67" s="248" t="s">
        <v>310</v>
      </c>
      <c r="G67" s="248"/>
      <c r="H67" s="248"/>
      <c r="I67" s="248"/>
      <c r="J67" s="248"/>
      <c r="K67" s="57"/>
      <c r="L67" s="59" t="s">
        <v>118</v>
      </c>
      <c r="M67" s="129"/>
      <c r="N67" s="129"/>
      <c r="O67" s="129"/>
      <c r="P67" s="129"/>
      <c r="Q67" s="129"/>
    </row>
    <row r="68" spans="1:17" s="37" customFormat="1" ht="14.45" customHeight="1" x14ac:dyDescent="0.25">
      <c r="A68" s="196" t="s">
        <v>119</v>
      </c>
      <c r="B68" s="196"/>
      <c r="C68" s="196"/>
      <c r="D68" s="196"/>
      <c r="E68" s="58" t="s">
        <v>114</v>
      </c>
      <c r="F68" s="196" t="s">
        <v>120</v>
      </c>
      <c r="G68" s="196"/>
      <c r="H68" s="196"/>
      <c r="I68" s="196"/>
      <c r="J68" s="196"/>
      <c r="K68" s="57"/>
      <c r="L68" s="197" t="s">
        <v>121</v>
      </c>
      <c r="M68" s="197"/>
      <c r="N68" s="197"/>
      <c r="O68" s="197"/>
      <c r="P68" s="197"/>
      <c r="Q68" s="197"/>
    </row>
    <row r="69" spans="1:17" s="37" customFormat="1" ht="14.45" customHeight="1" x14ac:dyDescent="0.25">
      <c r="A69" s="196" t="s">
        <v>122</v>
      </c>
      <c r="B69" s="196"/>
      <c r="C69" s="196"/>
      <c r="D69" s="196"/>
      <c r="E69" s="58" t="s">
        <v>114</v>
      </c>
      <c r="F69" s="196" t="s">
        <v>123</v>
      </c>
      <c r="G69" s="196"/>
      <c r="H69" s="196"/>
      <c r="I69" s="196"/>
      <c r="J69" s="196"/>
      <c r="K69" s="57"/>
      <c r="L69" s="197"/>
      <c r="M69" s="197"/>
      <c r="N69" s="197"/>
      <c r="O69" s="197"/>
      <c r="P69" s="197"/>
      <c r="Q69" s="197"/>
    </row>
    <row r="70" spans="1:17" s="117" customFormat="1" ht="14.45" customHeight="1" x14ac:dyDescent="0.25">
      <c r="A70" s="246" t="s">
        <v>277</v>
      </c>
      <c r="B70" s="246"/>
      <c r="C70" s="246"/>
      <c r="D70" s="246"/>
      <c r="E70" s="115" t="s">
        <v>114</v>
      </c>
      <c r="F70" s="246" t="s">
        <v>278</v>
      </c>
      <c r="G70" s="246"/>
      <c r="H70" s="246"/>
      <c r="I70" s="246"/>
      <c r="J70" s="246"/>
      <c r="K70" s="116"/>
      <c r="L70" s="247"/>
      <c r="M70" s="247"/>
      <c r="N70" s="247"/>
      <c r="O70" s="247"/>
      <c r="P70" s="247"/>
      <c r="Q70" s="247"/>
    </row>
    <row r="71" spans="1:17" s="37" customFormat="1" ht="14.45" customHeight="1" x14ac:dyDescent="0.25">
      <c r="A71" s="196" t="s">
        <v>124</v>
      </c>
      <c r="B71" s="196"/>
      <c r="C71" s="196"/>
      <c r="D71" s="196"/>
      <c r="E71" s="58" t="s">
        <v>114</v>
      </c>
      <c r="F71" s="196" t="s">
        <v>125</v>
      </c>
      <c r="G71" s="196"/>
      <c r="H71" s="196"/>
      <c r="I71" s="196"/>
      <c r="J71" s="196"/>
      <c r="K71" s="57"/>
      <c r="L71" s="197"/>
      <c r="M71" s="197"/>
      <c r="N71" s="197"/>
      <c r="O71" s="197"/>
      <c r="P71" s="197"/>
      <c r="Q71" s="197"/>
    </row>
    <row r="72" spans="1:17" s="37" customFormat="1" ht="14.45" customHeight="1" x14ac:dyDescent="0.25">
      <c r="A72" s="196" t="s">
        <v>126</v>
      </c>
      <c r="B72" s="196"/>
      <c r="C72" s="196"/>
      <c r="D72" s="201"/>
      <c r="E72" s="58" t="s">
        <v>127</v>
      </c>
      <c r="F72" s="128" t="s">
        <v>128</v>
      </c>
      <c r="G72" s="185" t="s">
        <v>129</v>
      </c>
      <c r="H72" s="185"/>
      <c r="I72" s="185"/>
      <c r="J72" s="185"/>
      <c r="K72" s="57"/>
      <c r="L72" s="197" t="s">
        <v>130</v>
      </c>
      <c r="M72" s="197"/>
      <c r="N72" s="197"/>
      <c r="O72" s="197"/>
      <c r="P72" s="197"/>
      <c r="Q72" s="197"/>
    </row>
    <row r="73" spans="1:17" s="37" customFormat="1" ht="14.45" customHeight="1" x14ac:dyDescent="0.25">
      <c r="A73" s="196" t="s">
        <v>126</v>
      </c>
      <c r="B73" s="196"/>
      <c r="C73" s="196"/>
      <c r="D73" s="196"/>
      <c r="E73" s="58" t="s">
        <v>127</v>
      </c>
      <c r="F73" s="128" t="s">
        <v>131</v>
      </c>
      <c r="G73" s="185" t="s">
        <v>132</v>
      </c>
      <c r="H73" s="185"/>
      <c r="I73" s="185"/>
      <c r="J73" s="185"/>
      <c r="K73" s="57"/>
      <c r="L73" s="197" t="s">
        <v>130</v>
      </c>
      <c r="M73" s="197"/>
      <c r="N73" s="197"/>
      <c r="O73" s="197"/>
      <c r="P73" s="197"/>
      <c r="Q73" s="197"/>
    </row>
    <row r="74" spans="1:17" s="37" customFormat="1" ht="37.5" customHeight="1" x14ac:dyDescent="0.25">
      <c r="A74" s="243" t="s">
        <v>311</v>
      </c>
      <c r="B74" s="244"/>
      <c r="C74" s="244"/>
      <c r="D74" s="245"/>
      <c r="E74" s="243" t="s">
        <v>312</v>
      </c>
      <c r="F74" s="244"/>
      <c r="G74" s="244"/>
      <c r="H74" s="244"/>
      <c r="I74" s="244"/>
      <c r="J74" s="245"/>
      <c r="K74" s="57"/>
      <c r="L74" s="197"/>
      <c r="M74" s="197"/>
      <c r="N74" s="197"/>
      <c r="O74" s="197"/>
      <c r="P74" s="197"/>
      <c r="Q74" s="197"/>
    </row>
    <row r="75" spans="1:17" s="37" customFormat="1" ht="14.45" customHeight="1" x14ac:dyDescent="0.25">
      <c r="A75" s="180" t="s">
        <v>133</v>
      </c>
      <c r="B75" s="180"/>
      <c r="C75" s="180"/>
      <c r="D75" s="180"/>
      <c r="E75" s="180"/>
      <c r="F75" s="180"/>
      <c r="G75" s="180"/>
      <c r="H75" s="180"/>
      <c r="I75" s="180"/>
      <c r="J75" s="180"/>
      <c r="K75" s="57"/>
      <c r="L75" s="129"/>
      <c r="M75" s="129"/>
    </row>
    <row r="76" spans="1:17" s="37" customFormat="1" ht="14.45" customHeight="1" x14ac:dyDescent="0.2">
      <c r="A76" s="60" t="s">
        <v>134</v>
      </c>
      <c r="B76" s="60" t="s">
        <v>135</v>
      </c>
      <c r="C76" s="60" t="s">
        <v>136</v>
      </c>
      <c r="D76" s="193" t="s">
        <v>137</v>
      </c>
      <c r="E76" s="194"/>
      <c r="F76" s="195"/>
      <c r="G76" s="61" t="s">
        <v>138</v>
      </c>
      <c r="H76" s="60" t="s">
        <v>139</v>
      </c>
      <c r="I76" s="61" t="s">
        <v>140</v>
      </c>
      <c r="J76" s="61" t="s">
        <v>141</v>
      </c>
      <c r="K76" s="57"/>
      <c r="L76" s="129"/>
      <c r="M76" s="129"/>
    </row>
    <row r="77" spans="1:17" s="37" customFormat="1" ht="14.45" customHeight="1" x14ac:dyDescent="0.2">
      <c r="A77" s="62" t="s">
        <v>142</v>
      </c>
      <c r="B77" s="62" t="s">
        <v>49</v>
      </c>
      <c r="C77" s="62" t="s">
        <v>143</v>
      </c>
      <c r="D77" s="187" t="s">
        <v>144</v>
      </c>
      <c r="E77" s="188"/>
      <c r="F77" s="189"/>
      <c r="G77" s="63">
        <v>50</v>
      </c>
      <c r="H77" s="62" t="s">
        <v>145</v>
      </c>
      <c r="I77" s="63">
        <v>150</v>
      </c>
      <c r="J77" s="63" t="s">
        <v>110</v>
      </c>
      <c r="K77" s="57"/>
      <c r="L77" s="129"/>
      <c r="M77" s="129"/>
    </row>
    <row r="78" spans="1:17" s="37" customFormat="1" ht="14.45" customHeight="1" x14ac:dyDescent="0.2">
      <c r="A78" s="62" t="s">
        <v>142</v>
      </c>
      <c r="B78" s="62" t="s">
        <v>146</v>
      </c>
      <c r="C78" s="62" t="s">
        <v>147</v>
      </c>
      <c r="D78" s="187" t="s">
        <v>148</v>
      </c>
      <c r="E78" s="188"/>
      <c r="F78" s="189"/>
      <c r="G78" s="63">
        <v>3</v>
      </c>
      <c r="H78" s="62" t="s">
        <v>149</v>
      </c>
      <c r="I78" s="63">
        <v>3</v>
      </c>
      <c r="J78" s="63" t="s">
        <v>110</v>
      </c>
      <c r="K78" s="57"/>
      <c r="L78" s="129"/>
      <c r="M78" s="129"/>
    </row>
    <row r="79" spans="1:17" s="37" customFormat="1" ht="14.45" customHeight="1" x14ac:dyDescent="0.2">
      <c r="A79" s="62" t="s">
        <v>150</v>
      </c>
      <c r="B79" s="62" t="s">
        <v>146</v>
      </c>
      <c r="C79" s="62" t="s">
        <v>147</v>
      </c>
      <c r="D79" s="187" t="s">
        <v>151</v>
      </c>
      <c r="E79" s="188"/>
      <c r="F79" s="189"/>
      <c r="G79" s="63">
        <v>3</v>
      </c>
      <c r="H79" s="62" t="s">
        <v>152</v>
      </c>
      <c r="I79" s="63">
        <v>3</v>
      </c>
      <c r="J79" s="63" t="s">
        <v>110</v>
      </c>
      <c r="K79" s="57"/>
      <c r="L79" s="129"/>
      <c r="M79" s="129"/>
    </row>
    <row r="80" spans="1:17" s="37" customFormat="1" ht="14.45" customHeight="1" x14ac:dyDescent="0.2">
      <c r="A80" s="124" t="s">
        <v>173</v>
      </c>
      <c r="B80" s="124" t="s">
        <v>49</v>
      </c>
      <c r="C80" s="124" t="s">
        <v>143</v>
      </c>
      <c r="D80" s="240" t="s">
        <v>313</v>
      </c>
      <c r="E80" s="241"/>
      <c r="F80" s="242"/>
      <c r="G80" s="125">
        <v>75</v>
      </c>
      <c r="H80" s="124" t="s">
        <v>145</v>
      </c>
      <c r="I80" s="125">
        <f>75*3</f>
        <v>225</v>
      </c>
      <c r="J80" s="125" t="s">
        <v>314</v>
      </c>
      <c r="K80" s="57"/>
      <c r="L80" s="129"/>
      <c r="M80" s="129"/>
    </row>
    <row r="81" spans="1:13" s="37" customFormat="1" ht="14.45" customHeight="1" x14ac:dyDescent="0.2">
      <c r="A81" s="62" t="s">
        <v>142</v>
      </c>
      <c r="B81" s="62" t="s">
        <v>49</v>
      </c>
      <c r="C81" s="62" t="s">
        <v>143</v>
      </c>
      <c r="D81" s="187" t="s">
        <v>279</v>
      </c>
      <c r="E81" s="188"/>
      <c r="F81" s="189"/>
      <c r="G81" s="63">
        <v>150</v>
      </c>
      <c r="H81" s="62" t="s">
        <v>280</v>
      </c>
      <c r="I81" s="63" t="s">
        <v>153</v>
      </c>
      <c r="J81" s="63" t="s">
        <v>110</v>
      </c>
      <c r="K81" s="57"/>
      <c r="L81" s="129"/>
      <c r="M81" s="129"/>
    </row>
    <row r="82" spans="1:13" s="37" customFormat="1" ht="14.45" customHeight="1" x14ac:dyDescent="0.2">
      <c r="A82" s="62" t="s">
        <v>154</v>
      </c>
      <c r="B82" s="62" t="s">
        <v>49</v>
      </c>
      <c r="C82" s="62" t="s">
        <v>143</v>
      </c>
      <c r="D82" s="187" t="s">
        <v>155</v>
      </c>
      <c r="E82" s="188"/>
      <c r="F82" s="189"/>
      <c r="G82" s="63">
        <v>250</v>
      </c>
      <c r="H82" s="62" t="s">
        <v>49</v>
      </c>
      <c r="I82" s="63" t="s">
        <v>153</v>
      </c>
      <c r="J82" s="63" t="s">
        <v>110</v>
      </c>
      <c r="K82" s="57"/>
      <c r="L82" s="129"/>
      <c r="M82" s="129"/>
    </row>
    <row r="83" spans="1:13" s="37" customFormat="1" ht="14.45" customHeight="1" x14ac:dyDescent="0.2">
      <c r="A83" s="65" t="s">
        <v>156</v>
      </c>
      <c r="B83" s="65" t="s">
        <v>49</v>
      </c>
      <c r="C83" s="65" t="s">
        <v>143</v>
      </c>
      <c r="D83" s="187" t="s">
        <v>157</v>
      </c>
      <c r="E83" s="188"/>
      <c r="F83" s="189"/>
      <c r="G83" s="63">
        <v>250</v>
      </c>
      <c r="H83" s="62" t="s">
        <v>49</v>
      </c>
      <c r="I83" s="63" t="s">
        <v>153</v>
      </c>
      <c r="J83" s="63" t="s">
        <v>110</v>
      </c>
      <c r="K83" s="57"/>
      <c r="L83" s="129"/>
      <c r="M83" s="129"/>
    </row>
    <row r="84" spans="1:13" s="37" customFormat="1" ht="14.45" customHeight="1" x14ac:dyDescent="0.2">
      <c r="A84" s="62" t="s">
        <v>142</v>
      </c>
      <c r="B84" s="62" t="s">
        <v>49</v>
      </c>
      <c r="C84" s="62" t="s">
        <v>143</v>
      </c>
      <c r="D84" s="187" t="s">
        <v>281</v>
      </c>
      <c r="E84" s="188"/>
      <c r="F84" s="189"/>
      <c r="G84" s="63">
        <v>200</v>
      </c>
      <c r="H84" s="62" t="s">
        <v>280</v>
      </c>
      <c r="I84" s="63" t="s">
        <v>153</v>
      </c>
      <c r="J84" s="63" t="s">
        <v>110</v>
      </c>
      <c r="K84" s="57"/>
      <c r="L84" s="129"/>
      <c r="M84" s="129"/>
    </row>
    <row r="85" spans="1:13" s="37" customFormat="1" ht="14.45" customHeight="1" x14ac:dyDescent="0.2">
      <c r="A85" s="62" t="s">
        <v>142</v>
      </c>
      <c r="B85" s="62" t="s">
        <v>49</v>
      </c>
      <c r="C85" s="62" t="s">
        <v>143</v>
      </c>
      <c r="D85" s="187" t="s">
        <v>158</v>
      </c>
      <c r="E85" s="188"/>
      <c r="F85" s="189"/>
      <c r="G85" s="66">
        <v>150</v>
      </c>
      <c r="H85" s="62" t="s">
        <v>49</v>
      </c>
      <c r="I85" s="66" t="s">
        <v>153</v>
      </c>
      <c r="J85" s="63" t="s">
        <v>110</v>
      </c>
      <c r="K85" s="57"/>
      <c r="L85" s="129"/>
      <c r="M85" s="129"/>
    </row>
    <row r="86" spans="1:13" s="37" customFormat="1" ht="14.45" customHeight="1" x14ac:dyDescent="0.2">
      <c r="A86" s="62" t="s">
        <v>150</v>
      </c>
      <c r="B86" s="67" t="s">
        <v>49</v>
      </c>
      <c r="C86" s="62" t="s">
        <v>143</v>
      </c>
      <c r="D86" s="187" t="s">
        <v>159</v>
      </c>
      <c r="E86" s="188"/>
      <c r="F86" s="189"/>
      <c r="G86" s="68">
        <v>180</v>
      </c>
      <c r="H86" s="67" t="s">
        <v>49</v>
      </c>
      <c r="I86" s="68" t="s">
        <v>153</v>
      </c>
      <c r="J86" s="63" t="s">
        <v>110</v>
      </c>
      <c r="K86" s="57"/>
      <c r="L86" s="129"/>
      <c r="M86" s="129"/>
    </row>
    <row r="87" spans="1:13" s="37" customFormat="1" ht="14.45" customHeight="1" x14ac:dyDescent="0.2">
      <c r="A87" s="62" t="s">
        <v>160</v>
      </c>
      <c r="B87" s="67" t="s">
        <v>49</v>
      </c>
      <c r="C87" s="62" t="s">
        <v>143</v>
      </c>
      <c r="D87" s="187" t="s">
        <v>161</v>
      </c>
      <c r="E87" s="188"/>
      <c r="F87" s="189"/>
      <c r="G87" s="69">
        <v>47.9</v>
      </c>
      <c r="H87" s="67" t="s">
        <v>24</v>
      </c>
      <c r="I87" s="69">
        <v>47.9</v>
      </c>
      <c r="J87" s="63" t="s">
        <v>110</v>
      </c>
      <c r="K87" s="57"/>
      <c r="L87" s="129"/>
      <c r="M87" s="129"/>
    </row>
    <row r="88" spans="1:13" s="37" customFormat="1" ht="14.45" customHeight="1" x14ac:dyDescent="0.2">
      <c r="A88" s="62" t="s">
        <v>160</v>
      </c>
      <c r="B88" s="67" t="s">
        <v>49</v>
      </c>
      <c r="C88" s="62" t="s">
        <v>143</v>
      </c>
      <c r="D88" s="187" t="s">
        <v>161</v>
      </c>
      <c r="E88" s="188"/>
      <c r="F88" s="189"/>
      <c r="G88" s="69">
        <v>65.400000000000006</v>
      </c>
      <c r="H88" s="67" t="s">
        <v>162</v>
      </c>
      <c r="I88" s="69">
        <v>65.400000000000006</v>
      </c>
      <c r="J88" s="63" t="s">
        <v>110</v>
      </c>
      <c r="K88" s="57"/>
      <c r="L88" s="129"/>
      <c r="M88" s="129"/>
    </row>
    <row r="89" spans="1:13" s="37" customFormat="1" ht="14.1" customHeight="1" x14ac:dyDescent="0.2">
      <c r="A89" s="62" t="s">
        <v>163</v>
      </c>
      <c r="B89" s="67" t="s">
        <v>49</v>
      </c>
      <c r="C89" s="62" t="s">
        <v>143</v>
      </c>
      <c r="D89" s="187" t="s">
        <v>164</v>
      </c>
      <c r="E89" s="188"/>
      <c r="F89" s="189"/>
      <c r="G89" s="69">
        <v>48</v>
      </c>
      <c r="H89" s="67" t="s">
        <v>49</v>
      </c>
      <c r="I89" s="69">
        <v>48</v>
      </c>
      <c r="J89" s="63" t="s">
        <v>110</v>
      </c>
      <c r="K89" s="57"/>
      <c r="L89" s="129"/>
      <c r="M89" s="129"/>
    </row>
    <row r="90" spans="1:13" s="37" customFormat="1" ht="14.45" customHeight="1" x14ac:dyDescent="0.2">
      <c r="A90" s="62" t="s">
        <v>163</v>
      </c>
      <c r="B90" s="67" t="s">
        <v>49</v>
      </c>
      <c r="C90" s="62" t="s">
        <v>143</v>
      </c>
      <c r="D90" s="187" t="s">
        <v>165</v>
      </c>
      <c r="E90" s="188"/>
      <c r="F90" s="189"/>
      <c r="G90" s="69">
        <v>18</v>
      </c>
      <c r="H90" s="67" t="s">
        <v>49</v>
      </c>
      <c r="I90" s="69">
        <v>18</v>
      </c>
      <c r="J90" s="63" t="s">
        <v>110</v>
      </c>
      <c r="K90" s="57"/>
      <c r="L90" s="129"/>
      <c r="M90" s="129"/>
    </row>
    <row r="91" spans="1:13" s="37" customFormat="1" ht="14.45" customHeight="1" x14ac:dyDescent="0.2">
      <c r="A91" s="62" t="s">
        <v>163</v>
      </c>
      <c r="B91" s="67" t="s">
        <v>49</v>
      </c>
      <c r="C91" s="62" t="s">
        <v>143</v>
      </c>
      <c r="D91" s="187" t="s">
        <v>166</v>
      </c>
      <c r="E91" s="188"/>
      <c r="F91" s="189"/>
      <c r="G91" s="69">
        <v>42</v>
      </c>
      <c r="H91" s="67" t="s">
        <v>49</v>
      </c>
      <c r="I91" s="69">
        <v>42</v>
      </c>
      <c r="J91" s="63" t="s">
        <v>110</v>
      </c>
      <c r="K91" s="57"/>
      <c r="L91" s="129"/>
      <c r="M91" s="129"/>
    </row>
    <row r="92" spans="1:13" s="37" customFormat="1" ht="14.45" customHeight="1" x14ac:dyDescent="0.2">
      <c r="A92" s="62" t="s">
        <v>167</v>
      </c>
      <c r="B92" s="62" t="s">
        <v>49</v>
      </c>
      <c r="C92" s="62" t="s">
        <v>143</v>
      </c>
      <c r="D92" s="187" t="s">
        <v>168</v>
      </c>
      <c r="E92" s="188"/>
      <c r="F92" s="189"/>
      <c r="G92" s="66">
        <v>54</v>
      </c>
      <c r="H92" s="62" t="s">
        <v>49</v>
      </c>
      <c r="I92" s="66">
        <v>54</v>
      </c>
      <c r="J92" s="63" t="s">
        <v>110</v>
      </c>
      <c r="K92" s="57"/>
      <c r="L92" s="129"/>
      <c r="M92" s="129"/>
    </row>
    <row r="93" spans="1:13" s="37" customFormat="1" ht="14.45" customHeight="1" x14ac:dyDescent="0.2">
      <c r="A93" s="67" t="s">
        <v>169</v>
      </c>
      <c r="B93" s="67" t="s">
        <v>49</v>
      </c>
      <c r="C93" s="67" t="s">
        <v>147</v>
      </c>
      <c r="D93" s="187" t="s">
        <v>170</v>
      </c>
      <c r="E93" s="188"/>
      <c r="F93" s="189"/>
      <c r="G93" s="70">
        <v>35</v>
      </c>
      <c r="H93" s="70" t="s">
        <v>280</v>
      </c>
      <c r="I93" s="70">
        <v>35</v>
      </c>
      <c r="J93" s="63" t="s">
        <v>110</v>
      </c>
      <c r="K93" s="57"/>
      <c r="L93" s="129"/>
      <c r="M93" s="129"/>
    </row>
    <row r="94" spans="1:13" s="37" customFormat="1" ht="14.45" customHeight="1" x14ac:dyDescent="0.2">
      <c r="A94" s="62" t="s">
        <v>142</v>
      </c>
      <c r="B94" s="62" t="s">
        <v>49</v>
      </c>
      <c r="C94" s="62" t="s">
        <v>143</v>
      </c>
      <c r="D94" s="187" t="s">
        <v>171</v>
      </c>
      <c r="E94" s="188"/>
      <c r="F94" s="189"/>
      <c r="G94" s="63">
        <v>85</v>
      </c>
      <c r="H94" s="62" t="s">
        <v>172</v>
      </c>
      <c r="I94" s="63" t="s">
        <v>153</v>
      </c>
      <c r="J94" s="63" t="s">
        <v>110</v>
      </c>
      <c r="K94" s="57"/>
      <c r="L94" s="129"/>
      <c r="M94" s="129"/>
    </row>
    <row r="95" spans="1:13" s="37" customFormat="1" ht="14.45" customHeight="1" x14ac:dyDescent="0.2">
      <c r="A95" s="62" t="s">
        <v>173</v>
      </c>
      <c r="B95" s="62" t="s">
        <v>146</v>
      </c>
      <c r="C95" s="62" t="s">
        <v>147</v>
      </c>
      <c r="D95" s="187" t="s">
        <v>174</v>
      </c>
      <c r="E95" s="188"/>
      <c r="F95" s="189"/>
      <c r="G95" s="63">
        <v>4</v>
      </c>
      <c r="H95" s="62" t="s">
        <v>149</v>
      </c>
      <c r="I95" s="63">
        <v>4</v>
      </c>
      <c r="J95" s="63" t="s">
        <v>110</v>
      </c>
      <c r="K95" s="57"/>
      <c r="L95" s="129"/>
      <c r="M95" s="129"/>
    </row>
    <row r="96" spans="1:13" s="37" customFormat="1" ht="14.45" customHeight="1" x14ac:dyDescent="0.2">
      <c r="A96" s="62" t="s">
        <v>173</v>
      </c>
      <c r="B96" s="62" t="s">
        <v>49</v>
      </c>
      <c r="C96" s="62" t="s">
        <v>143</v>
      </c>
      <c r="D96" s="187" t="s">
        <v>175</v>
      </c>
      <c r="E96" s="188"/>
      <c r="F96" s="189"/>
      <c r="G96" s="71" t="s">
        <v>210</v>
      </c>
      <c r="H96" s="62" t="s">
        <v>24</v>
      </c>
      <c r="I96" s="66" t="s">
        <v>153</v>
      </c>
      <c r="J96" s="63" t="s">
        <v>282</v>
      </c>
      <c r="K96" s="57"/>
      <c r="L96" s="129"/>
      <c r="M96" s="129"/>
    </row>
    <row r="97" spans="1:16" s="37" customFormat="1" ht="14.45" customHeight="1" x14ac:dyDescent="0.2">
      <c r="A97" s="62" t="s">
        <v>173</v>
      </c>
      <c r="B97" s="62" t="s">
        <v>49</v>
      </c>
      <c r="C97" s="62" t="s">
        <v>143</v>
      </c>
      <c r="D97" s="187" t="s">
        <v>176</v>
      </c>
      <c r="E97" s="188"/>
      <c r="F97" s="189"/>
      <c r="G97" s="66" t="s">
        <v>210</v>
      </c>
      <c r="H97" s="62" t="s">
        <v>162</v>
      </c>
      <c r="I97" s="66" t="s">
        <v>153</v>
      </c>
      <c r="J97" s="63" t="s">
        <v>282</v>
      </c>
      <c r="K97" s="57"/>
      <c r="L97" s="129"/>
      <c r="M97" s="129"/>
    </row>
    <row r="98" spans="1:16" s="37" customFormat="1" ht="14.45" customHeight="1" x14ac:dyDescent="0.2">
      <c r="A98" s="62" t="s">
        <v>173</v>
      </c>
      <c r="B98" s="62" t="s">
        <v>146</v>
      </c>
      <c r="C98" s="62" t="s">
        <v>147</v>
      </c>
      <c r="D98" s="187" t="s">
        <v>177</v>
      </c>
      <c r="E98" s="188"/>
      <c r="F98" s="189"/>
      <c r="G98" s="63">
        <v>2</v>
      </c>
      <c r="H98" s="62" t="s">
        <v>149</v>
      </c>
      <c r="I98" s="63">
        <v>2</v>
      </c>
      <c r="J98" s="63" t="s">
        <v>110</v>
      </c>
      <c r="K98" s="57"/>
      <c r="L98" s="129"/>
      <c r="M98" s="129"/>
    </row>
    <row r="99" spans="1:16" s="37" customFormat="1" ht="14.45" customHeight="1" x14ac:dyDescent="0.2">
      <c r="A99" s="62" t="s">
        <v>173</v>
      </c>
      <c r="B99" s="62" t="s">
        <v>146</v>
      </c>
      <c r="C99" s="62" t="s">
        <v>283</v>
      </c>
      <c r="D99" s="187" t="s">
        <v>284</v>
      </c>
      <c r="E99" s="188"/>
      <c r="F99" s="189"/>
      <c r="G99" s="63">
        <v>10</v>
      </c>
      <c r="H99" s="62" t="s">
        <v>285</v>
      </c>
      <c r="I99" s="63" t="s">
        <v>153</v>
      </c>
      <c r="J99" s="63" t="s">
        <v>110</v>
      </c>
      <c r="K99" s="57"/>
      <c r="L99" s="129"/>
      <c r="M99" s="129"/>
    </row>
    <row r="100" spans="1:16" s="37" customFormat="1" ht="14.45" customHeight="1" x14ac:dyDescent="0.2">
      <c r="A100" s="62" t="s">
        <v>142</v>
      </c>
      <c r="B100" s="62" t="s">
        <v>49</v>
      </c>
      <c r="C100" s="62" t="s">
        <v>143</v>
      </c>
      <c r="D100" s="187" t="s">
        <v>178</v>
      </c>
      <c r="E100" s="188"/>
      <c r="F100" s="189"/>
      <c r="G100" s="63">
        <v>50</v>
      </c>
      <c r="H100" s="62" t="s">
        <v>145</v>
      </c>
      <c r="I100" s="63" t="s">
        <v>153</v>
      </c>
      <c r="J100" s="63" t="s">
        <v>110</v>
      </c>
      <c r="K100" s="57"/>
      <c r="L100" s="129"/>
      <c r="M100" s="129"/>
    </row>
    <row r="101" spans="1:16" s="37" customFormat="1" ht="14.45" customHeight="1" x14ac:dyDescent="0.2">
      <c r="A101" s="62" t="s">
        <v>173</v>
      </c>
      <c r="B101" s="62" t="s">
        <v>49</v>
      </c>
      <c r="C101" s="62" t="s">
        <v>143</v>
      </c>
      <c r="D101" s="187" t="s">
        <v>179</v>
      </c>
      <c r="E101" s="188"/>
      <c r="F101" s="189"/>
      <c r="G101" s="63">
        <v>175</v>
      </c>
      <c r="H101" s="62" t="s">
        <v>49</v>
      </c>
      <c r="I101" s="63" t="s">
        <v>153</v>
      </c>
      <c r="J101" s="63" t="s">
        <v>110</v>
      </c>
      <c r="K101" s="57"/>
      <c r="L101" s="129"/>
      <c r="M101" s="129"/>
    </row>
    <row r="102" spans="1:16" s="37" customFormat="1" ht="14.45" customHeight="1" x14ac:dyDescent="0.2">
      <c r="A102" s="62" t="s">
        <v>142</v>
      </c>
      <c r="B102" s="62" t="s">
        <v>49</v>
      </c>
      <c r="C102" s="62" t="s">
        <v>147</v>
      </c>
      <c r="D102" s="187" t="s">
        <v>180</v>
      </c>
      <c r="E102" s="188"/>
      <c r="F102" s="189"/>
      <c r="G102" s="63">
        <v>40</v>
      </c>
      <c r="H102" s="62" t="s">
        <v>181</v>
      </c>
      <c r="I102" s="63" t="s">
        <v>153</v>
      </c>
      <c r="J102" s="63" t="s">
        <v>110</v>
      </c>
      <c r="K102" s="57"/>
      <c r="L102" s="129"/>
      <c r="M102" s="129"/>
    </row>
    <row r="103" spans="1:16" s="37" customFormat="1" ht="14.45" customHeight="1" x14ac:dyDescent="0.2">
      <c r="A103" s="62" t="s">
        <v>173</v>
      </c>
      <c r="B103" s="62" t="s">
        <v>146</v>
      </c>
      <c r="C103" s="62" t="s">
        <v>147</v>
      </c>
      <c r="D103" s="187" t="s">
        <v>182</v>
      </c>
      <c r="E103" s="188"/>
      <c r="F103" s="189"/>
      <c r="G103" s="63">
        <v>7.5</v>
      </c>
      <c r="H103" s="62" t="s">
        <v>152</v>
      </c>
      <c r="I103" s="63">
        <v>75</v>
      </c>
      <c r="J103" s="63" t="s">
        <v>110</v>
      </c>
      <c r="K103" s="57"/>
      <c r="L103" s="129"/>
      <c r="M103" s="129"/>
    </row>
    <row r="104" spans="1:16" s="37" customFormat="1" ht="14.45" customHeight="1" x14ac:dyDescent="0.2">
      <c r="A104" s="62" t="s">
        <v>142</v>
      </c>
      <c r="B104" s="62" t="s">
        <v>146</v>
      </c>
      <c r="C104" s="62" t="s">
        <v>147</v>
      </c>
      <c r="D104" s="187" t="s">
        <v>183</v>
      </c>
      <c r="E104" s="188"/>
      <c r="F104" s="189"/>
      <c r="G104" s="63">
        <v>20</v>
      </c>
      <c r="H104" s="62" t="s">
        <v>184</v>
      </c>
      <c r="I104" s="63" t="s">
        <v>153</v>
      </c>
      <c r="J104" s="63" t="s">
        <v>110</v>
      </c>
      <c r="K104" s="57"/>
      <c r="L104" s="129"/>
      <c r="M104" s="129"/>
    </row>
    <row r="105" spans="1:16" s="37" customFormat="1" ht="14.45" customHeight="1" x14ac:dyDescent="0.2">
      <c r="A105" s="62" t="s">
        <v>142</v>
      </c>
      <c r="B105" s="62" t="s">
        <v>146</v>
      </c>
      <c r="C105" s="62" t="s">
        <v>147</v>
      </c>
      <c r="D105" s="187" t="s">
        <v>185</v>
      </c>
      <c r="E105" s="188"/>
      <c r="F105" s="189"/>
      <c r="G105" s="63">
        <v>25</v>
      </c>
      <c r="H105" s="62" t="s">
        <v>184</v>
      </c>
      <c r="I105" s="63" t="s">
        <v>153</v>
      </c>
      <c r="J105" s="63" t="s">
        <v>110</v>
      </c>
      <c r="K105" s="57"/>
      <c r="L105" s="129"/>
      <c r="M105" s="129"/>
    </row>
    <row r="106" spans="1:16" s="37" customFormat="1" ht="14.45" customHeight="1" x14ac:dyDescent="0.2">
      <c r="A106" s="62" t="s">
        <v>142</v>
      </c>
      <c r="B106" s="62" t="s">
        <v>142</v>
      </c>
      <c r="C106" s="62" t="s">
        <v>147</v>
      </c>
      <c r="D106" s="187" t="s">
        <v>186</v>
      </c>
      <c r="E106" s="188"/>
      <c r="F106" s="189"/>
      <c r="G106" s="68">
        <v>75</v>
      </c>
      <c r="H106" s="62" t="s">
        <v>181</v>
      </c>
      <c r="I106" s="63" t="s">
        <v>153</v>
      </c>
      <c r="J106" s="63" t="s">
        <v>110</v>
      </c>
      <c r="K106" s="57"/>
      <c r="L106" s="129"/>
      <c r="M106" s="129"/>
    </row>
    <row r="107" spans="1:16" s="37" customFormat="1" ht="14.45" customHeight="1" x14ac:dyDescent="0.2">
      <c r="A107" s="62" t="s">
        <v>142</v>
      </c>
      <c r="B107" s="62" t="s">
        <v>142</v>
      </c>
      <c r="C107" s="62" t="s">
        <v>147</v>
      </c>
      <c r="D107" s="187" t="s">
        <v>187</v>
      </c>
      <c r="E107" s="188"/>
      <c r="F107" s="189"/>
      <c r="G107" s="63">
        <v>35</v>
      </c>
      <c r="H107" s="62" t="s">
        <v>181</v>
      </c>
      <c r="I107" s="63" t="s">
        <v>153</v>
      </c>
      <c r="J107" s="63" t="s">
        <v>110</v>
      </c>
      <c r="K107" s="57"/>
      <c r="L107" s="129"/>
      <c r="M107" s="129"/>
    </row>
    <row r="108" spans="1:16" s="37" customFormat="1" ht="14.45" customHeight="1" x14ac:dyDescent="0.2">
      <c r="A108" s="62" t="s">
        <v>142</v>
      </c>
      <c r="B108" s="62" t="s">
        <v>146</v>
      </c>
      <c r="C108" s="62" t="s">
        <v>143</v>
      </c>
      <c r="D108" s="187" t="s">
        <v>188</v>
      </c>
      <c r="E108" s="188"/>
      <c r="F108" s="189"/>
      <c r="G108" s="63">
        <v>100</v>
      </c>
      <c r="H108" s="62" t="s">
        <v>181</v>
      </c>
      <c r="I108" s="63" t="s">
        <v>153</v>
      </c>
      <c r="J108" s="63" t="s">
        <v>110</v>
      </c>
      <c r="K108" s="57"/>
      <c r="L108" s="129"/>
      <c r="M108" s="129"/>
    </row>
    <row r="109" spans="1:16" s="37" customFormat="1" ht="14.45" customHeight="1" x14ac:dyDescent="0.2">
      <c r="A109" s="62" t="s">
        <v>142</v>
      </c>
      <c r="B109" s="62" t="s">
        <v>146</v>
      </c>
      <c r="C109" s="62" t="s">
        <v>143</v>
      </c>
      <c r="D109" s="187" t="s">
        <v>189</v>
      </c>
      <c r="E109" s="188"/>
      <c r="F109" s="189"/>
      <c r="G109" s="63">
        <v>100</v>
      </c>
      <c r="H109" s="62" t="s">
        <v>190</v>
      </c>
      <c r="I109" s="63" t="s">
        <v>153</v>
      </c>
      <c r="J109" s="63" t="s">
        <v>110</v>
      </c>
      <c r="K109" s="57"/>
      <c r="O109" s="38"/>
      <c r="P109" s="38"/>
    </row>
    <row r="110" spans="1:16" s="37" customFormat="1" ht="14.45" customHeight="1" x14ac:dyDescent="0.2">
      <c r="A110" s="62" t="s">
        <v>142</v>
      </c>
      <c r="B110" s="62" t="s">
        <v>146</v>
      </c>
      <c r="C110" s="62" t="s">
        <v>143</v>
      </c>
      <c r="D110" s="187" t="s">
        <v>191</v>
      </c>
      <c r="E110" s="188"/>
      <c r="F110" s="189"/>
      <c r="G110" s="63">
        <v>100</v>
      </c>
      <c r="H110" s="62" t="s">
        <v>181</v>
      </c>
      <c r="I110" s="63" t="s">
        <v>153</v>
      </c>
      <c r="J110" s="63" t="s">
        <v>110</v>
      </c>
      <c r="K110" s="57"/>
      <c r="O110" s="39"/>
      <c r="P110" s="39"/>
    </row>
    <row r="111" spans="1:16" s="37" customFormat="1" ht="14.45" customHeight="1" x14ac:dyDescent="0.2">
      <c r="A111" s="62" t="s">
        <v>173</v>
      </c>
      <c r="B111" s="62" t="s">
        <v>146</v>
      </c>
      <c r="C111" s="62" t="s">
        <v>143</v>
      </c>
      <c r="D111" s="187" t="s">
        <v>189</v>
      </c>
      <c r="E111" s="188"/>
      <c r="F111" s="189"/>
      <c r="G111" s="63">
        <v>50</v>
      </c>
      <c r="H111" s="62" t="s">
        <v>192</v>
      </c>
      <c r="I111" s="63" t="s">
        <v>153</v>
      </c>
      <c r="J111" s="63" t="s">
        <v>110</v>
      </c>
      <c r="K111" s="57"/>
      <c r="O111" s="39"/>
      <c r="P111" s="39"/>
    </row>
    <row r="112" spans="1:16" s="37" customFormat="1" ht="14.45" customHeight="1" x14ac:dyDescent="0.2">
      <c r="A112" s="62" t="s">
        <v>173</v>
      </c>
      <c r="B112" s="62" t="s">
        <v>146</v>
      </c>
      <c r="C112" s="62" t="s">
        <v>143</v>
      </c>
      <c r="D112" s="187" t="s">
        <v>191</v>
      </c>
      <c r="E112" s="188"/>
      <c r="F112" s="189"/>
      <c r="G112" s="63">
        <v>50</v>
      </c>
      <c r="H112" s="62" t="s">
        <v>181</v>
      </c>
      <c r="I112" s="63" t="s">
        <v>153</v>
      </c>
      <c r="J112" s="63" t="s">
        <v>110</v>
      </c>
      <c r="K112" s="57"/>
      <c r="O112" s="38"/>
      <c r="P112" s="38"/>
    </row>
    <row r="113" spans="1:29" s="37" customFormat="1" ht="14.45" customHeight="1" x14ac:dyDescent="0.25">
      <c r="A113" s="62" t="s">
        <v>142</v>
      </c>
      <c r="B113" s="62" t="s">
        <v>146</v>
      </c>
      <c r="C113" s="62" t="s">
        <v>143</v>
      </c>
      <c r="D113" s="187" t="s">
        <v>193</v>
      </c>
      <c r="E113" s="188"/>
      <c r="F113" s="189"/>
      <c r="G113" s="63">
        <v>85</v>
      </c>
      <c r="H113" s="62" t="s">
        <v>194</v>
      </c>
      <c r="I113" s="63" t="s">
        <v>153</v>
      </c>
      <c r="J113" s="63" t="s">
        <v>110</v>
      </c>
      <c r="K113" s="57"/>
      <c r="O113" s="36"/>
      <c r="P113" s="36"/>
    </row>
    <row r="114" spans="1:29" s="37" customFormat="1" ht="14.45" customHeight="1" x14ac:dyDescent="0.25">
      <c r="A114" s="62" t="s">
        <v>173</v>
      </c>
      <c r="B114" s="62" t="s">
        <v>146</v>
      </c>
      <c r="C114" s="62" t="s">
        <v>195</v>
      </c>
      <c r="D114" s="187" t="s">
        <v>196</v>
      </c>
      <c r="E114" s="188"/>
      <c r="F114" s="189"/>
      <c r="G114" s="63">
        <v>0.1</v>
      </c>
      <c r="H114" s="62" t="s">
        <v>197</v>
      </c>
      <c r="I114" s="63">
        <v>150</v>
      </c>
      <c r="J114" s="63" t="s">
        <v>110</v>
      </c>
      <c r="K114" s="57"/>
      <c r="O114" s="36"/>
      <c r="P114" s="36"/>
    </row>
    <row r="115" spans="1:29" s="37" customFormat="1" ht="14.45" customHeight="1" x14ac:dyDescent="0.25">
      <c r="A115" s="62" t="s">
        <v>142</v>
      </c>
      <c r="B115" s="62" t="s">
        <v>49</v>
      </c>
      <c r="C115" s="62" t="s">
        <v>198</v>
      </c>
      <c r="D115" s="187" t="s">
        <v>199</v>
      </c>
      <c r="E115" s="188"/>
      <c r="F115" s="189"/>
      <c r="G115" s="63">
        <v>35</v>
      </c>
      <c r="H115" s="62" t="s">
        <v>181</v>
      </c>
      <c r="I115" s="63" t="s">
        <v>153</v>
      </c>
      <c r="J115" s="63" t="s">
        <v>110</v>
      </c>
      <c r="K115" s="57"/>
      <c r="O115" s="36"/>
      <c r="P115" s="36"/>
    </row>
    <row r="116" spans="1:29" s="37" customFormat="1" ht="14.45" customHeight="1" x14ac:dyDescent="0.25">
      <c r="A116" s="62" t="s">
        <v>142</v>
      </c>
      <c r="B116" s="62" t="s">
        <v>146</v>
      </c>
      <c r="C116" s="62" t="s">
        <v>198</v>
      </c>
      <c r="D116" s="187" t="s">
        <v>200</v>
      </c>
      <c r="E116" s="188"/>
      <c r="F116" s="189"/>
      <c r="G116" s="63">
        <v>7</v>
      </c>
      <c r="H116" s="62" t="s">
        <v>152</v>
      </c>
      <c r="I116" s="63">
        <v>7</v>
      </c>
      <c r="J116" s="63" t="s">
        <v>110</v>
      </c>
      <c r="K116" s="57"/>
      <c r="O116" s="36"/>
      <c r="P116" s="36"/>
    </row>
    <row r="117" spans="1:29" s="37" customFormat="1" ht="14.1" customHeight="1" x14ac:dyDescent="0.25">
      <c r="A117" s="62" t="s">
        <v>142</v>
      </c>
      <c r="B117" s="62" t="s">
        <v>142</v>
      </c>
      <c r="C117" s="62" t="s">
        <v>201</v>
      </c>
      <c r="D117" s="187" t="s">
        <v>202</v>
      </c>
      <c r="E117" s="188"/>
      <c r="F117" s="189"/>
      <c r="G117" s="63">
        <v>40</v>
      </c>
      <c r="H117" s="62" t="s">
        <v>203</v>
      </c>
      <c r="I117" s="63" t="s">
        <v>153</v>
      </c>
      <c r="J117" s="63" t="s">
        <v>110</v>
      </c>
      <c r="K117" s="57"/>
      <c r="O117" s="36"/>
      <c r="P117" s="36"/>
    </row>
    <row r="118" spans="1:29" s="37" customFormat="1" ht="14.1" customHeight="1" x14ac:dyDescent="0.25">
      <c r="A118" s="62" t="s">
        <v>142</v>
      </c>
      <c r="B118" s="62" t="s">
        <v>49</v>
      </c>
      <c r="C118" s="62" t="s">
        <v>143</v>
      </c>
      <c r="D118" s="187" t="s">
        <v>204</v>
      </c>
      <c r="E118" s="188"/>
      <c r="F118" s="189"/>
      <c r="G118" s="63">
        <v>50</v>
      </c>
      <c r="H118" s="62" t="s">
        <v>49</v>
      </c>
      <c r="I118" s="63" t="s">
        <v>153</v>
      </c>
      <c r="J118" s="63" t="s">
        <v>110</v>
      </c>
      <c r="K118" s="57"/>
      <c r="L118" s="38"/>
      <c r="M118" s="38"/>
      <c r="N118" s="38"/>
      <c r="O118" s="36"/>
      <c r="P118" s="36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 spans="1:29" s="39" customFormat="1" ht="14.1" customHeight="1" x14ac:dyDescent="0.25">
      <c r="A119" s="62" t="s">
        <v>142</v>
      </c>
      <c r="B119" s="62" t="s">
        <v>49</v>
      </c>
      <c r="C119" s="62" t="s">
        <v>143</v>
      </c>
      <c r="D119" s="187" t="s">
        <v>205</v>
      </c>
      <c r="E119" s="188"/>
      <c r="F119" s="189"/>
      <c r="G119" s="63">
        <v>200</v>
      </c>
      <c r="H119" s="62" t="s">
        <v>206</v>
      </c>
      <c r="I119" s="63" t="s">
        <v>153</v>
      </c>
      <c r="J119" s="63" t="s">
        <v>110</v>
      </c>
      <c r="K119" s="57"/>
      <c r="O119" s="36"/>
      <c r="P119" s="36"/>
    </row>
    <row r="120" spans="1:29" s="39" customFormat="1" ht="14.1" customHeight="1" x14ac:dyDescent="0.25">
      <c r="A120" s="62" t="s">
        <v>142</v>
      </c>
      <c r="B120" s="62" t="s">
        <v>49</v>
      </c>
      <c r="C120" s="62" t="s">
        <v>143</v>
      </c>
      <c r="D120" s="187" t="s">
        <v>207</v>
      </c>
      <c r="E120" s="188"/>
      <c r="F120" s="189"/>
      <c r="G120" s="63">
        <v>250</v>
      </c>
      <c r="H120" s="62" t="s">
        <v>208</v>
      </c>
      <c r="I120" s="63">
        <v>100</v>
      </c>
      <c r="J120" s="63" t="s">
        <v>110</v>
      </c>
      <c r="K120" s="57"/>
      <c r="L120" s="38"/>
      <c r="M120" s="38"/>
      <c r="N120" s="38"/>
      <c r="O120" s="36"/>
      <c r="P120" s="36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 spans="1:29" s="38" customFormat="1" ht="14.1" customHeight="1" x14ac:dyDescent="0.25">
      <c r="A121" s="62" t="s">
        <v>142</v>
      </c>
      <c r="B121" s="62" t="s">
        <v>49</v>
      </c>
      <c r="C121" s="62" t="s">
        <v>201</v>
      </c>
      <c r="D121" s="187" t="s">
        <v>209</v>
      </c>
      <c r="E121" s="188"/>
      <c r="F121" s="189"/>
      <c r="G121" s="63" t="s">
        <v>210</v>
      </c>
      <c r="H121" s="62"/>
      <c r="I121" s="63" t="s">
        <v>153</v>
      </c>
      <c r="J121" s="63" t="s">
        <v>110</v>
      </c>
      <c r="K121" s="57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:29" s="36" customFormat="1" x14ac:dyDescent="0.25">
      <c r="A122" s="62" t="s">
        <v>142</v>
      </c>
      <c r="B122" s="62" t="s">
        <v>49</v>
      </c>
      <c r="C122" s="62" t="s">
        <v>201</v>
      </c>
      <c r="D122" s="187" t="s">
        <v>211</v>
      </c>
      <c r="E122" s="188"/>
      <c r="F122" s="189"/>
      <c r="G122" s="63" t="s">
        <v>212</v>
      </c>
      <c r="H122" s="62"/>
      <c r="I122" s="63" t="s">
        <v>153</v>
      </c>
      <c r="J122" s="63" t="s">
        <v>110</v>
      </c>
      <c r="K122" s="72"/>
    </row>
    <row r="123" spans="1:29" s="36" customFormat="1" x14ac:dyDescent="0.25">
      <c r="A123" s="62" t="s">
        <v>213</v>
      </c>
      <c r="B123" s="62" t="s">
        <v>49</v>
      </c>
      <c r="C123" s="62" t="s">
        <v>214</v>
      </c>
      <c r="D123" s="187" t="s">
        <v>215</v>
      </c>
      <c r="E123" s="188"/>
      <c r="F123" s="189"/>
      <c r="G123" s="63">
        <v>100</v>
      </c>
      <c r="H123" s="62" t="s">
        <v>49</v>
      </c>
      <c r="I123" s="63">
        <v>100</v>
      </c>
      <c r="J123" s="63" t="s">
        <v>110</v>
      </c>
      <c r="K123" s="72"/>
    </row>
    <row r="124" spans="1:29" s="36" customFormat="1" x14ac:dyDescent="0.25">
      <c r="A124" s="62" t="s">
        <v>213</v>
      </c>
      <c r="B124" s="62" t="s">
        <v>216</v>
      </c>
      <c r="C124" s="62" t="s">
        <v>147</v>
      </c>
      <c r="D124" s="187" t="s">
        <v>217</v>
      </c>
      <c r="E124" s="188"/>
      <c r="F124" s="189"/>
      <c r="G124" s="63">
        <v>50</v>
      </c>
      <c r="H124" s="62"/>
      <c r="I124" s="63">
        <v>50</v>
      </c>
      <c r="J124" s="63" t="s">
        <v>110</v>
      </c>
      <c r="K124" s="72"/>
    </row>
    <row r="125" spans="1:29" s="36" customFormat="1" x14ac:dyDescent="0.25">
      <c r="A125" s="62" t="s">
        <v>150</v>
      </c>
      <c r="B125" s="62" t="s">
        <v>49</v>
      </c>
      <c r="C125" s="62" t="s">
        <v>218</v>
      </c>
      <c r="D125" s="187" t="s">
        <v>219</v>
      </c>
      <c r="E125" s="188"/>
      <c r="F125" s="189"/>
      <c r="G125" s="69" t="s">
        <v>220</v>
      </c>
      <c r="H125" s="67" t="s">
        <v>49</v>
      </c>
      <c r="I125" s="69" t="s">
        <v>153</v>
      </c>
      <c r="J125" s="63" t="s">
        <v>110</v>
      </c>
      <c r="K125" s="72"/>
    </row>
    <row r="126" spans="1:29" s="36" customFormat="1" x14ac:dyDescent="0.25">
      <c r="A126" s="62" t="s">
        <v>221</v>
      </c>
      <c r="B126" s="62" t="s">
        <v>49</v>
      </c>
      <c r="C126" s="62" t="s">
        <v>201</v>
      </c>
      <c r="D126" s="187" t="s">
        <v>222</v>
      </c>
      <c r="E126" s="188"/>
      <c r="F126" s="189"/>
      <c r="G126" s="69" t="s">
        <v>220</v>
      </c>
      <c r="H126" s="67" t="s">
        <v>49</v>
      </c>
      <c r="I126" s="69" t="s">
        <v>153</v>
      </c>
      <c r="J126" s="63" t="s">
        <v>110</v>
      </c>
      <c r="K126" s="72"/>
    </row>
    <row r="127" spans="1:29" s="36" customFormat="1" x14ac:dyDescent="0.25">
      <c r="A127" s="62" t="s">
        <v>142</v>
      </c>
      <c r="B127" s="62" t="s">
        <v>49</v>
      </c>
      <c r="C127" s="62" t="s">
        <v>223</v>
      </c>
      <c r="D127" s="187" t="s">
        <v>224</v>
      </c>
      <c r="E127" s="188"/>
      <c r="F127" s="189"/>
      <c r="G127" s="63" t="s">
        <v>225</v>
      </c>
      <c r="H127" s="62"/>
      <c r="I127" s="63" t="s">
        <v>153</v>
      </c>
      <c r="J127" s="63" t="s">
        <v>110</v>
      </c>
      <c r="K127" s="72"/>
    </row>
    <row r="128" spans="1:29" s="36" customFormat="1" x14ac:dyDescent="0.25">
      <c r="A128" s="62" t="s">
        <v>142</v>
      </c>
      <c r="B128" s="62" t="s">
        <v>49</v>
      </c>
      <c r="C128" s="62" t="s">
        <v>226</v>
      </c>
      <c r="D128" s="187" t="s">
        <v>227</v>
      </c>
      <c r="E128" s="188"/>
      <c r="F128" s="189"/>
      <c r="G128" s="66">
        <v>150</v>
      </c>
      <c r="H128" s="62" t="s">
        <v>49</v>
      </c>
      <c r="I128" s="66">
        <v>150</v>
      </c>
      <c r="J128" s="63" t="s">
        <v>110</v>
      </c>
      <c r="K128" s="72"/>
    </row>
    <row r="129" spans="1:11" s="36" customFormat="1" x14ac:dyDescent="0.25">
      <c r="A129" s="62" t="s">
        <v>142</v>
      </c>
      <c r="B129" s="62" t="s">
        <v>49</v>
      </c>
      <c r="C129" s="62" t="s">
        <v>228</v>
      </c>
      <c r="D129" s="187" t="s">
        <v>229</v>
      </c>
      <c r="E129" s="188"/>
      <c r="F129" s="189"/>
      <c r="G129" s="66">
        <v>25</v>
      </c>
      <c r="H129" s="62" t="s">
        <v>230</v>
      </c>
      <c r="I129" s="66">
        <v>25</v>
      </c>
      <c r="J129" s="63" t="s">
        <v>110</v>
      </c>
      <c r="K129" s="72"/>
    </row>
    <row r="130" spans="1:11" s="36" customFormat="1" x14ac:dyDescent="0.25">
      <c r="A130" s="62" t="s">
        <v>142</v>
      </c>
      <c r="B130" s="62" t="s">
        <v>146</v>
      </c>
      <c r="C130" s="62" t="s">
        <v>198</v>
      </c>
      <c r="D130" s="187" t="s">
        <v>231</v>
      </c>
      <c r="E130" s="188"/>
      <c r="F130" s="189"/>
      <c r="G130" s="66" t="s">
        <v>232</v>
      </c>
      <c r="H130" s="62" t="s">
        <v>149</v>
      </c>
      <c r="I130" s="66" t="s">
        <v>153</v>
      </c>
      <c r="J130" s="63" t="s">
        <v>110</v>
      </c>
      <c r="K130" s="72"/>
    </row>
    <row r="131" spans="1:11" s="36" customFormat="1" x14ac:dyDescent="0.25">
      <c r="A131" s="62" t="s">
        <v>173</v>
      </c>
      <c r="B131" s="62" t="s">
        <v>146</v>
      </c>
      <c r="C131" s="62" t="s">
        <v>233</v>
      </c>
      <c r="D131" s="187" t="s">
        <v>234</v>
      </c>
      <c r="E131" s="188"/>
      <c r="F131" s="189"/>
      <c r="G131" s="66">
        <v>0.5</v>
      </c>
      <c r="H131" s="62" t="s">
        <v>235</v>
      </c>
      <c r="I131" s="66">
        <v>50</v>
      </c>
      <c r="J131" s="63" t="s">
        <v>110</v>
      </c>
      <c r="K131" s="72"/>
    </row>
    <row r="132" spans="1:11" s="36" customFormat="1" x14ac:dyDescent="0.25">
      <c r="A132" s="64" t="s">
        <v>173</v>
      </c>
      <c r="B132" s="64" t="s">
        <v>146</v>
      </c>
      <c r="C132" s="64" t="s">
        <v>233</v>
      </c>
      <c r="D132" s="187" t="s">
        <v>236</v>
      </c>
      <c r="E132" s="188"/>
      <c r="F132" s="189"/>
      <c r="G132" s="73">
        <v>0.5</v>
      </c>
      <c r="H132" s="64" t="s">
        <v>235</v>
      </c>
      <c r="I132" s="73">
        <v>50</v>
      </c>
      <c r="J132" s="63" t="s">
        <v>110</v>
      </c>
      <c r="K132" s="72"/>
    </row>
    <row r="133" spans="1:11" s="36" customFormat="1" x14ac:dyDescent="0.25">
      <c r="A133" s="62" t="s">
        <v>173</v>
      </c>
      <c r="B133" s="62" t="s">
        <v>146</v>
      </c>
      <c r="C133" s="62" t="s">
        <v>201</v>
      </c>
      <c r="D133" s="187" t="s">
        <v>237</v>
      </c>
      <c r="E133" s="188"/>
      <c r="F133" s="189"/>
      <c r="G133" s="66" t="s">
        <v>238</v>
      </c>
      <c r="H133" s="62" t="s">
        <v>235</v>
      </c>
      <c r="I133" s="66">
        <v>50</v>
      </c>
      <c r="J133" s="63" t="s">
        <v>110</v>
      </c>
      <c r="K133" s="72"/>
    </row>
    <row r="134" spans="1:11" s="36" customFormat="1" x14ac:dyDescent="0.25">
      <c r="A134" s="62" t="s">
        <v>239</v>
      </c>
      <c r="B134" s="62" t="s">
        <v>49</v>
      </c>
      <c r="C134" s="62" t="s">
        <v>143</v>
      </c>
      <c r="D134" s="187" t="s">
        <v>240</v>
      </c>
      <c r="E134" s="188"/>
      <c r="F134" s="189"/>
      <c r="G134" s="69" t="s">
        <v>220</v>
      </c>
      <c r="H134" s="67" t="s">
        <v>49</v>
      </c>
      <c r="I134" s="69" t="s">
        <v>153</v>
      </c>
      <c r="J134" s="63" t="s">
        <v>110</v>
      </c>
      <c r="K134" s="72"/>
    </row>
    <row r="135" spans="1:11" s="36" customFormat="1" x14ac:dyDescent="0.25">
      <c r="A135" s="62" t="s">
        <v>142</v>
      </c>
      <c r="B135" s="62" t="s">
        <v>142</v>
      </c>
      <c r="C135" s="62" t="s">
        <v>147</v>
      </c>
      <c r="D135" s="187" t="s">
        <v>241</v>
      </c>
      <c r="E135" s="188"/>
      <c r="F135" s="189"/>
      <c r="G135" s="66" t="s">
        <v>242</v>
      </c>
      <c r="H135" s="62"/>
      <c r="I135" s="66">
        <v>15</v>
      </c>
      <c r="J135" s="63" t="s">
        <v>110</v>
      </c>
      <c r="K135" s="72"/>
    </row>
    <row r="136" spans="1:11" s="36" customFormat="1" x14ac:dyDescent="0.25">
      <c r="A136" s="62" t="s">
        <v>243</v>
      </c>
      <c r="B136" s="62" t="s">
        <v>49</v>
      </c>
      <c r="C136" s="62" t="s">
        <v>143</v>
      </c>
      <c r="D136" s="187" t="s">
        <v>244</v>
      </c>
      <c r="E136" s="188"/>
      <c r="F136" s="189"/>
      <c r="G136" s="66">
        <v>200</v>
      </c>
      <c r="H136" s="62" t="s">
        <v>49</v>
      </c>
      <c r="I136" s="63">
        <v>200</v>
      </c>
      <c r="J136" s="63" t="s">
        <v>110</v>
      </c>
      <c r="K136" s="72"/>
    </row>
    <row r="137" spans="1:11" s="36" customFormat="1" x14ac:dyDescent="0.25">
      <c r="A137" s="62" t="s">
        <v>245</v>
      </c>
      <c r="B137" s="62" t="s">
        <v>49</v>
      </c>
      <c r="C137" s="62" t="s">
        <v>143</v>
      </c>
      <c r="D137" s="187" t="s">
        <v>246</v>
      </c>
      <c r="E137" s="188"/>
      <c r="F137" s="189"/>
      <c r="G137" s="66">
        <v>250</v>
      </c>
      <c r="H137" s="62" t="s">
        <v>49</v>
      </c>
      <c r="I137" s="63">
        <v>100</v>
      </c>
      <c r="J137" s="63" t="s">
        <v>110</v>
      </c>
      <c r="K137" s="72"/>
    </row>
    <row r="138" spans="1:11" s="36" customFormat="1" x14ac:dyDescent="0.25">
      <c r="A138" s="62" t="s">
        <v>247</v>
      </c>
      <c r="B138" s="62" t="s">
        <v>49</v>
      </c>
      <c r="C138" s="62" t="s">
        <v>143</v>
      </c>
      <c r="D138" s="187" t="s">
        <v>248</v>
      </c>
      <c r="E138" s="188"/>
      <c r="F138" s="189"/>
      <c r="G138" s="63">
        <v>250</v>
      </c>
      <c r="H138" s="62" t="s">
        <v>49</v>
      </c>
      <c r="I138" s="63">
        <v>200</v>
      </c>
      <c r="J138" s="63" t="s">
        <v>110</v>
      </c>
      <c r="K138" s="72"/>
    </row>
    <row r="139" spans="1:11" s="36" customFormat="1" x14ac:dyDescent="0.25">
      <c r="A139" s="62" t="s">
        <v>142</v>
      </c>
      <c r="B139" s="62" t="s">
        <v>49</v>
      </c>
      <c r="C139" s="62" t="s">
        <v>143</v>
      </c>
      <c r="D139" s="187" t="s">
        <v>249</v>
      </c>
      <c r="E139" s="188"/>
      <c r="F139" s="189"/>
      <c r="G139" s="63"/>
      <c r="H139" s="62" t="s">
        <v>49</v>
      </c>
      <c r="I139" s="63" t="s">
        <v>153</v>
      </c>
      <c r="J139" s="63" t="s">
        <v>110</v>
      </c>
      <c r="K139" s="72"/>
    </row>
    <row r="140" spans="1:11" s="36" customFormat="1" x14ac:dyDescent="0.25">
      <c r="A140" s="62" t="s">
        <v>250</v>
      </c>
      <c r="B140" s="62" t="s">
        <v>49</v>
      </c>
      <c r="C140" s="62" t="s">
        <v>143</v>
      </c>
      <c r="D140" s="187" t="s">
        <v>251</v>
      </c>
      <c r="E140" s="188"/>
      <c r="F140" s="189"/>
      <c r="G140" s="66">
        <v>350</v>
      </c>
      <c r="H140" s="62" t="s">
        <v>49</v>
      </c>
      <c r="I140" s="63">
        <v>350</v>
      </c>
      <c r="J140" s="63" t="s">
        <v>110</v>
      </c>
      <c r="K140" s="72"/>
    </row>
    <row r="141" spans="1:11" s="36" customFormat="1" x14ac:dyDescent="0.25">
      <c r="A141" s="118"/>
      <c r="B141" s="118"/>
      <c r="C141" s="118"/>
      <c r="D141" s="119"/>
      <c r="E141" s="119"/>
      <c r="F141" s="119"/>
      <c r="G141" s="120"/>
      <c r="H141" s="118"/>
      <c r="I141" s="121"/>
      <c r="J141" s="121"/>
      <c r="K141" s="72"/>
    </row>
    <row r="142" spans="1:11" s="36" customFormat="1" x14ac:dyDescent="0.25">
      <c r="A142" s="180" t="s">
        <v>72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72"/>
    </row>
    <row r="143" spans="1:11" s="36" customFormat="1" x14ac:dyDescent="0.25">
      <c r="A143" s="186" t="s">
        <v>67</v>
      </c>
      <c r="B143" s="186"/>
      <c r="C143" s="186"/>
      <c r="D143" s="186"/>
      <c r="E143" s="186" t="s">
        <v>68</v>
      </c>
      <c r="F143" s="186"/>
      <c r="G143" s="186"/>
      <c r="H143" s="186"/>
      <c r="I143" s="186"/>
      <c r="J143" s="186"/>
      <c r="K143" s="72"/>
    </row>
    <row r="144" spans="1:11" s="36" customFormat="1" x14ac:dyDescent="0.25">
      <c r="A144" s="185" t="s">
        <v>73</v>
      </c>
      <c r="B144" s="185"/>
      <c r="C144" s="185"/>
      <c r="D144" s="185"/>
      <c r="E144" s="185" t="s">
        <v>254</v>
      </c>
      <c r="F144" s="185"/>
      <c r="G144" s="185"/>
      <c r="H144" s="185"/>
      <c r="I144" s="185"/>
      <c r="J144" s="185"/>
      <c r="K144" s="72"/>
    </row>
    <row r="145" spans="1:11" s="36" customFormat="1" ht="15" customHeight="1" x14ac:dyDescent="0.25">
      <c r="A145" s="185" t="s">
        <v>252</v>
      </c>
      <c r="B145" s="185"/>
      <c r="C145" s="185"/>
      <c r="D145" s="185"/>
      <c r="E145" s="185" t="s">
        <v>253</v>
      </c>
      <c r="F145" s="185"/>
      <c r="G145" s="185"/>
      <c r="H145" s="185"/>
      <c r="I145" s="185"/>
      <c r="J145" s="185"/>
      <c r="K145" s="72"/>
    </row>
    <row r="146" spans="1:11" s="36" customFormat="1" ht="15" customHeight="1" x14ac:dyDescent="0.25">
      <c r="A146" s="185" t="s">
        <v>74</v>
      </c>
      <c r="B146" s="185"/>
      <c r="C146" s="185"/>
      <c r="D146" s="185"/>
      <c r="E146" s="185" t="s">
        <v>75</v>
      </c>
      <c r="F146" s="185"/>
      <c r="G146" s="185"/>
      <c r="H146" s="185"/>
      <c r="I146" s="185"/>
      <c r="J146" s="185"/>
      <c r="K146" s="72"/>
    </row>
    <row r="147" spans="1:11" s="36" customFormat="1" x14ac:dyDescent="0.25">
      <c r="A147" s="185" t="s">
        <v>76</v>
      </c>
      <c r="B147" s="185"/>
      <c r="C147" s="185"/>
      <c r="D147" s="185"/>
      <c r="E147" s="185" t="s">
        <v>77</v>
      </c>
      <c r="F147" s="185"/>
      <c r="G147" s="185"/>
      <c r="H147" s="185"/>
      <c r="I147" s="185"/>
      <c r="J147" s="185"/>
      <c r="K147" s="72"/>
    </row>
    <row r="148" spans="1:11" s="36" customFormat="1" ht="15" customHeight="1" x14ac:dyDescent="0.25">
      <c r="A148" s="185" t="s">
        <v>78</v>
      </c>
      <c r="B148" s="185"/>
      <c r="C148" s="185"/>
      <c r="D148" s="185"/>
      <c r="E148" s="185" t="s">
        <v>79</v>
      </c>
      <c r="F148" s="185"/>
      <c r="G148" s="185"/>
      <c r="H148" s="185"/>
      <c r="I148" s="185"/>
      <c r="J148" s="185"/>
      <c r="K148" s="72"/>
    </row>
    <row r="149" spans="1:11" s="36" customFormat="1" ht="15" customHeight="1" x14ac:dyDescent="0.25">
      <c r="A149" s="180" t="s">
        <v>89</v>
      </c>
      <c r="B149" s="180"/>
      <c r="C149" s="180"/>
      <c r="D149" s="180"/>
      <c r="E149" s="180"/>
      <c r="F149" s="180"/>
      <c r="G149" s="180"/>
      <c r="H149" s="180"/>
      <c r="I149" s="180"/>
      <c r="J149" s="180"/>
      <c r="K149" s="72"/>
    </row>
    <row r="150" spans="1:11" s="36" customFormat="1" x14ac:dyDescent="0.25">
      <c r="A150" s="181" t="s">
        <v>80</v>
      </c>
      <c r="B150" s="181"/>
      <c r="C150" s="181"/>
      <c r="D150" s="181"/>
      <c r="E150" s="181"/>
      <c r="F150" s="181"/>
      <c r="G150" s="181"/>
      <c r="H150" s="181"/>
      <c r="I150" s="181"/>
      <c r="J150" s="181"/>
      <c r="K150" s="72"/>
    </row>
    <row r="151" spans="1:11" s="36" customFormat="1" ht="15" customHeight="1" x14ac:dyDescent="0.2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72"/>
    </row>
    <row r="152" spans="1:11" s="36" customFormat="1" x14ac:dyDescent="0.25">
      <c r="A152" s="182" t="s">
        <v>90</v>
      </c>
      <c r="B152" s="182"/>
      <c r="C152" s="182"/>
      <c r="D152" s="182"/>
      <c r="E152" s="182"/>
      <c r="F152" s="182"/>
      <c r="G152" s="182"/>
      <c r="H152" s="182"/>
      <c r="I152" s="182"/>
      <c r="J152" s="182"/>
      <c r="K152" s="72"/>
    </row>
    <row r="153" spans="1:11" s="36" customFormat="1" ht="15" customHeight="1" x14ac:dyDescent="0.25">
      <c r="A153" s="182"/>
      <c r="B153" s="182"/>
      <c r="C153" s="182"/>
      <c r="D153" s="182"/>
      <c r="E153" s="182"/>
      <c r="F153" s="182"/>
      <c r="G153" s="182"/>
      <c r="H153" s="182"/>
      <c r="I153" s="182"/>
      <c r="J153" s="182"/>
      <c r="K153" s="72"/>
    </row>
    <row r="154" spans="1:11" s="42" customFormat="1" ht="13.9" customHeight="1" x14ac:dyDescent="0.25">
      <c r="A154" s="183" t="s">
        <v>307</v>
      </c>
      <c r="B154" s="183"/>
      <c r="C154" s="183"/>
      <c r="D154" s="183"/>
      <c r="E154" s="183"/>
      <c r="F154" s="183"/>
      <c r="G154" s="183"/>
      <c r="H154" s="183"/>
      <c r="I154" s="183"/>
      <c r="J154" s="48"/>
    </row>
    <row r="155" spans="1:11" s="49" customFormat="1" ht="13.9" customHeight="1" x14ac:dyDescent="0.25">
      <c r="A155" s="184" t="s">
        <v>105</v>
      </c>
      <c r="B155" s="184"/>
      <c r="C155" s="184"/>
      <c r="D155" s="184"/>
      <c r="E155" s="184"/>
      <c r="F155" s="184"/>
      <c r="G155" s="184"/>
      <c r="H155" s="184"/>
      <c r="I155" s="184"/>
      <c r="J155" s="48"/>
    </row>
    <row r="156" spans="1:11" x14ac:dyDescent="0.25">
      <c r="J156" s="48"/>
    </row>
    <row r="157" spans="1:11" x14ac:dyDescent="0.25">
      <c r="J157" s="48"/>
    </row>
    <row r="158" spans="1:11" x14ac:dyDescent="0.25">
      <c r="J158" s="48"/>
    </row>
  </sheetData>
  <protectedRanges>
    <protectedRange algorithmName="SHA-512" hashValue="VF6HSW3Iy4xJ9rvYE/9xGHEoimGCygSu8D4FeqmdsD954MzAHwkkxLcwSP9Q5ui8KTGpWBzFAFpp2yGVfuii3Q==" saltValue="Ht0jMOW+8eakbuvlYpVr7Q==" spinCount="100000" sqref="G36:J41 G52:J58 G30:J31 G33:J34 G13:J28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2:J42 G44:J46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8:J50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mergeCells count="147">
    <mergeCell ref="B6:C6"/>
    <mergeCell ref="G6:I6"/>
    <mergeCell ref="A7:J7"/>
    <mergeCell ref="E8:I8"/>
    <mergeCell ref="B9:I9"/>
    <mergeCell ref="A10:J10"/>
    <mergeCell ref="A1:B1"/>
    <mergeCell ref="C2:G2"/>
    <mergeCell ref="B3:H3"/>
    <mergeCell ref="B4:C4"/>
    <mergeCell ref="G4:I4"/>
    <mergeCell ref="B5:C5"/>
    <mergeCell ref="G5:I5"/>
    <mergeCell ref="E32:F32"/>
    <mergeCell ref="E35:F35"/>
    <mergeCell ref="E43:F43"/>
    <mergeCell ref="E47:F47"/>
    <mergeCell ref="E51:F51"/>
    <mergeCell ref="A58:J58"/>
    <mergeCell ref="N10:R10"/>
    <mergeCell ref="S10:X10"/>
    <mergeCell ref="Y10:AB10"/>
    <mergeCell ref="E11:F11"/>
    <mergeCell ref="E12:F12"/>
    <mergeCell ref="E29:F29"/>
    <mergeCell ref="A64:D64"/>
    <mergeCell ref="F64:J64"/>
    <mergeCell ref="L64:Q64"/>
    <mergeCell ref="A65:D65"/>
    <mergeCell ref="F65:J65"/>
    <mergeCell ref="A66:D66"/>
    <mergeCell ref="F66:J66"/>
    <mergeCell ref="A60:J60"/>
    <mergeCell ref="A61:J61"/>
    <mergeCell ref="A62:D62"/>
    <mergeCell ref="E62:J62"/>
    <mergeCell ref="L62:Q62"/>
    <mergeCell ref="A63:D63"/>
    <mergeCell ref="F63:J63"/>
    <mergeCell ref="L63:Q63"/>
    <mergeCell ref="A70:D70"/>
    <mergeCell ref="F70:J70"/>
    <mergeCell ref="L70:Q70"/>
    <mergeCell ref="A71:D71"/>
    <mergeCell ref="F71:J71"/>
    <mergeCell ref="L71:Q71"/>
    <mergeCell ref="A67:D67"/>
    <mergeCell ref="F67:J67"/>
    <mergeCell ref="A68:D68"/>
    <mergeCell ref="F68:J68"/>
    <mergeCell ref="L68:Q68"/>
    <mergeCell ref="A69:D69"/>
    <mergeCell ref="F69:J69"/>
    <mergeCell ref="L69:Q69"/>
    <mergeCell ref="A74:D74"/>
    <mergeCell ref="E74:J74"/>
    <mergeCell ref="L74:Q74"/>
    <mergeCell ref="A75:J75"/>
    <mergeCell ref="D76:F76"/>
    <mergeCell ref="D77:F77"/>
    <mergeCell ref="A72:D72"/>
    <mergeCell ref="G72:J72"/>
    <mergeCell ref="L72:Q72"/>
    <mergeCell ref="A73:D73"/>
    <mergeCell ref="G73:J73"/>
    <mergeCell ref="L73:Q73"/>
    <mergeCell ref="D84:F84"/>
    <mergeCell ref="D85:F85"/>
    <mergeCell ref="D86:F86"/>
    <mergeCell ref="D87:F87"/>
    <mergeCell ref="D88:F88"/>
    <mergeCell ref="D89:F89"/>
    <mergeCell ref="D78:F78"/>
    <mergeCell ref="D79:F79"/>
    <mergeCell ref="D80:F80"/>
    <mergeCell ref="D81:F81"/>
    <mergeCell ref="D82:F82"/>
    <mergeCell ref="D83:F83"/>
    <mergeCell ref="D96:F96"/>
    <mergeCell ref="D97:F97"/>
    <mergeCell ref="D98:F98"/>
    <mergeCell ref="D99:F99"/>
    <mergeCell ref="D100:F100"/>
    <mergeCell ref="D101:F101"/>
    <mergeCell ref="D90:F90"/>
    <mergeCell ref="D91:F91"/>
    <mergeCell ref="D92:F92"/>
    <mergeCell ref="D93:F93"/>
    <mergeCell ref="D94:F94"/>
    <mergeCell ref="D95:F95"/>
    <mergeCell ref="D108:F108"/>
    <mergeCell ref="D109:F109"/>
    <mergeCell ref="D110:F110"/>
    <mergeCell ref="D111:F111"/>
    <mergeCell ref="D112:F112"/>
    <mergeCell ref="D113:F113"/>
    <mergeCell ref="D102:F102"/>
    <mergeCell ref="D103:F103"/>
    <mergeCell ref="D104:F104"/>
    <mergeCell ref="D105:F105"/>
    <mergeCell ref="D106:F106"/>
    <mergeCell ref="D107:F107"/>
    <mergeCell ref="D120:F120"/>
    <mergeCell ref="D121:F121"/>
    <mergeCell ref="D122:F122"/>
    <mergeCell ref="D123:F123"/>
    <mergeCell ref="D124:F124"/>
    <mergeCell ref="D125:F125"/>
    <mergeCell ref="D114:F114"/>
    <mergeCell ref="D115:F115"/>
    <mergeCell ref="D116:F116"/>
    <mergeCell ref="D117:F117"/>
    <mergeCell ref="D118:F118"/>
    <mergeCell ref="D119:F119"/>
    <mergeCell ref="D132:F132"/>
    <mergeCell ref="D133:F133"/>
    <mergeCell ref="D134:F134"/>
    <mergeCell ref="D135:F135"/>
    <mergeCell ref="D136:F136"/>
    <mergeCell ref="D137:F137"/>
    <mergeCell ref="D126:F126"/>
    <mergeCell ref="D127:F127"/>
    <mergeCell ref="D128:F128"/>
    <mergeCell ref="D129:F129"/>
    <mergeCell ref="D130:F130"/>
    <mergeCell ref="D131:F131"/>
    <mergeCell ref="A144:D144"/>
    <mergeCell ref="E144:J144"/>
    <mergeCell ref="A145:D145"/>
    <mergeCell ref="E145:J145"/>
    <mergeCell ref="A146:D146"/>
    <mergeCell ref="E146:J146"/>
    <mergeCell ref="D138:F138"/>
    <mergeCell ref="D139:F139"/>
    <mergeCell ref="D140:F140"/>
    <mergeCell ref="A142:J142"/>
    <mergeCell ref="A143:D143"/>
    <mergeCell ref="E143:J143"/>
    <mergeCell ref="A152:J153"/>
    <mergeCell ref="A154:I154"/>
    <mergeCell ref="A155:I155"/>
    <mergeCell ref="A147:D147"/>
    <mergeCell ref="E147:J147"/>
    <mergeCell ref="A148:D148"/>
    <mergeCell ref="E148:J148"/>
    <mergeCell ref="A149:J149"/>
    <mergeCell ref="A150:J151"/>
  </mergeCells>
  <hyperlinks>
    <hyperlink ref="G6" r:id="rId1" xr:uid="{3EBB0EE2-AEA8-4CF0-B334-88B0BD38E23F}"/>
    <hyperlink ref="G4" r:id="rId2" xr:uid="{7B5F81B8-3A67-4290-9706-0B93A1C04E79}"/>
  </hyperlinks>
  <pageMargins left="0.35" right="0.35" top="0.35" bottom="0.35" header="0.3" footer="0.3"/>
  <pageSetup scale="53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6D5812-7AFC-4B22-A5C6-DAF833E7D397}">
          <x14:formula1>
            <xm:f>'C:\Users\twang\AppData\Local\Microsoft\Windows\Temporary Internet Files\Content.Outlook\U7WJNCNV\[QUOTE TEMPLATE 05-01-21.xltx]Sheet1'!#REF!</xm:f>
          </x14:formula1>
          <xm:sqref>E68:E69 E71:E73 E63:E66 E33:E34 E30:E31 E44:E46 E36:E42 E52:E57 E13:E28</xm:sqref>
        </x14:dataValidation>
        <x14:dataValidation type="list" allowBlank="1" showInputMessage="1" showErrorMessage="1" xr:uid="{DB96131F-9FC2-4498-96A3-B3AE6B8B3D0E}">
          <x14:formula1>
            <xm:f>'C:\Users\twang\AppData\Local\Microsoft\Windows\Temporary Internet Files\Content.Outlook\U7WJNCNV\[QUOTE TEMPLATE 05-01-21.xltx]Sheet1'!#REF!</xm:f>
          </x14:formula1>
          <xm:sqref>C33:C34 C52:C57 C30:C31 C44:C46 C36:C42 C13:C28 Q13:Q15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A9BB-924A-4AEB-9704-A97534F69531}">
  <sheetPr>
    <pageSetUpPr fitToPage="1"/>
  </sheetPr>
  <dimension ref="A1:AC158"/>
  <sheetViews>
    <sheetView zoomScale="90" zoomScaleNormal="90" zoomScaleSheetLayoutView="82" workbookViewId="0">
      <pane xSplit="4" topLeftCell="E1" activePane="topRight" state="frozen"/>
      <selection activeCell="A19" sqref="A19"/>
      <selection pane="topRight" activeCell="I44" sqref="I44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2.5703125" style="50" bestFit="1" customWidth="1"/>
    <col min="5" max="5" width="16.7109375" style="50" customWidth="1"/>
    <col min="6" max="6" width="15.42578125" style="50" customWidth="1"/>
    <col min="7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36</v>
      </c>
      <c r="B4" s="213" t="s">
        <v>37</v>
      </c>
      <c r="C4" s="213"/>
      <c r="D4" s="127"/>
      <c r="F4" s="41" t="s">
        <v>36</v>
      </c>
      <c r="G4" s="214" t="s">
        <v>305</v>
      </c>
      <c r="H4" s="213"/>
      <c r="I4" s="213"/>
      <c r="J4" s="4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J5" s="4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305</v>
      </c>
      <c r="H6" s="213"/>
      <c r="I6" s="213"/>
      <c r="J6" s="4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239"/>
      <c r="B7" s="239"/>
      <c r="C7" s="239"/>
      <c r="D7" s="239"/>
      <c r="E7" s="239"/>
      <c r="F7" s="239"/>
      <c r="G7" s="239"/>
      <c r="H7" s="239"/>
      <c r="I7" s="239"/>
      <c r="J7" s="239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44593</v>
      </c>
      <c r="C8" s="45" t="s">
        <v>91</v>
      </c>
      <c r="D8" s="44">
        <v>44606</v>
      </c>
      <c r="E8" s="213" t="s">
        <v>92</v>
      </c>
      <c r="F8" s="213"/>
      <c r="G8" s="213"/>
      <c r="H8" s="213"/>
      <c r="I8" s="213"/>
      <c r="J8" s="4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213" t="s">
        <v>40</v>
      </c>
      <c r="C9" s="213"/>
      <c r="D9" s="213"/>
      <c r="E9" s="213"/>
      <c r="F9" s="213"/>
      <c r="G9" s="213"/>
      <c r="H9" s="213"/>
      <c r="I9" s="213"/>
      <c r="J9" s="43"/>
      <c r="K9" s="12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 t="s">
        <v>257</v>
      </c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88" t="s">
        <v>82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  <c r="L12" s="89" t="s">
        <v>48</v>
      </c>
      <c r="M12" s="89" t="s">
        <v>261</v>
      </c>
      <c r="N12" s="90" t="s">
        <v>51</v>
      </c>
      <c r="O12" s="91" t="s">
        <v>50</v>
      </c>
      <c r="P12" s="91" t="s">
        <v>262</v>
      </c>
      <c r="Q12" s="91" t="s">
        <v>263</v>
      </c>
      <c r="R12" s="91" t="s">
        <v>264</v>
      </c>
      <c r="S12" s="92" t="s">
        <v>52</v>
      </c>
      <c r="T12" s="92" t="s">
        <v>53</v>
      </c>
      <c r="U12" s="92" t="s">
        <v>265</v>
      </c>
      <c r="V12" s="92" t="s">
        <v>266</v>
      </c>
      <c r="W12" s="92" t="s">
        <v>267</v>
      </c>
      <c r="X12" s="92" t="s">
        <v>268</v>
      </c>
      <c r="Y12" s="92" t="s">
        <v>52</v>
      </c>
      <c r="Z12" s="92" t="s">
        <v>53</v>
      </c>
      <c r="AA12" s="92" t="s">
        <v>265</v>
      </c>
      <c r="AB12" s="92" t="s">
        <v>266</v>
      </c>
      <c r="AC12" s="93" t="s">
        <v>269</v>
      </c>
    </row>
    <row r="13" spans="1:29" s="40" customFormat="1" ht="18.75" x14ac:dyDescent="0.25">
      <c r="A13" s="51" t="s">
        <v>81</v>
      </c>
      <c r="B13" s="51" t="s">
        <v>16</v>
      </c>
      <c r="C13" s="94" t="s">
        <v>54</v>
      </c>
      <c r="D13" s="95" t="s">
        <v>308</v>
      </c>
      <c r="E13" s="96" t="s">
        <v>114</v>
      </c>
      <c r="F13" s="97" t="s">
        <v>270</v>
      </c>
      <c r="G13" s="98" t="e">
        <f t="shared" ref="G13:G28" si="0">CEILING(S13+W13+X13+O13+N13+Y13,10)</f>
        <v>#N/A</v>
      </c>
      <c r="H13" s="99" t="e">
        <f t="shared" ref="H13:H28" si="1">CEILING(T13+W13+X13+O13+N13+Z13,10)</f>
        <v>#N/A</v>
      </c>
      <c r="I13" s="99" t="e">
        <f t="shared" ref="I13:I28" si="2">CEILING(U13+W13+X13+O13+N13+AA13,10)</f>
        <v>#N/A</v>
      </c>
      <c r="J13" s="99" t="e">
        <f t="shared" ref="J13:J28" si="3">CEILING(V13+W13+X13+O13+N13+AB13,10)</f>
        <v>#N/A</v>
      </c>
      <c r="K13" s="57"/>
      <c r="L13" s="100" t="s">
        <v>272</v>
      </c>
      <c r="M13" s="52" t="s">
        <v>292</v>
      </c>
      <c r="N13" s="40">
        <v>0</v>
      </c>
      <c r="O13" s="53" t="e">
        <f>VLOOKUP(B13,DRAYAGE!$A$1:$C$6,3,FALSE)</f>
        <v>#N/A</v>
      </c>
      <c r="P13" s="40" t="s">
        <v>298</v>
      </c>
      <c r="S13" s="101">
        <f t="shared" ref="S13:S28" si="4">0.9*T13</f>
        <v>9000</v>
      </c>
      <c r="T13" s="54">
        <v>10000</v>
      </c>
      <c r="U13" s="103">
        <f>T13</f>
        <v>10000</v>
      </c>
      <c r="V13" s="104">
        <f t="shared" ref="V13:V28" si="5">U13*1.266</f>
        <v>12660</v>
      </c>
      <c r="X13" s="40">
        <v>0</v>
      </c>
    </row>
    <row r="14" spans="1:29" s="40" customFormat="1" ht="14.45" customHeight="1" x14ac:dyDescent="0.25">
      <c r="A14" s="51" t="s">
        <v>55</v>
      </c>
      <c r="B14" s="51" t="s">
        <v>16</v>
      </c>
      <c r="C14" s="94" t="s">
        <v>54</v>
      </c>
      <c r="D14" s="95" t="s">
        <v>308</v>
      </c>
      <c r="E14" s="96" t="s">
        <v>114</v>
      </c>
      <c r="F14" s="97" t="s">
        <v>270</v>
      </c>
      <c r="G14" s="98" t="e">
        <f t="shared" si="0"/>
        <v>#N/A</v>
      </c>
      <c r="H14" s="99" t="e">
        <f t="shared" si="1"/>
        <v>#N/A</v>
      </c>
      <c r="I14" s="99" t="e">
        <f t="shared" si="2"/>
        <v>#N/A</v>
      </c>
      <c r="J14" s="99" t="e">
        <f t="shared" si="3"/>
        <v>#N/A</v>
      </c>
      <c r="K14" s="57"/>
      <c r="L14" s="100" t="s">
        <v>272</v>
      </c>
      <c r="M14" s="52" t="s">
        <v>292</v>
      </c>
      <c r="N14" s="40">
        <v>0</v>
      </c>
      <c r="O14" s="53" t="e">
        <f>VLOOKUP(B14,DRAYAGE!$A$1:$C$6,3,FALSE)</f>
        <v>#N/A</v>
      </c>
      <c r="P14" s="40" t="s">
        <v>298</v>
      </c>
      <c r="S14" s="101">
        <f t="shared" si="4"/>
        <v>9000</v>
      </c>
      <c r="T14" s="54">
        <v>10000</v>
      </c>
      <c r="U14" s="103">
        <f t="shared" ref="U14:U57" si="6">T14</f>
        <v>10000</v>
      </c>
      <c r="V14" s="104">
        <f t="shared" si="5"/>
        <v>12660</v>
      </c>
      <c r="X14" s="40">
        <v>0</v>
      </c>
    </row>
    <row r="15" spans="1:29" s="40" customFormat="1" ht="14.45" customHeight="1" x14ac:dyDescent="0.25">
      <c r="A15" s="51" t="s">
        <v>55</v>
      </c>
      <c r="B15" s="51" t="s">
        <v>16</v>
      </c>
      <c r="C15" s="94" t="s">
        <v>54</v>
      </c>
      <c r="D15" s="126" t="s">
        <v>329</v>
      </c>
      <c r="E15" s="96" t="s">
        <v>114</v>
      </c>
      <c r="F15" s="97" t="s">
        <v>270</v>
      </c>
      <c r="G15" s="98" t="e">
        <f t="shared" si="0"/>
        <v>#N/A</v>
      </c>
      <c r="H15" s="99" t="e">
        <f t="shared" si="1"/>
        <v>#N/A</v>
      </c>
      <c r="I15" s="99" t="e">
        <f t="shared" si="2"/>
        <v>#N/A</v>
      </c>
      <c r="J15" s="99" t="e">
        <f t="shared" si="3"/>
        <v>#N/A</v>
      </c>
      <c r="K15" s="57"/>
      <c r="L15" s="100" t="s">
        <v>272</v>
      </c>
      <c r="M15" s="52" t="s">
        <v>292</v>
      </c>
      <c r="N15" s="40">
        <v>0</v>
      </c>
      <c r="O15" s="53" t="e">
        <f>VLOOKUP(B15,DRAYAGE!$A$1:$C$6,3,FALSE)</f>
        <v>#N/A</v>
      </c>
      <c r="P15" s="40" t="s">
        <v>298</v>
      </c>
      <c r="S15" s="101">
        <f>0.9*T15</f>
        <v>11250</v>
      </c>
      <c r="T15" s="54">
        <v>12500</v>
      </c>
      <c r="U15" s="103">
        <f>T15</f>
        <v>12500</v>
      </c>
      <c r="V15" s="104">
        <f t="shared" si="5"/>
        <v>15825</v>
      </c>
      <c r="X15" s="40">
        <v>0</v>
      </c>
    </row>
    <row r="16" spans="1:29" s="40" customFormat="1" ht="14.45" customHeight="1" x14ac:dyDescent="0.25">
      <c r="A16" s="51" t="s">
        <v>56</v>
      </c>
      <c r="B16" s="51" t="s">
        <v>16</v>
      </c>
      <c r="C16" s="94" t="s">
        <v>54</v>
      </c>
      <c r="D16" s="95" t="s">
        <v>308</v>
      </c>
      <c r="E16" s="96" t="s">
        <v>114</v>
      </c>
      <c r="F16" s="97" t="s">
        <v>270</v>
      </c>
      <c r="G16" s="98" t="e">
        <f t="shared" si="0"/>
        <v>#N/A</v>
      </c>
      <c r="H16" s="99" t="e">
        <f t="shared" si="1"/>
        <v>#N/A</v>
      </c>
      <c r="I16" s="99" t="e">
        <f t="shared" si="2"/>
        <v>#N/A</v>
      </c>
      <c r="J16" s="99" t="e">
        <f t="shared" si="3"/>
        <v>#N/A</v>
      </c>
      <c r="K16" s="57"/>
      <c r="L16" s="100" t="s">
        <v>272</v>
      </c>
      <c r="M16" s="52" t="s">
        <v>292</v>
      </c>
      <c r="N16" s="40">
        <v>0</v>
      </c>
      <c r="O16" s="53" t="e">
        <f>VLOOKUP(B16,DRAYAGE!$A$1:$C$6,3,FALSE)</f>
        <v>#N/A</v>
      </c>
      <c r="P16" s="40" t="s">
        <v>298</v>
      </c>
      <c r="S16" s="101">
        <f t="shared" si="4"/>
        <v>11250</v>
      </c>
      <c r="T16" s="54">
        <v>12500</v>
      </c>
      <c r="U16" s="103">
        <f t="shared" si="6"/>
        <v>12500</v>
      </c>
      <c r="V16" s="104">
        <f t="shared" si="5"/>
        <v>15825</v>
      </c>
      <c r="X16" s="40">
        <v>0</v>
      </c>
    </row>
    <row r="17" spans="1:29" s="40" customFormat="1" ht="14.45" customHeight="1" x14ac:dyDescent="0.25">
      <c r="A17" s="51" t="s">
        <v>57</v>
      </c>
      <c r="B17" s="51" t="s">
        <v>16</v>
      </c>
      <c r="C17" s="94" t="s">
        <v>54</v>
      </c>
      <c r="D17" s="95" t="s">
        <v>308</v>
      </c>
      <c r="E17" s="96" t="s">
        <v>114</v>
      </c>
      <c r="F17" s="97" t="s">
        <v>270</v>
      </c>
      <c r="G17" s="98" t="e">
        <f t="shared" si="0"/>
        <v>#N/A</v>
      </c>
      <c r="H17" s="99" t="e">
        <f t="shared" si="1"/>
        <v>#N/A</v>
      </c>
      <c r="I17" s="99" t="e">
        <f t="shared" si="2"/>
        <v>#N/A</v>
      </c>
      <c r="J17" s="99" t="e">
        <f t="shared" si="3"/>
        <v>#N/A</v>
      </c>
      <c r="K17" s="57"/>
      <c r="L17" s="100" t="s">
        <v>272</v>
      </c>
      <c r="M17" s="52" t="s">
        <v>292</v>
      </c>
      <c r="N17" s="40">
        <v>0</v>
      </c>
      <c r="O17" s="53" t="e">
        <f>VLOOKUP(B17,DRAYAGE!$A$1:$C$6,3,FALSE)</f>
        <v>#N/A</v>
      </c>
      <c r="P17" s="40" t="s">
        <v>298</v>
      </c>
      <c r="S17" s="101">
        <f t="shared" si="4"/>
        <v>13950</v>
      </c>
      <c r="T17" s="54">
        <v>15500</v>
      </c>
      <c r="U17" s="103">
        <f t="shared" si="6"/>
        <v>15500</v>
      </c>
      <c r="V17" s="104">
        <f t="shared" si="5"/>
        <v>19623</v>
      </c>
      <c r="X17" s="40">
        <v>0</v>
      </c>
    </row>
    <row r="18" spans="1:29" s="40" customFormat="1" ht="14.45" customHeight="1" x14ac:dyDescent="0.25">
      <c r="A18" s="51" t="s">
        <v>59</v>
      </c>
      <c r="B18" s="51" t="s">
        <v>16</v>
      </c>
      <c r="C18" s="94" t="s">
        <v>54</v>
      </c>
      <c r="D18" s="95" t="s">
        <v>308</v>
      </c>
      <c r="E18" s="96" t="s">
        <v>114</v>
      </c>
      <c r="F18" s="97" t="s">
        <v>270</v>
      </c>
      <c r="G18" s="98" t="e">
        <f t="shared" si="0"/>
        <v>#N/A</v>
      </c>
      <c r="H18" s="99" t="e">
        <f t="shared" si="1"/>
        <v>#N/A</v>
      </c>
      <c r="I18" s="99" t="e">
        <f t="shared" si="2"/>
        <v>#N/A</v>
      </c>
      <c r="J18" s="99" t="e">
        <f t="shared" si="3"/>
        <v>#N/A</v>
      </c>
      <c r="K18" s="57"/>
      <c r="L18" s="100" t="s">
        <v>272</v>
      </c>
      <c r="M18" s="52" t="s">
        <v>292</v>
      </c>
      <c r="N18" s="40">
        <v>0</v>
      </c>
      <c r="O18" s="53" t="e">
        <f>VLOOKUP(B18,DRAYAGE!$A$1:$C$6,3,FALSE)</f>
        <v>#N/A</v>
      </c>
      <c r="P18" s="40" t="s">
        <v>298</v>
      </c>
      <c r="S18" s="101">
        <f t="shared" si="4"/>
        <v>9000</v>
      </c>
      <c r="T18" s="54">
        <v>10000</v>
      </c>
      <c r="U18" s="103">
        <f t="shared" si="6"/>
        <v>10000</v>
      </c>
      <c r="V18" s="104">
        <f t="shared" si="5"/>
        <v>12660</v>
      </c>
      <c r="X18" s="40">
        <v>0</v>
      </c>
    </row>
    <row r="19" spans="1:29" s="40" customFormat="1" ht="18.75" x14ac:dyDescent="0.25">
      <c r="A19" s="51" t="s">
        <v>60</v>
      </c>
      <c r="B19" s="51" t="s">
        <v>16</v>
      </c>
      <c r="C19" s="94" t="s">
        <v>54</v>
      </c>
      <c r="D19" s="95" t="s">
        <v>308</v>
      </c>
      <c r="E19" s="96" t="s">
        <v>114</v>
      </c>
      <c r="F19" s="97" t="s">
        <v>270</v>
      </c>
      <c r="G19" s="98" t="e">
        <f t="shared" si="0"/>
        <v>#N/A</v>
      </c>
      <c r="H19" s="99" t="e">
        <f t="shared" si="1"/>
        <v>#N/A</v>
      </c>
      <c r="I19" s="99" t="e">
        <f t="shared" si="2"/>
        <v>#N/A</v>
      </c>
      <c r="J19" s="99" t="e">
        <f t="shared" si="3"/>
        <v>#N/A</v>
      </c>
      <c r="K19" s="57"/>
      <c r="L19" s="100" t="s">
        <v>272</v>
      </c>
      <c r="M19" s="52" t="s">
        <v>292</v>
      </c>
      <c r="N19" s="40">
        <v>0</v>
      </c>
      <c r="O19" s="53" t="e">
        <f>VLOOKUP(B19,DRAYAGE!$A$1:$C$6,3,FALSE)</f>
        <v>#N/A</v>
      </c>
      <c r="P19" s="40" t="s">
        <v>298</v>
      </c>
      <c r="S19" s="101">
        <f t="shared" si="4"/>
        <v>9900</v>
      </c>
      <c r="T19" s="54">
        <v>11000</v>
      </c>
      <c r="U19" s="103">
        <f t="shared" si="6"/>
        <v>11000</v>
      </c>
      <c r="V19" s="104">
        <f t="shared" si="5"/>
        <v>13926</v>
      </c>
      <c r="X19" s="40">
        <v>0</v>
      </c>
    </row>
    <row r="20" spans="1:29" s="40" customFormat="1" ht="14.45" customHeight="1" x14ac:dyDescent="0.25">
      <c r="A20" s="51" t="s">
        <v>61</v>
      </c>
      <c r="B20" s="51" t="s">
        <v>16</v>
      </c>
      <c r="C20" s="94" t="s">
        <v>54</v>
      </c>
      <c r="D20" s="95" t="s">
        <v>308</v>
      </c>
      <c r="E20" s="96" t="s">
        <v>114</v>
      </c>
      <c r="F20" s="97" t="s">
        <v>270</v>
      </c>
      <c r="G20" s="98" t="e">
        <f t="shared" si="0"/>
        <v>#N/A</v>
      </c>
      <c r="H20" s="99" t="e">
        <f t="shared" si="1"/>
        <v>#N/A</v>
      </c>
      <c r="I20" s="99" t="e">
        <f t="shared" si="2"/>
        <v>#N/A</v>
      </c>
      <c r="J20" s="99" t="e">
        <f t="shared" si="3"/>
        <v>#N/A</v>
      </c>
      <c r="K20" s="57"/>
      <c r="L20" s="100" t="s">
        <v>272</v>
      </c>
      <c r="M20" s="52" t="s">
        <v>292</v>
      </c>
      <c r="N20" s="40">
        <v>0</v>
      </c>
      <c r="O20" s="53" t="e">
        <f>VLOOKUP(B20,DRAYAGE!$A$1:$C$6,3,FALSE)</f>
        <v>#N/A</v>
      </c>
      <c r="P20" s="40" t="s">
        <v>298</v>
      </c>
      <c r="S20" s="101">
        <f t="shared" si="4"/>
        <v>9000</v>
      </c>
      <c r="T20" s="54">
        <v>10000</v>
      </c>
      <c r="U20" s="103">
        <f t="shared" si="6"/>
        <v>10000</v>
      </c>
      <c r="V20" s="104">
        <f t="shared" si="5"/>
        <v>12660</v>
      </c>
      <c r="X20" s="40">
        <v>0</v>
      </c>
    </row>
    <row r="21" spans="1:29" s="45" customFormat="1" ht="14.45" customHeight="1" x14ac:dyDescent="0.25">
      <c r="A21" s="51" t="s">
        <v>276</v>
      </c>
      <c r="B21" s="51" t="s">
        <v>16</v>
      </c>
      <c r="C21" s="106" t="s">
        <v>54</v>
      </c>
      <c r="D21" s="95" t="s">
        <v>308</v>
      </c>
      <c r="E21" s="107" t="s">
        <v>114</v>
      </c>
      <c r="F21" s="108" t="s">
        <v>270</v>
      </c>
      <c r="G21" s="109" t="e">
        <f t="shared" si="0"/>
        <v>#N/A</v>
      </c>
      <c r="H21" s="110" t="e">
        <f t="shared" si="1"/>
        <v>#N/A</v>
      </c>
      <c r="I21" s="110" t="e">
        <f t="shared" si="2"/>
        <v>#N/A</v>
      </c>
      <c r="J21" s="110" t="e">
        <f t="shared" si="3"/>
        <v>#N/A</v>
      </c>
      <c r="K21" s="111"/>
      <c r="L21" s="112" t="s">
        <v>272</v>
      </c>
      <c r="M21" s="52" t="s">
        <v>292</v>
      </c>
      <c r="N21" s="45">
        <v>0</v>
      </c>
      <c r="O21" s="53" t="e">
        <f>VLOOKUP(B21,DRAYAGE!$A$1:$C$6,3,FALSE)</f>
        <v>#N/A</v>
      </c>
      <c r="P21" s="40" t="s">
        <v>298</v>
      </c>
      <c r="S21" s="113">
        <f t="shared" si="4"/>
        <v>9000</v>
      </c>
      <c r="T21" s="54">
        <v>10000</v>
      </c>
      <c r="U21" s="103">
        <f t="shared" si="6"/>
        <v>10000</v>
      </c>
      <c r="V21" s="114">
        <f t="shared" si="5"/>
        <v>12660</v>
      </c>
      <c r="X21" s="45">
        <v>0</v>
      </c>
      <c r="Y21" s="40">
        <f t="shared" ref="Y21:Y28" si="7">0.9*Z21</f>
        <v>135</v>
      </c>
      <c r="Z21" s="45">
        <v>150</v>
      </c>
      <c r="AA21" s="40">
        <f t="shared" ref="AA21:AA28" si="8">Z21</f>
        <v>150</v>
      </c>
      <c r="AB21" s="40">
        <f t="shared" ref="AB21:AB28" si="9">Z21*1.266</f>
        <v>189.9</v>
      </c>
    </row>
    <row r="22" spans="1:29" s="40" customFormat="1" ht="14.45" customHeight="1" x14ac:dyDescent="0.25">
      <c r="A22" s="51" t="s">
        <v>108</v>
      </c>
      <c r="B22" s="51" t="s">
        <v>16</v>
      </c>
      <c r="C22" s="94" t="s">
        <v>54</v>
      </c>
      <c r="D22" s="95" t="s">
        <v>308</v>
      </c>
      <c r="E22" s="96" t="s">
        <v>114</v>
      </c>
      <c r="F22" s="97" t="s">
        <v>270</v>
      </c>
      <c r="G22" s="98" t="e">
        <f t="shared" si="0"/>
        <v>#N/A</v>
      </c>
      <c r="H22" s="99" t="e">
        <f t="shared" si="1"/>
        <v>#N/A</v>
      </c>
      <c r="I22" s="99" t="e">
        <f t="shared" si="2"/>
        <v>#N/A</v>
      </c>
      <c r="J22" s="99" t="e">
        <f t="shared" si="3"/>
        <v>#N/A</v>
      </c>
      <c r="K22" s="57"/>
      <c r="L22" s="100" t="s">
        <v>272</v>
      </c>
      <c r="M22" s="52" t="s">
        <v>292</v>
      </c>
      <c r="N22" s="40">
        <v>0</v>
      </c>
      <c r="O22" s="53" t="e">
        <f>VLOOKUP(B22,DRAYAGE!$A$1:$C$6,3,FALSE)</f>
        <v>#N/A</v>
      </c>
      <c r="P22" s="40" t="s">
        <v>298</v>
      </c>
      <c r="S22" s="101">
        <f t="shared" si="4"/>
        <v>9900</v>
      </c>
      <c r="T22" s="54">
        <v>11000</v>
      </c>
      <c r="U22" s="103">
        <f t="shared" si="6"/>
        <v>11000</v>
      </c>
      <c r="V22" s="104">
        <f t="shared" si="5"/>
        <v>13926</v>
      </c>
      <c r="X22" s="40">
        <v>0</v>
      </c>
    </row>
    <row r="23" spans="1:29" s="40" customFormat="1" ht="14.45" customHeight="1" x14ac:dyDescent="0.25">
      <c r="A23" s="51" t="s">
        <v>62</v>
      </c>
      <c r="B23" s="51" t="s">
        <v>16</v>
      </c>
      <c r="C23" s="94" t="s">
        <v>54</v>
      </c>
      <c r="D23" s="95" t="s">
        <v>308</v>
      </c>
      <c r="E23" s="96" t="s">
        <v>114</v>
      </c>
      <c r="F23" s="97" t="s">
        <v>270</v>
      </c>
      <c r="G23" s="98" t="e">
        <f t="shared" si="0"/>
        <v>#N/A</v>
      </c>
      <c r="H23" s="99" t="e">
        <f t="shared" si="1"/>
        <v>#N/A</v>
      </c>
      <c r="I23" s="99" t="e">
        <f t="shared" si="2"/>
        <v>#N/A</v>
      </c>
      <c r="J23" s="99" t="e">
        <f t="shared" si="3"/>
        <v>#N/A</v>
      </c>
      <c r="K23" s="57"/>
      <c r="L23" s="100" t="s">
        <v>272</v>
      </c>
      <c r="M23" s="52" t="s">
        <v>292</v>
      </c>
      <c r="N23" s="40">
        <v>0</v>
      </c>
      <c r="O23" s="53" t="e">
        <f>VLOOKUP(B23,DRAYAGE!$A$1:$C$6,3,FALSE)</f>
        <v>#N/A</v>
      </c>
      <c r="P23" s="40" t="s">
        <v>298</v>
      </c>
      <c r="S23" s="101">
        <f t="shared" si="4"/>
        <v>11700</v>
      </c>
      <c r="T23" s="54">
        <v>13000</v>
      </c>
      <c r="U23" s="103">
        <f t="shared" si="6"/>
        <v>13000</v>
      </c>
      <c r="V23" s="104">
        <f t="shared" si="5"/>
        <v>16458</v>
      </c>
      <c r="X23" s="40">
        <v>0</v>
      </c>
      <c r="Y23" s="40">
        <f t="shared" si="7"/>
        <v>180</v>
      </c>
      <c r="Z23" s="40">
        <v>200</v>
      </c>
      <c r="AA23" s="40">
        <f t="shared" si="8"/>
        <v>200</v>
      </c>
      <c r="AB23" s="40">
        <f t="shared" si="9"/>
        <v>253.2</v>
      </c>
    </row>
    <row r="24" spans="1:29" s="40" customFormat="1" ht="18.75" x14ac:dyDescent="0.25">
      <c r="A24" s="51" t="s">
        <v>64</v>
      </c>
      <c r="B24" s="51" t="s">
        <v>16</v>
      </c>
      <c r="C24" s="94" t="s">
        <v>54</v>
      </c>
      <c r="D24" s="95" t="s">
        <v>308</v>
      </c>
      <c r="E24" s="96" t="s">
        <v>114</v>
      </c>
      <c r="F24" s="97" t="s">
        <v>270</v>
      </c>
      <c r="G24" s="98" t="e">
        <f t="shared" si="0"/>
        <v>#N/A</v>
      </c>
      <c r="H24" s="99" t="e">
        <f t="shared" si="1"/>
        <v>#N/A</v>
      </c>
      <c r="I24" s="99" t="e">
        <f t="shared" si="2"/>
        <v>#N/A</v>
      </c>
      <c r="J24" s="99" t="e">
        <f t="shared" si="3"/>
        <v>#N/A</v>
      </c>
      <c r="K24" s="57"/>
      <c r="L24" s="100" t="s">
        <v>272</v>
      </c>
      <c r="M24" s="52" t="s">
        <v>292</v>
      </c>
      <c r="N24" s="40">
        <v>0</v>
      </c>
      <c r="O24" s="53" t="e">
        <f>VLOOKUP(B24,DRAYAGE!$A$1:$C$6,3,FALSE)</f>
        <v>#N/A</v>
      </c>
      <c r="P24" s="40" t="s">
        <v>298</v>
      </c>
      <c r="S24" s="101">
        <f t="shared" si="4"/>
        <v>15300</v>
      </c>
      <c r="T24" s="54">
        <v>17000</v>
      </c>
      <c r="U24" s="103">
        <f t="shared" si="6"/>
        <v>17000</v>
      </c>
      <c r="V24" s="104">
        <f t="shared" si="5"/>
        <v>21522</v>
      </c>
      <c r="X24" s="40">
        <v>0</v>
      </c>
    </row>
    <row r="25" spans="1:29" s="40" customFormat="1" ht="14.45" customHeight="1" x14ac:dyDescent="0.25">
      <c r="A25" s="51" t="s">
        <v>66</v>
      </c>
      <c r="B25" s="51" t="s">
        <v>16</v>
      </c>
      <c r="C25" s="94" t="s">
        <v>54</v>
      </c>
      <c r="D25" s="95" t="s">
        <v>308</v>
      </c>
      <c r="E25" s="96" t="s">
        <v>114</v>
      </c>
      <c r="F25" s="97" t="s">
        <v>270</v>
      </c>
      <c r="G25" s="98" t="e">
        <f t="shared" si="0"/>
        <v>#N/A</v>
      </c>
      <c r="H25" s="99" t="e">
        <f t="shared" si="1"/>
        <v>#N/A</v>
      </c>
      <c r="I25" s="99" t="e">
        <f t="shared" si="2"/>
        <v>#N/A</v>
      </c>
      <c r="J25" s="99" t="e">
        <f t="shared" si="3"/>
        <v>#N/A</v>
      </c>
      <c r="K25" s="57"/>
      <c r="L25" s="100" t="s">
        <v>272</v>
      </c>
      <c r="M25" s="52" t="s">
        <v>292</v>
      </c>
      <c r="N25" s="40">
        <v>0</v>
      </c>
      <c r="O25" s="53" t="e">
        <f>VLOOKUP(B25,DRAYAGE!$A$1:$C$6,3,FALSE)</f>
        <v>#N/A</v>
      </c>
      <c r="P25" s="40" t="s">
        <v>298</v>
      </c>
      <c r="S25" s="101">
        <f t="shared" si="4"/>
        <v>10800</v>
      </c>
      <c r="T25" s="54">
        <v>12000</v>
      </c>
      <c r="U25" s="103">
        <f t="shared" si="6"/>
        <v>12000</v>
      </c>
      <c r="V25" s="104">
        <f t="shared" si="5"/>
        <v>15192</v>
      </c>
      <c r="X25" s="40">
        <v>0</v>
      </c>
    </row>
    <row r="26" spans="1:29" s="40" customFormat="1" ht="14.45" customHeight="1" x14ac:dyDescent="0.25">
      <c r="A26" s="51" t="s">
        <v>65</v>
      </c>
      <c r="B26" s="51" t="s">
        <v>16</v>
      </c>
      <c r="C26" s="94" t="s">
        <v>54</v>
      </c>
      <c r="D26" s="95" t="s">
        <v>308</v>
      </c>
      <c r="E26" s="96" t="s">
        <v>114</v>
      </c>
      <c r="F26" s="97" t="s">
        <v>270</v>
      </c>
      <c r="G26" s="98" t="e">
        <f t="shared" si="0"/>
        <v>#N/A</v>
      </c>
      <c r="H26" s="99" t="e">
        <f t="shared" si="1"/>
        <v>#N/A</v>
      </c>
      <c r="I26" s="99" t="e">
        <f t="shared" si="2"/>
        <v>#N/A</v>
      </c>
      <c r="J26" s="99" t="e">
        <f t="shared" si="3"/>
        <v>#N/A</v>
      </c>
      <c r="K26" s="57"/>
      <c r="L26" s="100" t="s">
        <v>272</v>
      </c>
      <c r="M26" s="52" t="s">
        <v>292</v>
      </c>
      <c r="N26" s="40">
        <v>0</v>
      </c>
      <c r="O26" s="53" t="e">
        <f>VLOOKUP(B26,DRAYAGE!$A$1:$C$6,3,FALSE)</f>
        <v>#N/A</v>
      </c>
      <c r="P26" s="40" t="s">
        <v>298</v>
      </c>
      <c r="S26" s="101">
        <f t="shared" si="4"/>
        <v>11700</v>
      </c>
      <c r="T26" s="54">
        <v>13000</v>
      </c>
      <c r="U26" s="103">
        <f t="shared" si="6"/>
        <v>13000</v>
      </c>
      <c r="V26" s="104">
        <f t="shared" si="5"/>
        <v>16458</v>
      </c>
      <c r="X26" s="40">
        <v>0</v>
      </c>
      <c r="Y26" s="40">
        <f t="shared" si="7"/>
        <v>360</v>
      </c>
      <c r="Z26" s="40">
        <v>400</v>
      </c>
      <c r="AA26" s="40">
        <f t="shared" si="8"/>
        <v>400</v>
      </c>
      <c r="AB26" s="40">
        <f t="shared" si="9"/>
        <v>506.4</v>
      </c>
    </row>
    <row r="27" spans="1:29" s="40" customFormat="1" ht="14.45" customHeight="1" x14ac:dyDescent="0.25">
      <c r="A27" s="51" t="s">
        <v>63</v>
      </c>
      <c r="B27" s="51" t="s">
        <v>16</v>
      </c>
      <c r="C27" s="94" t="s">
        <v>54</v>
      </c>
      <c r="D27" s="95" t="s">
        <v>308</v>
      </c>
      <c r="E27" s="96" t="s">
        <v>114</v>
      </c>
      <c r="F27" s="97" t="s">
        <v>270</v>
      </c>
      <c r="G27" s="98" t="e">
        <f t="shared" si="0"/>
        <v>#N/A</v>
      </c>
      <c r="H27" s="99" t="e">
        <f t="shared" si="1"/>
        <v>#N/A</v>
      </c>
      <c r="I27" s="99" t="e">
        <f t="shared" si="2"/>
        <v>#N/A</v>
      </c>
      <c r="J27" s="99" t="e">
        <f t="shared" si="3"/>
        <v>#N/A</v>
      </c>
      <c r="K27" s="57"/>
      <c r="L27" s="100" t="s">
        <v>272</v>
      </c>
      <c r="M27" s="52" t="s">
        <v>292</v>
      </c>
      <c r="N27" s="40">
        <v>0</v>
      </c>
      <c r="O27" s="53" t="e">
        <f>VLOOKUP(B27,DRAYAGE!$A$1:$C$6,3,FALSE)</f>
        <v>#N/A</v>
      </c>
      <c r="P27" s="40" t="s">
        <v>298</v>
      </c>
      <c r="S27" s="101">
        <f t="shared" si="4"/>
        <v>11700</v>
      </c>
      <c r="T27" s="54">
        <v>13000</v>
      </c>
      <c r="U27" s="103">
        <f t="shared" si="6"/>
        <v>13000</v>
      </c>
      <c r="V27" s="104">
        <f t="shared" si="5"/>
        <v>16458</v>
      </c>
      <c r="X27" s="40">
        <v>0</v>
      </c>
      <c r="Y27" s="40">
        <f t="shared" si="7"/>
        <v>135</v>
      </c>
      <c r="Z27" s="40">
        <v>150</v>
      </c>
      <c r="AA27" s="40">
        <f t="shared" si="8"/>
        <v>150</v>
      </c>
      <c r="AB27" s="40">
        <f t="shared" si="9"/>
        <v>189.9</v>
      </c>
    </row>
    <row r="28" spans="1:29" s="45" customFormat="1" ht="14.45" customHeight="1" x14ac:dyDescent="0.25">
      <c r="A28" s="51" t="s">
        <v>275</v>
      </c>
      <c r="B28" s="51" t="s">
        <v>16</v>
      </c>
      <c r="C28" s="106" t="s">
        <v>54</v>
      </c>
      <c r="D28" s="95" t="s">
        <v>308</v>
      </c>
      <c r="E28" s="107" t="s">
        <v>114</v>
      </c>
      <c r="F28" s="108" t="s">
        <v>270</v>
      </c>
      <c r="G28" s="98" t="e">
        <f t="shared" si="0"/>
        <v>#N/A</v>
      </c>
      <c r="H28" s="99" t="e">
        <f t="shared" si="1"/>
        <v>#N/A</v>
      </c>
      <c r="I28" s="99" t="e">
        <f t="shared" si="2"/>
        <v>#N/A</v>
      </c>
      <c r="J28" s="99" t="e">
        <f t="shared" si="3"/>
        <v>#N/A</v>
      </c>
      <c r="K28" s="111"/>
      <c r="L28" s="112" t="s">
        <v>272</v>
      </c>
      <c r="M28" s="52" t="s">
        <v>292</v>
      </c>
      <c r="N28" s="45">
        <v>0</v>
      </c>
      <c r="O28" s="53" t="e">
        <f>VLOOKUP(B28,DRAYAGE!$A$1:$C$6,3,FALSE)</f>
        <v>#N/A</v>
      </c>
      <c r="P28" s="40" t="s">
        <v>298</v>
      </c>
      <c r="R28" s="105"/>
      <c r="S28" s="113">
        <f t="shared" si="4"/>
        <v>11700</v>
      </c>
      <c r="T28" s="54">
        <v>13000</v>
      </c>
      <c r="U28" s="103">
        <f t="shared" si="6"/>
        <v>13000</v>
      </c>
      <c r="V28" s="114">
        <f t="shared" si="5"/>
        <v>16458</v>
      </c>
      <c r="X28" s="45">
        <v>0</v>
      </c>
      <c r="Y28" s="40">
        <f t="shared" si="7"/>
        <v>450</v>
      </c>
      <c r="Z28" s="45">
        <v>500</v>
      </c>
      <c r="AA28" s="40">
        <f t="shared" si="8"/>
        <v>500</v>
      </c>
      <c r="AB28" s="40">
        <f t="shared" si="9"/>
        <v>633</v>
      </c>
    </row>
    <row r="29" spans="1:29" s="40" customFormat="1" ht="14.45" customHeight="1" x14ac:dyDescent="0.25">
      <c r="A29" s="46" t="s">
        <v>83</v>
      </c>
      <c r="B29" s="88"/>
      <c r="C29" s="88"/>
      <c r="D29" s="88"/>
      <c r="E29" s="210"/>
      <c r="F29" s="211"/>
      <c r="G29" s="88"/>
      <c r="H29" s="88"/>
      <c r="I29" s="88"/>
      <c r="J29" s="88"/>
      <c r="K29" s="57"/>
      <c r="L29" s="89" t="s">
        <v>48</v>
      </c>
      <c r="M29" s="89" t="s">
        <v>261</v>
      </c>
      <c r="N29" s="90" t="s">
        <v>51</v>
      </c>
      <c r="O29" s="91" t="s">
        <v>50</v>
      </c>
      <c r="P29" s="91" t="s">
        <v>262</v>
      </c>
      <c r="Q29" s="91" t="s">
        <v>263</v>
      </c>
      <c r="R29" s="91" t="s">
        <v>264</v>
      </c>
      <c r="S29" s="92" t="s">
        <v>52</v>
      </c>
      <c r="T29" s="92">
        <v>0</v>
      </c>
      <c r="U29" s="92" t="s">
        <v>265</v>
      </c>
      <c r="V29" s="92" t="s">
        <v>266</v>
      </c>
      <c r="W29" s="92" t="s">
        <v>267</v>
      </c>
      <c r="X29" s="92" t="s">
        <v>268</v>
      </c>
      <c r="Y29" s="92" t="s">
        <v>52</v>
      </c>
      <c r="Z29" s="92" t="s">
        <v>53</v>
      </c>
      <c r="AA29" s="92" t="s">
        <v>265</v>
      </c>
      <c r="AB29" s="92" t="s">
        <v>266</v>
      </c>
      <c r="AC29" s="93" t="s">
        <v>269</v>
      </c>
    </row>
    <row r="30" spans="1:29" s="40" customFormat="1" ht="14.45" customHeight="1" x14ac:dyDescent="0.25">
      <c r="A30" s="51" t="s">
        <v>58</v>
      </c>
      <c r="B30" s="51" t="s">
        <v>21</v>
      </c>
      <c r="C30" s="94" t="s">
        <v>54</v>
      </c>
      <c r="D30" s="95" t="s">
        <v>308</v>
      </c>
      <c r="E30" s="96" t="s">
        <v>114</v>
      </c>
      <c r="F30" s="97" t="s">
        <v>270</v>
      </c>
      <c r="G30" s="98" t="e">
        <f>CEILING(S30+W30+X30+O30+N30+Y30,10)</f>
        <v>#N/A</v>
      </c>
      <c r="H30" s="99" t="e">
        <f>CEILING(T30+W30+X30+O30+N30+Z30,10)</f>
        <v>#N/A</v>
      </c>
      <c r="I30" s="99" t="e">
        <f>CEILING(U30+W30+X30+O30+N30+AA30,10)</f>
        <v>#N/A</v>
      </c>
      <c r="J30" s="99" t="e">
        <f>CEILING(V30+W30+X30+O30+N30+AB30,10)</f>
        <v>#N/A</v>
      </c>
      <c r="K30" s="57"/>
      <c r="L30" s="100" t="s">
        <v>272</v>
      </c>
      <c r="M30" s="52" t="s">
        <v>293</v>
      </c>
      <c r="N30" s="40">
        <v>0</v>
      </c>
      <c r="O30" s="53" t="e">
        <f>VLOOKUP(B30,DRAYAGE!$A$1:$C$6,3,FALSE)</f>
        <v>#N/A</v>
      </c>
      <c r="P30" s="40" t="s">
        <v>299</v>
      </c>
      <c r="S30" s="101">
        <f>0.9*T30</f>
        <v>22950</v>
      </c>
      <c r="T30" s="54">
        <v>25500</v>
      </c>
      <c r="U30" s="103">
        <f t="shared" si="6"/>
        <v>25500</v>
      </c>
      <c r="V30" s="104">
        <f>U30*1.266</f>
        <v>32283</v>
      </c>
    </row>
    <row r="31" spans="1:29" s="40" customFormat="1" ht="14.45" customHeight="1" x14ac:dyDescent="0.25">
      <c r="A31" s="51" t="s">
        <v>320</v>
      </c>
      <c r="B31" s="51" t="s">
        <v>21</v>
      </c>
      <c r="C31" s="94" t="s">
        <v>54</v>
      </c>
      <c r="D31" s="126" t="s">
        <v>290</v>
      </c>
      <c r="E31" s="96" t="s">
        <v>114</v>
      </c>
      <c r="F31" s="97" t="s">
        <v>270</v>
      </c>
      <c r="G31" s="98" t="e">
        <f>CEILING(S31+W31+X31+O31+N31+Y31,10)</f>
        <v>#N/A</v>
      </c>
      <c r="H31" s="99" t="e">
        <f>CEILING(T31+W31+X31+O31+N31+Z31,10)</f>
        <v>#N/A</v>
      </c>
      <c r="I31" s="99" t="e">
        <f>CEILING(U31+W31+X31+O31+N31+AA31,10)</f>
        <v>#N/A</v>
      </c>
      <c r="J31" s="99" t="e">
        <f>CEILING(V31+W31+X31+O31+N31+AB31,10)</f>
        <v>#N/A</v>
      </c>
      <c r="K31" s="57"/>
      <c r="L31" s="100" t="s">
        <v>272</v>
      </c>
      <c r="M31" s="52" t="s">
        <v>293</v>
      </c>
      <c r="N31" s="40">
        <v>0</v>
      </c>
      <c r="O31" s="53" t="e">
        <f>VLOOKUP(B31,DRAYAGE!$A$1:$C$6,3,FALSE)</f>
        <v>#N/A</v>
      </c>
      <c r="P31" s="40" t="s">
        <v>299</v>
      </c>
      <c r="S31" s="101">
        <f>0.9*T31</f>
        <v>22950</v>
      </c>
      <c r="T31" s="54">
        <v>25500</v>
      </c>
      <c r="U31" s="103">
        <f t="shared" si="6"/>
        <v>25500</v>
      </c>
      <c r="V31" s="104">
        <f>U31*1.266</f>
        <v>32283</v>
      </c>
    </row>
    <row r="32" spans="1:29" s="40" customFormat="1" ht="14.45" customHeight="1" x14ac:dyDescent="0.25">
      <c r="A32" s="46" t="s">
        <v>84</v>
      </c>
      <c r="B32" s="88"/>
      <c r="C32" s="88"/>
      <c r="D32" s="88"/>
      <c r="E32" s="210"/>
      <c r="F32" s="211"/>
      <c r="G32" s="88"/>
      <c r="H32" s="88"/>
      <c r="I32" s="88"/>
      <c r="J32" s="88"/>
      <c r="K32" s="57"/>
      <c r="L32" s="89" t="s">
        <v>48</v>
      </c>
      <c r="M32" s="89" t="s">
        <v>261</v>
      </c>
      <c r="N32" s="90" t="s">
        <v>51</v>
      </c>
      <c r="O32" s="91" t="s">
        <v>50</v>
      </c>
      <c r="P32" s="91" t="s">
        <v>262</v>
      </c>
      <c r="Q32" s="91" t="s">
        <v>263</v>
      </c>
      <c r="R32" s="91" t="s">
        <v>264</v>
      </c>
      <c r="S32" s="92" t="s">
        <v>52</v>
      </c>
      <c r="T32" s="92" t="s">
        <v>53</v>
      </c>
      <c r="U32" s="92" t="s">
        <v>265</v>
      </c>
      <c r="V32" s="92" t="s">
        <v>266</v>
      </c>
      <c r="W32" s="92" t="s">
        <v>267</v>
      </c>
      <c r="X32" s="92" t="s">
        <v>268</v>
      </c>
      <c r="Y32" s="92" t="s">
        <v>52</v>
      </c>
      <c r="Z32" s="92" t="s">
        <v>53</v>
      </c>
      <c r="AA32" s="92" t="s">
        <v>265</v>
      </c>
      <c r="AB32" s="92" t="s">
        <v>266</v>
      </c>
      <c r="AC32" s="93" t="s">
        <v>269</v>
      </c>
    </row>
    <row r="33" spans="1:29" s="40" customFormat="1" ht="14.45" customHeight="1" x14ac:dyDescent="0.25">
      <c r="A33" s="51" t="s">
        <v>58</v>
      </c>
      <c r="B33" s="51" t="s">
        <v>22</v>
      </c>
      <c r="C33" s="94" t="s">
        <v>54</v>
      </c>
      <c r="D33" s="95" t="s">
        <v>308</v>
      </c>
      <c r="E33" s="96" t="s">
        <v>114</v>
      </c>
      <c r="F33" s="97" t="s">
        <v>270</v>
      </c>
      <c r="G33" s="98" t="e">
        <f>CEILING(S33+W33+X33+O33+N33+Y33,10)</f>
        <v>#N/A</v>
      </c>
      <c r="H33" s="99" t="e">
        <f>CEILING(T33+W33+X33+O33+N33+Z33,10)</f>
        <v>#N/A</v>
      </c>
      <c r="I33" s="99" t="e">
        <f>CEILING(U33+W33+X33+O33+N33+AA33,10)</f>
        <v>#N/A</v>
      </c>
      <c r="J33" s="99" t="e">
        <f>CEILING(V33+W33+X33+O33+N33+AB33,10)</f>
        <v>#N/A</v>
      </c>
      <c r="K33" s="57"/>
      <c r="L33" s="100" t="s">
        <v>272</v>
      </c>
      <c r="M33" s="52" t="s">
        <v>293</v>
      </c>
      <c r="N33" s="40">
        <v>0</v>
      </c>
      <c r="O33" s="53" t="e">
        <f>VLOOKUP(B33,DRAYAGE!$A$1:$C$6,3,FALSE)</f>
        <v>#N/A</v>
      </c>
      <c r="P33" s="40" t="s">
        <v>299</v>
      </c>
      <c r="S33" s="101">
        <f>0.9*T33</f>
        <v>22950</v>
      </c>
      <c r="T33" s="54">
        <v>25500</v>
      </c>
      <c r="U33" s="103">
        <f t="shared" si="6"/>
        <v>25500</v>
      </c>
      <c r="V33" s="104">
        <f>U33*1.266</f>
        <v>32283</v>
      </c>
      <c r="X33" s="40">
        <v>0</v>
      </c>
    </row>
    <row r="34" spans="1:29" s="40" customFormat="1" ht="14.45" customHeight="1" x14ac:dyDescent="0.25">
      <c r="A34" s="51" t="s">
        <v>320</v>
      </c>
      <c r="B34" s="51" t="s">
        <v>22</v>
      </c>
      <c r="C34" s="94" t="s">
        <v>54</v>
      </c>
      <c r="D34" s="126" t="s">
        <v>290</v>
      </c>
      <c r="E34" s="96" t="s">
        <v>114</v>
      </c>
      <c r="F34" s="97" t="s">
        <v>270</v>
      </c>
      <c r="G34" s="98" t="e">
        <f>CEILING(S34+W34+X34+O34+N34+Y34,10)</f>
        <v>#N/A</v>
      </c>
      <c r="H34" s="99" t="e">
        <f>CEILING(T34+W34+X34+O34+N34+Z34,10)</f>
        <v>#N/A</v>
      </c>
      <c r="I34" s="99" t="e">
        <f>CEILING(U34+W34+X34+O34+N34+AA34,10)</f>
        <v>#N/A</v>
      </c>
      <c r="J34" s="99" t="e">
        <f>CEILING(V34+W34+X34+O34+N34+AB34,10)</f>
        <v>#N/A</v>
      </c>
      <c r="K34" s="57"/>
      <c r="L34" s="100" t="s">
        <v>272</v>
      </c>
      <c r="M34" s="52" t="s">
        <v>293</v>
      </c>
      <c r="N34" s="40">
        <v>0</v>
      </c>
      <c r="O34" s="53" t="e">
        <f>VLOOKUP(B34,DRAYAGE!$A$1:$C$6,3,FALSE)</f>
        <v>#N/A</v>
      </c>
      <c r="P34" s="40" t="s">
        <v>299</v>
      </c>
      <c r="S34" s="101">
        <f>0.9*T34</f>
        <v>22950</v>
      </c>
      <c r="T34" s="54">
        <v>25500</v>
      </c>
      <c r="U34" s="103">
        <f t="shared" si="6"/>
        <v>25500</v>
      </c>
      <c r="V34" s="104">
        <f>U34*1.266</f>
        <v>32283</v>
      </c>
      <c r="X34" s="40">
        <v>0</v>
      </c>
    </row>
    <row r="35" spans="1:29" s="40" customFormat="1" ht="14.45" customHeight="1" x14ac:dyDescent="0.25">
      <c r="A35" s="47" t="s">
        <v>85</v>
      </c>
      <c r="B35" s="88"/>
      <c r="C35" s="88"/>
      <c r="D35" s="88"/>
      <c r="E35" s="210"/>
      <c r="F35" s="211"/>
      <c r="G35" s="88"/>
      <c r="H35" s="88"/>
      <c r="I35" s="88"/>
      <c r="J35" s="88"/>
      <c r="K35" s="57"/>
      <c r="L35" s="89" t="s">
        <v>48</v>
      </c>
      <c r="M35" s="89" t="s">
        <v>261</v>
      </c>
      <c r="N35" s="90" t="s">
        <v>51</v>
      </c>
      <c r="O35" s="91" t="s">
        <v>50</v>
      </c>
      <c r="P35" s="91" t="s">
        <v>262</v>
      </c>
      <c r="Q35" s="91" t="s">
        <v>263</v>
      </c>
      <c r="R35" s="91" t="s">
        <v>264</v>
      </c>
      <c r="S35" s="92" t="s">
        <v>52</v>
      </c>
      <c r="T35" s="92" t="s">
        <v>53</v>
      </c>
      <c r="U35" s="92" t="s">
        <v>265</v>
      </c>
      <c r="V35" s="92" t="s">
        <v>266</v>
      </c>
      <c r="W35" s="92" t="s">
        <v>267</v>
      </c>
      <c r="X35" s="92" t="s">
        <v>268</v>
      </c>
      <c r="Y35" s="92" t="s">
        <v>52</v>
      </c>
      <c r="Z35" s="92" t="s">
        <v>53</v>
      </c>
      <c r="AA35" s="92" t="s">
        <v>265</v>
      </c>
      <c r="AB35" s="92" t="s">
        <v>266</v>
      </c>
      <c r="AC35" s="93" t="s">
        <v>269</v>
      </c>
    </row>
    <row r="36" spans="1:29" s="40" customFormat="1" ht="18.75" x14ac:dyDescent="0.25">
      <c r="A36" s="51" t="s">
        <v>81</v>
      </c>
      <c r="B36" s="51" t="s">
        <v>17</v>
      </c>
      <c r="C36" s="94" t="s">
        <v>54</v>
      </c>
      <c r="D36" s="95" t="s">
        <v>308</v>
      </c>
      <c r="E36" s="96" t="s">
        <v>114</v>
      </c>
      <c r="F36" s="97" t="s">
        <v>270</v>
      </c>
      <c r="G36" s="98" t="e">
        <f t="shared" ref="G36:G42" si="10">CEILING(S36+W36+X36+O36+N36+Y36,10)</f>
        <v>#N/A</v>
      </c>
      <c r="H36" s="99" t="e">
        <f t="shared" ref="H36:H42" si="11">CEILING(T36+W36+X36+O36+N36+Z36,10)</f>
        <v>#N/A</v>
      </c>
      <c r="I36" s="99" t="e">
        <f t="shared" ref="I36:I42" si="12">CEILING(U36+W36+X36+O36+N36+AA36,10)</f>
        <v>#N/A</v>
      </c>
      <c r="J36" s="99" t="e">
        <f t="shared" ref="J36:J42" si="13">CEILING(V36+W36+X36+O36+N36+AB36,10)</f>
        <v>#N/A</v>
      </c>
      <c r="K36" s="57"/>
      <c r="L36" s="100" t="s">
        <v>272</v>
      </c>
      <c r="M36" s="52" t="s">
        <v>294</v>
      </c>
      <c r="N36" s="40">
        <v>0</v>
      </c>
      <c r="O36" s="53" t="e">
        <f>VLOOKUP(B36,DRAYAGE!$A$1:$C$6,3,FALSE)</f>
        <v>#N/A</v>
      </c>
      <c r="P36" s="40" t="s">
        <v>300</v>
      </c>
      <c r="S36" s="101">
        <f t="shared" ref="S36:S42" si="14">0.9*T36</f>
        <v>11700</v>
      </c>
      <c r="T36" s="54">
        <v>13000</v>
      </c>
      <c r="U36" s="103">
        <f t="shared" si="6"/>
        <v>13000</v>
      </c>
      <c r="V36" s="104">
        <f t="shared" ref="V36:V42" si="15">U36*1.266</f>
        <v>16458</v>
      </c>
      <c r="X36" s="40">
        <v>0</v>
      </c>
    </row>
    <row r="37" spans="1:29" s="40" customFormat="1" ht="14.45" customHeight="1" x14ac:dyDescent="0.25">
      <c r="A37" s="51" t="s">
        <v>55</v>
      </c>
      <c r="B37" s="51" t="s">
        <v>17</v>
      </c>
      <c r="C37" s="94" t="s">
        <v>54</v>
      </c>
      <c r="D37" s="95" t="s">
        <v>308</v>
      </c>
      <c r="E37" s="96" t="s">
        <v>114</v>
      </c>
      <c r="F37" s="97" t="s">
        <v>270</v>
      </c>
      <c r="G37" s="98" t="e">
        <f t="shared" si="10"/>
        <v>#N/A</v>
      </c>
      <c r="H37" s="99" t="e">
        <f t="shared" si="11"/>
        <v>#N/A</v>
      </c>
      <c r="I37" s="99" t="e">
        <f t="shared" si="12"/>
        <v>#N/A</v>
      </c>
      <c r="J37" s="99" t="e">
        <f t="shared" si="13"/>
        <v>#N/A</v>
      </c>
      <c r="K37" s="57"/>
      <c r="L37" s="100" t="s">
        <v>272</v>
      </c>
      <c r="M37" s="52" t="s">
        <v>294</v>
      </c>
      <c r="N37" s="40">
        <v>0</v>
      </c>
      <c r="O37" s="53" t="e">
        <f>VLOOKUP(B37,DRAYAGE!$A$1:$C$6,3,FALSE)</f>
        <v>#N/A</v>
      </c>
      <c r="P37" s="40" t="s">
        <v>300</v>
      </c>
      <c r="S37" s="101">
        <f t="shared" si="14"/>
        <v>13500</v>
      </c>
      <c r="T37" s="54">
        <v>15000</v>
      </c>
      <c r="U37" s="103">
        <f t="shared" si="6"/>
        <v>15000</v>
      </c>
      <c r="V37" s="104">
        <f t="shared" si="15"/>
        <v>18990</v>
      </c>
      <c r="X37" s="40">
        <v>0</v>
      </c>
    </row>
    <row r="38" spans="1:29" s="40" customFormat="1" ht="14.45" customHeight="1" x14ac:dyDescent="0.25">
      <c r="A38" s="51" t="s">
        <v>59</v>
      </c>
      <c r="B38" s="51" t="s">
        <v>17</v>
      </c>
      <c r="C38" s="94" t="s">
        <v>54</v>
      </c>
      <c r="D38" s="95" t="s">
        <v>308</v>
      </c>
      <c r="E38" s="96" t="s">
        <v>114</v>
      </c>
      <c r="F38" s="97" t="s">
        <v>270</v>
      </c>
      <c r="G38" s="98" t="e">
        <f t="shared" si="10"/>
        <v>#N/A</v>
      </c>
      <c r="H38" s="99" t="e">
        <f t="shared" si="11"/>
        <v>#N/A</v>
      </c>
      <c r="I38" s="99" t="e">
        <f t="shared" si="12"/>
        <v>#N/A</v>
      </c>
      <c r="J38" s="99" t="e">
        <f t="shared" si="13"/>
        <v>#N/A</v>
      </c>
      <c r="K38" s="57"/>
      <c r="L38" s="100" t="s">
        <v>272</v>
      </c>
      <c r="M38" s="52" t="s">
        <v>294</v>
      </c>
      <c r="N38" s="40">
        <v>0</v>
      </c>
      <c r="O38" s="53" t="e">
        <f>VLOOKUP(B38,DRAYAGE!$A$1:$C$6,3,FALSE)</f>
        <v>#N/A</v>
      </c>
      <c r="P38" s="40" t="s">
        <v>300</v>
      </c>
      <c r="S38" s="101">
        <f t="shared" si="14"/>
        <v>11700</v>
      </c>
      <c r="T38" s="54">
        <v>13000</v>
      </c>
      <c r="U38" s="103">
        <f t="shared" si="6"/>
        <v>13000</v>
      </c>
      <c r="V38" s="104">
        <f t="shared" si="15"/>
        <v>16458</v>
      </c>
      <c r="X38" s="40">
        <v>0</v>
      </c>
    </row>
    <row r="39" spans="1:29" s="40" customFormat="1" ht="18.75" x14ac:dyDescent="0.25">
      <c r="A39" s="51" t="s">
        <v>60</v>
      </c>
      <c r="B39" s="51" t="s">
        <v>17</v>
      </c>
      <c r="C39" s="94" t="s">
        <v>54</v>
      </c>
      <c r="D39" s="95" t="s">
        <v>308</v>
      </c>
      <c r="E39" s="96" t="s">
        <v>114</v>
      </c>
      <c r="F39" s="97" t="s">
        <v>270</v>
      </c>
      <c r="G39" s="98" t="e">
        <f t="shared" si="10"/>
        <v>#N/A</v>
      </c>
      <c r="H39" s="99" t="e">
        <f t="shared" si="11"/>
        <v>#N/A</v>
      </c>
      <c r="I39" s="99" t="e">
        <f t="shared" si="12"/>
        <v>#N/A</v>
      </c>
      <c r="J39" s="99" t="e">
        <f t="shared" si="13"/>
        <v>#N/A</v>
      </c>
      <c r="K39" s="57"/>
      <c r="L39" s="100" t="s">
        <v>272</v>
      </c>
      <c r="M39" s="52" t="s">
        <v>294</v>
      </c>
      <c r="N39" s="40">
        <v>0</v>
      </c>
      <c r="O39" s="53" t="e">
        <f>VLOOKUP(B39,DRAYAGE!$A$1:$C$6,3,FALSE)</f>
        <v>#N/A</v>
      </c>
      <c r="P39" s="40" t="s">
        <v>300</v>
      </c>
      <c r="S39" s="101">
        <f t="shared" si="14"/>
        <v>17100</v>
      </c>
      <c r="T39" s="54">
        <v>19000</v>
      </c>
      <c r="U39" s="103">
        <f t="shared" si="6"/>
        <v>19000</v>
      </c>
      <c r="V39" s="104">
        <f t="shared" si="15"/>
        <v>24054</v>
      </c>
      <c r="X39" s="40">
        <v>0</v>
      </c>
    </row>
    <row r="40" spans="1:29" s="45" customFormat="1" ht="14.45" customHeight="1" x14ac:dyDescent="0.25">
      <c r="A40" s="51" t="s">
        <v>61</v>
      </c>
      <c r="B40" s="51" t="s">
        <v>17</v>
      </c>
      <c r="C40" s="106" t="s">
        <v>54</v>
      </c>
      <c r="D40" s="95" t="s">
        <v>308</v>
      </c>
      <c r="E40" s="107" t="s">
        <v>114</v>
      </c>
      <c r="F40" s="108" t="s">
        <v>270</v>
      </c>
      <c r="G40" s="109" t="e">
        <f t="shared" si="10"/>
        <v>#N/A</v>
      </c>
      <c r="H40" s="110" t="e">
        <f t="shared" si="11"/>
        <v>#N/A</v>
      </c>
      <c r="I40" s="110" t="e">
        <f t="shared" si="12"/>
        <v>#N/A</v>
      </c>
      <c r="J40" s="110" t="e">
        <f t="shared" si="13"/>
        <v>#N/A</v>
      </c>
      <c r="K40" s="111"/>
      <c r="L40" s="112" t="s">
        <v>272</v>
      </c>
      <c r="M40" s="52" t="s">
        <v>294</v>
      </c>
      <c r="N40" s="45">
        <v>0</v>
      </c>
      <c r="O40" s="53" t="e">
        <f>VLOOKUP(B40,DRAYAGE!$A$1:$C$6,3,FALSE)</f>
        <v>#N/A</v>
      </c>
      <c r="P40" s="40" t="s">
        <v>300</v>
      </c>
      <c r="R40" s="40"/>
      <c r="S40" s="113">
        <f t="shared" si="14"/>
        <v>11700</v>
      </c>
      <c r="T40" s="54">
        <v>13000</v>
      </c>
      <c r="U40" s="103">
        <f t="shared" si="6"/>
        <v>13000</v>
      </c>
      <c r="V40" s="114">
        <f t="shared" si="15"/>
        <v>16458</v>
      </c>
      <c r="X40" s="45">
        <v>0</v>
      </c>
      <c r="Y40" s="40"/>
      <c r="Z40" s="40"/>
      <c r="AA40" s="40"/>
      <c r="AB40" s="40"/>
    </row>
    <row r="41" spans="1:29" s="40" customFormat="1" ht="18.75" x14ac:dyDescent="0.25">
      <c r="A41" s="51" t="s">
        <v>273</v>
      </c>
      <c r="B41" s="51" t="s">
        <v>17</v>
      </c>
      <c r="C41" s="94" t="s">
        <v>54</v>
      </c>
      <c r="D41" s="95" t="s">
        <v>308</v>
      </c>
      <c r="E41" s="96" t="s">
        <v>114</v>
      </c>
      <c r="F41" s="97" t="s">
        <v>270</v>
      </c>
      <c r="G41" s="98" t="e">
        <f t="shared" si="10"/>
        <v>#N/A</v>
      </c>
      <c r="H41" s="99" t="e">
        <f t="shared" si="11"/>
        <v>#N/A</v>
      </c>
      <c r="I41" s="99" t="e">
        <f t="shared" si="12"/>
        <v>#N/A</v>
      </c>
      <c r="J41" s="99" t="e">
        <f t="shared" si="13"/>
        <v>#N/A</v>
      </c>
      <c r="K41" s="57"/>
      <c r="L41" s="100" t="s">
        <v>272</v>
      </c>
      <c r="M41" s="52" t="s">
        <v>294</v>
      </c>
      <c r="N41" s="40">
        <v>0</v>
      </c>
      <c r="O41" s="53" t="e">
        <f>VLOOKUP(B41,DRAYAGE!$A$1:$C$6,3,FALSE)</f>
        <v>#N/A</v>
      </c>
      <c r="P41" s="40" t="s">
        <v>300</v>
      </c>
      <c r="S41" s="101">
        <f t="shared" si="14"/>
        <v>17100</v>
      </c>
      <c r="T41" s="54">
        <v>19000</v>
      </c>
      <c r="U41" s="103">
        <f t="shared" si="6"/>
        <v>19000</v>
      </c>
      <c r="V41" s="104">
        <f t="shared" si="15"/>
        <v>24054</v>
      </c>
      <c r="X41" s="40">
        <v>0</v>
      </c>
    </row>
    <row r="42" spans="1:29" s="40" customFormat="1" ht="14.45" customHeight="1" x14ac:dyDescent="0.25">
      <c r="A42" s="51" t="s">
        <v>58</v>
      </c>
      <c r="B42" s="51" t="s">
        <v>17</v>
      </c>
      <c r="C42" s="94" t="s">
        <v>54</v>
      </c>
      <c r="D42" s="126" t="s">
        <v>290</v>
      </c>
      <c r="E42" s="96" t="s">
        <v>114</v>
      </c>
      <c r="F42" s="97" t="s">
        <v>270</v>
      </c>
      <c r="G42" s="98" t="e">
        <f t="shared" si="10"/>
        <v>#N/A</v>
      </c>
      <c r="H42" s="99" t="e">
        <f t="shared" si="11"/>
        <v>#N/A</v>
      </c>
      <c r="I42" s="99" t="e">
        <f t="shared" si="12"/>
        <v>#N/A</v>
      </c>
      <c r="J42" s="99" t="e">
        <f t="shared" si="13"/>
        <v>#N/A</v>
      </c>
      <c r="K42" s="57"/>
      <c r="L42" s="100" t="s">
        <v>272</v>
      </c>
      <c r="M42" s="52" t="s">
        <v>294</v>
      </c>
      <c r="N42" s="40">
        <v>0</v>
      </c>
      <c r="O42" s="53" t="e">
        <f>VLOOKUP(B42,DRAYAGE!$A$1:$C$6,3,FALSE)</f>
        <v>#N/A</v>
      </c>
      <c r="P42" s="40" t="s">
        <v>298</v>
      </c>
      <c r="S42" s="101">
        <f t="shared" si="14"/>
        <v>22950</v>
      </c>
      <c r="T42" s="54">
        <v>25500</v>
      </c>
      <c r="U42" s="103">
        <f t="shared" si="6"/>
        <v>25500</v>
      </c>
      <c r="V42" s="104">
        <f t="shared" si="15"/>
        <v>32283</v>
      </c>
      <c r="X42" s="40">
        <v>0</v>
      </c>
    </row>
    <row r="43" spans="1:29" s="40" customFormat="1" ht="14.45" customHeight="1" x14ac:dyDescent="0.25">
      <c r="A43" s="46" t="s">
        <v>98</v>
      </c>
      <c r="B43" s="88"/>
      <c r="C43" s="88"/>
      <c r="D43" s="88"/>
      <c r="E43" s="210"/>
      <c r="F43" s="211"/>
      <c r="G43" s="88"/>
      <c r="H43" s="88"/>
      <c r="I43" s="88"/>
      <c r="J43" s="88"/>
      <c r="K43" s="57"/>
      <c r="L43" s="89" t="s">
        <v>48</v>
      </c>
      <c r="M43" s="89" t="s">
        <v>261</v>
      </c>
      <c r="N43" s="90" t="s">
        <v>51</v>
      </c>
      <c r="O43" s="91" t="s">
        <v>50</v>
      </c>
      <c r="P43" s="91" t="s">
        <v>262</v>
      </c>
      <c r="Q43" s="91" t="s">
        <v>263</v>
      </c>
      <c r="R43" s="92" t="s">
        <v>52</v>
      </c>
      <c r="S43" s="92" t="s">
        <v>52</v>
      </c>
      <c r="T43" s="92" t="s">
        <v>53</v>
      </c>
      <c r="U43" s="92" t="s">
        <v>265</v>
      </c>
      <c r="V43" s="92" t="s">
        <v>266</v>
      </c>
      <c r="W43" s="92" t="s">
        <v>267</v>
      </c>
      <c r="X43" s="92" t="s">
        <v>268</v>
      </c>
      <c r="Y43" s="92" t="s">
        <v>52</v>
      </c>
      <c r="Z43" s="92" t="s">
        <v>53</v>
      </c>
      <c r="AA43" s="92" t="s">
        <v>265</v>
      </c>
      <c r="AB43" s="92" t="s">
        <v>266</v>
      </c>
      <c r="AC43" s="93" t="s">
        <v>269</v>
      </c>
    </row>
    <row r="44" spans="1:29" s="40" customFormat="1" ht="14.45" customHeight="1" x14ac:dyDescent="0.25">
      <c r="A44" s="51" t="s">
        <v>316</v>
      </c>
      <c r="B44" s="51" t="s">
        <v>106</v>
      </c>
      <c r="C44" s="94" t="s">
        <v>54</v>
      </c>
      <c r="D44" s="95" t="s">
        <v>308</v>
      </c>
      <c r="E44" s="96" t="s">
        <v>114</v>
      </c>
      <c r="F44" s="97" t="s">
        <v>270</v>
      </c>
      <c r="G44" s="98">
        <f>CEILING(S44+W44+X44+O44+N44+Y44,10)</f>
        <v>14500</v>
      </c>
      <c r="H44" s="99">
        <f>CEILING(T44+W44+X44+O44+N44+Z44,10)</f>
        <v>15800</v>
      </c>
      <c r="I44" s="99">
        <f>CEILING(U44+W44+X44+O44+N44+AA44,10)</f>
        <v>15800</v>
      </c>
      <c r="J44" s="99">
        <f>CEILING(V44+W44+X44+O44+N44+AB44,10)</f>
        <v>19260</v>
      </c>
      <c r="K44" s="57"/>
      <c r="L44" s="100" t="s">
        <v>272</v>
      </c>
      <c r="M44" s="52" t="s">
        <v>293</v>
      </c>
      <c r="N44" s="40">
        <v>0</v>
      </c>
      <c r="O44" s="53">
        <v>2800</v>
      </c>
      <c r="P44" s="40" t="s">
        <v>302</v>
      </c>
      <c r="R44" s="101">
        <v>19800</v>
      </c>
      <c r="S44" s="101">
        <f>0.9*T44</f>
        <v>11700</v>
      </c>
      <c r="T44" s="54">
        <v>13000</v>
      </c>
      <c r="U44" s="103">
        <f>T44</f>
        <v>13000</v>
      </c>
      <c r="V44" s="104">
        <f>U44*1.266</f>
        <v>16458</v>
      </c>
      <c r="W44" s="40">
        <v>0</v>
      </c>
    </row>
    <row r="45" spans="1:29" s="40" customFormat="1" ht="14.45" customHeight="1" x14ac:dyDescent="0.25">
      <c r="A45" s="51" t="s">
        <v>322</v>
      </c>
      <c r="B45" s="51" t="s">
        <v>106</v>
      </c>
      <c r="C45" s="94" t="s">
        <v>54</v>
      </c>
      <c r="D45" s="126" t="s">
        <v>315</v>
      </c>
      <c r="E45" s="96" t="s">
        <v>114</v>
      </c>
      <c r="F45" s="97" t="s">
        <v>270</v>
      </c>
      <c r="G45" s="98">
        <f>CEILING(S45+W45+X45+O45+N45+Y45,10)</f>
        <v>25750</v>
      </c>
      <c r="H45" s="99">
        <f>CEILING(T45+W45+X45+O45+N45+Z45,10)</f>
        <v>28300</v>
      </c>
      <c r="I45" s="99">
        <f>CEILING(U45+W45+X45+O45+N45+AA45,10)</f>
        <v>28300</v>
      </c>
      <c r="J45" s="99">
        <f>CEILING(V45+W45+X45+O45+N45+AB45,10)</f>
        <v>35090</v>
      </c>
      <c r="K45" s="57"/>
      <c r="L45" s="100" t="s">
        <v>272</v>
      </c>
      <c r="M45" s="52" t="s">
        <v>293</v>
      </c>
      <c r="N45" s="40">
        <v>0</v>
      </c>
      <c r="O45" s="53">
        <v>2800</v>
      </c>
      <c r="P45" s="40" t="s">
        <v>302</v>
      </c>
      <c r="R45" s="101">
        <v>19800</v>
      </c>
      <c r="S45" s="101">
        <f>0.9*T45</f>
        <v>22950</v>
      </c>
      <c r="T45" s="54">
        <v>25500</v>
      </c>
      <c r="U45" s="103">
        <f>T45</f>
        <v>25500</v>
      </c>
      <c r="V45" s="104">
        <f>U45*1.266</f>
        <v>32283</v>
      </c>
      <c r="W45" s="40">
        <v>0</v>
      </c>
    </row>
    <row r="46" spans="1:29" s="40" customFormat="1" ht="14.45" customHeight="1" x14ac:dyDescent="0.25">
      <c r="A46" s="51" t="s">
        <v>321</v>
      </c>
      <c r="B46" s="51" t="s">
        <v>106</v>
      </c>
      <c r="C46" s="94" t="s">
        <v>54</v>
      </c>
      <c r="D46" s="95" t="s">
        <v>308</v>
      </c>
      <c r="E46" s="96" t="s">
        <v>114</v>
      </c>
      <c r="F46" s="97" t="s">
        <v>270</v>
      </c>
      <c r="G46" s="98">
        <f>CEILING(S46+W46+X46+O46+N46+Y46,10)</f>
        <v>14500</v>
      </c>
      <c r="H46" s="99">
        <f>CEILING(T46+W46+X46+O46+N46+Z46,10)</f>
        <v>15800</v>
      </c>
      <c r="I46" s="99">
        <f>CEILING(U46+W46+X46+O46+N46+AA46,10)</f>
        <v>15800</v>
      </c>
      <c r="J46" s="99">
        <f>CEILING(V46+W46+X46+O46+N46+AB46,10)</f>
        <v>19260</v>
      </c>
      <c r="K46" s="57"/>
      <c r="L46" s="100" t="s">
        <v>272</v>
      </c>
      <c r="M46" s="52" t="s">
        <v>293</v>
      </c>
      <c r="N46" s="40">
        <v>0</v>
      </c>
      <c r="O46" s="53">
        <v>2800</v>
      </c>
      <c r="P46" s="40" t="s">
        <v>302</v>
      </c>
      <c r="R46" s="101">
        <v>19800</v>
      </c>
      <c r="S46" s="101">
        <f>0.9*T46</f>
        <v>11700</v>
      </c>
      <c r="T46" s="54">
        <v>13000</v>
      </c>
      <c r="U46" s="103">
        <f>T46</f>
        <v>13000</v>
      </c>
      <c r="V46" s="104">
        <f>U46*1.266</f>
        <v>16458</v>
      </c>
      <c r="W46" s="40">
        <v>0</v>
      </c>
    </row>
    <row r="47" spans="1:29" s="40" customFormat="1" ht="14.45" customHeight="1" x14ac:dyDescent="0.25">
      <c r="A47" s="47" t="s">
        <v>323</v>
      </c>
      <c r="B47" s="88"/>
      <c r="C47" s="88"/>
      <c r="D47" s="88"/>
      <c r="E47" s="210"/>
      <c r="F47" s="211"/>
      <c r="G47" s="88"/>
      <c r="H47" s="88"/>
      <c r="I47" s="88"/>
      <c r="J47" s="88"/>
      <c r="K47" s="57"/>
      <c r="L47" s="89" t="s">
        <v>324</v>
      </c>
      <c r="M47" s="89" t="s">
        <v>261</v>
      </c>
      <c r="N47" s="90" t="s">
        <v>51</v>
      </c>
      <c r="O47" s="91" t="s">
        <v>50</v>
      </c>
      <c r="P47" s="91" t="s">
        <v>262</v>
      </c>
      <c r="Q47" s="91" t="s">
        <v>263</v>
      </c>
      <c r="R47" s="92" t="s">
        <v>52</v>
      </c>
      <c r="S47" s="92" t="s">
        <v>52</v>
      </c>
      <c r="T47" s="92" t="s">
        <v>53</v>
      </c>
      <c r="U47" s="92" t="s">
        <v>265</v>
      </c>
      <c r="V47" s="92" t="s">
        <v>266</v>
      </c>
      <c r="W47" s="92" t="s">
        <v>267</v>
      </c>
      <c r="X47" s="92" t="s">
        <v>268</v>
      </c>
      <c r="Y47" s="92" t="s">
        <v>52</v>
      </c>
      <c r="Z47" s="92" t="s">
        <v>53</v>
      </c>
      <c r="AA47" s="92" t="s">
        <v>265</v>
      </c>
      <c r="AB47" s="92" t="s">
        <v>266</v>
      </c>
      <c r="AC47" s="93" t="s">
        <v>269</v>
      </c>
    </row>
    <row r="48" spans="1:29" s="40" customFormat="1" ht="14.45" customHeight="1" x14ac:dyDescent="0.25">
      <c r="A48" s="51" t="s">
        <v>326</v>
      </c>
      <c r="B48" s="56" t="s">
        <v>103</v>
      </c>
      <c r="C48" s="94" t="s">
        <v>54</v>
      </c>
      <c r="D48" s="95" t="s">
        <v>308</v>
      </c>
      <c r="E48" s="96" t="s">
        <v>114</v>
      </c>
      <c r="F48" s="97" t="s">
        <v>270</v>
      </c>
      <c r="G48" s="98">
        <v>18510</v>
      </c>
      <c r="H48" s="99">
        <v>20510</v>
      </c>
      <c r="I48" s="99">
        <v>20510</v>
      </c>
      <c r="J48" s="99">
        <v>25830</v>
      </c>
      <c r="K48" s="57"/>
      <c r="L48" s="100" t="s">
        <v>272</v>
      </c>
      <c r="M48" s="52" t="s">
        <v>295</v>
      </c>
      <c r="N48" s="40">
        <v>0</v>
      </c>
      <c r="O48" s="53">
        <v>504</v>
      </c>
      <c r="P48" s="40" t="s">
        <v>325</v>
      </c>
      <c r="R48" s="101">
        <v>18000</v>
      </c>
      <c r="S48" s="101">
        <f>0.9*T48</f>
        <v>17100</v>
      </c>
      <c r="T48" s="54">
        <v>19000</v>
      </c>
      <c r="U48" s="103">
        <f>T48</f>
        <v>19000</v>
      </c>
      <c r="V48" s="104">
        <f>U48*1.266</f>
        <v>24054</v>
      </c>
      <c r="W48" s="40">
        <v>0</v>
      </c>
    </row>
    <row r="49" spans="1:29" s="40" customFormat="1" ht="14.45" customHeight="1" x14ac:dyDescent="0.25">
      <c r="A49" s="51" t="s">
        <v>327</v>
      </c>
      <c r="B49" s="56" t="s">
        <v>103</v>
      </c>
      <c r="C49" s="94" t="s">
        <v>54</v>
      </c>
      <c r="D49" s="95" t="s">
        <v>308</v>
      </c>
      <c r="E49" s="96" t="s">
        <v>114</v>
      </c>
      <c r="F49" s="97" t="s">
        <v>270</v>
      </c>
      <c r="G49" s="98">
        <v>18510</v>
      </c>
      <c r="H49" s="99">
        <v>20510</v>
      </c>
      <c r="I49" s="99">
        <v>20510</v>
      </c>
      <c r="J49" s="99">
        <v>25830</v>
      </c>
      <c r="K49" s="57"/>
      <c r="L49" s="100" t="s">
        <v>272</v>
      </c>
      <c r="M49" s="52" t="s">
        <v>295</v>
      </c>
      <c r="N49" s="40">
        <v>0</v>
      </c>
      <c r="O49" s="53">
        <v>504</v>
      </c>
      <c r="P49" s="40" t="s">
        <v>325</v>
      </c>
      <c r="R49" s="101">
        <v>18000</v>
      </c>
      <c r="S49" s="101">
        <f>0.9*T49</f>
        <v>14400</v>
      </c>
      <c r="T49" s="54">
        <v>16000</v>
      </c>
      <c r="U49" s="103">
        <f>T49</f>
        <v>16000</v>
      </c>
      <c r="V49" s="104">
        <f>U49*1.266</f>
        <v>20256</v>
      </c>
      <c r="W49" s="40">
        <v>0</v>
      </c>
    </row>
    <row r="50" spans="1:29" s="40" customFormat="1" ht="14.45" customHeight="1" x14ac:dyDescent="0.25">
      <c r="A50" s="51" t="s">
        <v>328</v>
      </c>
      <c r="B50" s="56" t="s">
        <v>103</v>
      </c>
      <c r="C50" s="94" t="s">
        <v>54</v>
      </c>
      <c r="D50" s="95" t="s">
        <v>308</v>
      </c>
      <c r="E50" s="96" t="s">
        <v>114</v>
      </c>
      <c r="F50" s="97" t="s">
        <v>270</v>
      </c>
      <c r="G50" s="98">
        <v>18510</v>
      </c>
      <c r="H50" s="99">
        <v>20510</v>
      </c>
      <c r="I50" s="99">
        <v>20510</v>
      </c>
      <c r="J50" s="99">
        <v>25830</v>
      </c>
      <c r="K50" s="57"/>
      <c r="L50" s="100" t="s">
        <v>272</v>
      </c>
      <c r="M50" s="52" t="s">
        <v>295</v>
      </c>
      <c r="N50" s="40">
        <v>0</v>
      </c>
      <c r="O50" s="53">
        <v>504</v>
      </c>
      <c r="P50" s="40" t="s">
        <v>325</v>
      </c>
      <c r="R50" s="101">
        <v>18000</v>
      </c>
      <c r="S50" s="101">
        <f>0.9*T50</f>
        <v>18900</v>
      </c>
      <c r="T50" s="54">
        <v>21000</v>
      </c>
      <c r="U50" s="103">
        <f>T50</f>
        <v>21000</v>
      </c>
      <c r="V50" s="104">
        <f>U50*1.266</f>
        <v>26586</v>
      </c>
      <c r="W50" s="40">
        <v>0</v>
      </c>
    </row>
    <row r="51" spans="1:29" s="40" customFormat="1" ht="14.45" customHeight="1" x14ac:dyDescent="0.25">
      <c r="A51" s="47" t="s">
        <v>86</v>
      </c>
      <c r="B51" s="88"/>
      <c r="C51" s="88"/>
      <c r="D51" s="88"/>
      <c r="E51" s="210"/>
      <c r="F51" s="211"/>
      <c r="G51" s="88"/>
      <c r="H51" s="88"/>
      <c r="I51" s="88"/>
      <c r="J51" s="88"/>
      <c r="K51" s="57"/>
      <c r="L51" s="89" t="s">
        <v>48</v>
      </c>
      <c r="M51" s="89" t="s">
        <v>261</v>
      </c>
      <c r="N51" s="90" t="s">
        <v>51</v>
      </c>
      <c r="O51" s="91" t="s">
        <v>50</v>
      </c>
      <c r="P51" s="91" t="s">
        <v>262</v>
      </c>
      <c r="Q51" s="91" t="s">
        <v>263</v>
      </c>
      <c r="R51" s="91" t="s">
        <v>264</v>
      </c>
      <c r="S51" s="92" t="s">
        <v>52</v>
      </c>
      <c r="T51" s="92" t="s">
        <v>53</v>
      </c>
      <c r="U51" s="92" t="s">
        <v>265</v>
      </c>
      <c r="V51" s="92" t="s">
        <v>266</v>
      </c>
      <c r="W51" s="92" t="s">
        <v>267</v>
      </c>
      <c r="X51" s="92" t="s">
        <v>268</v>
      </c>
      <c r="Y51" s="92" t="s">
        <v>52</v>
      </c>
      <c r="Z51" s="92" t="s">
        <v>53</v>
      </c>
      <c r="AA51" s="92" t="s">
        <v>265</v>
      </c>
      <c r="AB51" s="92" t="s">
        <v>266</v>
      </c>
      <c r="AC51" s="93" t="s">
        <v>269</v>
      </c>
    </row>
    <row r="52" spans="1:29" s="40" customFormat="1" ht="18.75" x14ac:dyDescent="0.25">
      <c r="A52" s="51" t="s">
        <v>81</v>
      </c>
      <c r="B52" s="56" t="s">
        <v>19</v>
      </c>
      <c r="C52" s="94" t="s">
        <v>54</v>
      </c>
      <c r="D52" s="95" t="s">
        <v>308</v>
      </c>
      <c r="E52" s="96" t="s">
        <v>114</v>
      </c>
      <c r="F52" s="97" t="s">
        <v>270</v>
      </c>
      <c r="G52" s="98" t="e">
        <f t="shared" ref="G52:G57" si="16">CEILING(S52+W52+X52+O52+N52+Y52,10)</f>
        <v>#N/A</v>
      </c>
      <c r="H52" s="99" t="e">
        <f t="shared" ref="H52:H57" si="17">CEILING(T52+W52+X52+O52+N52+Z52,10)</f>
        <v>#N/A</v>
      </c>
      <c r="I52" s="99" t="e">
        <f t="shared" ref="I52:I57" si="18">CEILING(U52+W52+X52+O52+N52+AA52,10)</f>
        <v>#N/A</v>
      </c>
      <c r="J52" s="99" t="e">
        <f t="shared" ref="J52:J57" si="19">CEILING(V52+W52+X52+O52+N52+AB52,10)</f>
        <v>#N/A</v>
      </c>
      <c r="K52" s="57"/>
      <c r="L52" s="100" t="s">
        <v>272</v>
      </c>
      <c r="M52" s="52" t="s">
        <v>294</v>
      </c>
      <c r="N52" s="40">
        <v>0</v>
      </c>
      <c r="O52" s="53" t="e">
        <f>VLOOKUP(B52,DRAYAGE!$A$1:$C$6,3,FALSE)</f>
        <v>#N/A</v>
      </c>
      <c r="P52" s="40" t="s">
        <v>301</v>
      </c>
      <c r="S52" s="101">
        <f t="shared" ref="S52:S57" si="20">0.9*T52</f>
        <v>11700</v>
      </c>
      <c r="T52" s="54">
        <f t="shared" ref="T52:T57" si="21">T36</f>
        <v>13000</v>
      </c>
      <c r="U52" s="103">
        <f t="shared" si="6"/>
        <v>13000</v>
      </c>
      <c r="V52" s="104">
        <f t="shared" ref="V52:V57" si="22">U52*1.266</f>
        <v>16458</v>
      </c>
      <c r="X52" s="40">
        <v>0</v>
      </c>
    </row>
    <row r="53" spans="1:29" s="40" customFormat="1" ht="14.45" customHeight="1" x14ac:dyDescent="0.25">
      <c r="A53" s="51" t="s">
        <v>55</v>
      </c>
      <c r="B53" s="56" t="s">
        <v>19</v>
      </c>
      <c r="C53" s="94" t="s">
        <v>54</v>
      </c>
      <c r="D53" s="95" t="s">
        <v>308</v>
      </c>
      <c r="E53" s="96" t="s">
        <v>114</v>
      </c>
      <c r="F53" s="97" t="s">
        <v>270</v>
      </c>
      <c r="G53" s="98" t="e">
        <f t="shared" si="16"/>
        <v>#N/A</v>
      </c>
      <c r="H53" s="99" t="e">
        <f t="shared" si="17"/>
        <v>#N/A</v>
      </c>
      <c r="I53" s="99" t="e">
        <f t="shared" si="18"/>
        <v>#N/A</v>
      </c>
      <c r="J53" s="99" t="e">
        <f t="shared" si="19"/>
        <v>#N/A</v>
      </c>
      <c r="K53" s="57"/>
      <c r="L53" s="100" t="s">
        <v>272</v>
      </c>
      <c r="M53" s="52" t="s">
        <v>294</v>
      </c>
      <c r="N53" s="40">
        <v>0</v>
      </c>
      <c r="O53" s="53" t="e">
        <f>VLOOKUP(B53,DRAYAGE!$A$1:$C$6,3,FALSE)</f>
        <v>#N/A</v>
      </c>
      <c r="P53" s="40" t="s">
        <v>301</v>
      </c>
      <c r="S53" s="101">
        <f t="shared" si="20"/>
        <v>13500</v>
      </c>
      <c r="T53" s="54">
        <f t="shared" si="21"/>
        <v>15000</v>
      </c>
      <c r="U53" s="103">
        <f t="shared" si="6"/>
        <v>15000</v>
      </c>
      <c r="V53" s="104">
        <f t="shared" si="22"/>
        <v>18990</v>
      </c>
      <c r="X53" s="40">
        <v>0</v>
      </c>
    </row>
    <row r="54" spans="1:29" s="40" customFormat="1" ht="14.45" customHeight="1" x14ac:dyDescent="0.25">
      <c r="A54" s="51" t="s">
        <v>59</v>
      </c>
      <c r="B54" s="56" t="s">
        <v>19</v>
      </c>
      <c r="C54" s="94" t="s">
        <v>54</v>
      </c>
      <c r="D54" s="95" t="s">
        <v>308</v>
      </c>
      <c r="E54" s="96" t="s">
        <v>114</v>
      </c>
      <c r="F54" s="97" t="s">
        <v>270</v>
      </c>
      <c r="G54" s="98" t="e">
        <f t="shared" si="16"/>
        <v>#N/A</v>
      </c>
      <c r="H54" s="99" t="e">
        <f t="shared" si="17"/>
        <v>#N/A</v>
      </c>
      <c r="I54" s="99" t="e">
        <f t="shared" si="18"/>
        <v>#N/A</v>
      </c>
      <c r="J54" s="99" t="e">
        <f t="shared" si="19"/>
        <v>#N/A</v>
      </c>
      <c r="K54" s="57"/>
      <c r="L54" s="100" t="s">
        <v>272</v>
      </c>
      <c r="M54" s="52" t="s">
        <v>294</v>
      </c>
      <c r="N54" s="40">
        <v>0</v>
      </c>
      <c r="O54" s="53" t="e">
        <f>VLOOKUP(B54,DRAYAGE!$A$1:$C$6,3,FALSE)</f>
        <v>#N/A</v>
      </c>
      <c r="P54" s="40" t="s">
        <v>301</v>
      </c>
      <c r="S54" s="101">
        <f t="shared" si="20"/>
        <v>11700</v>
      </c>
      <c r="T54" s="54">
        <f t="shared" si="21"/>
        <v>13000</v>
      </c>
      <c r="U54" s="103">
        <f t="shared" si="6"/>
        <v>13000</v>
      </c>
      <c r="V54" s="104">
        <f t="shared" si="22"/>
        <v>16458</v>
      </c>
      <c r="X54" s="40">
        <v>0</v>
      </c>
    </row>
    <row r="55" spans="1:29" s="40" customFormat="1" ht="18.75" x14ac:dyDescent="0.25">
      <c r="A55" s="51" t="s">
        <v>60</v>
      </c>
      <c r="B55" s="56" t="s">
        <v>19</v>
      </c>
      <c r="C55" s="94" t="s">
        <v>54</v>
      </c>
      <c r="D55" s="95" t="s">
        <v>308</v>
      </c>
      <c r="E55" s="96" t="s">
        <v>114</v>
      </c>
      <c r="F55" s="97" t="s">
        <v>270</v>
      </c>
      <c r="G55" s="98" t="e">
        <f t="shared" si="16"/>
        <v>#N/A</v>
      </c>
      <c r="H55" s="99" t="e">
        <f t="shared" si="17"/>
        <v>#N/A</v>
      </c>
      <c r="I55" s="99" t="e">
        <f t="shared" si="18"/>
        <v>#N/A</v>
      </c>
      <c r="J55" s="99" t="e">
        <f t="shared" si="19"/>
        <v>#N/A</v>
      </c>
      <c r="K55" s="57"/>
      <c r="L55" s="100" t="s">
        <v>272</v>
      </c>
      <c r="M55" s="52" t="s">
        <v>294</v>
      </c>
      <c r="N55" s="40">
        <v>0</v>
      </c>
      <c r="O55" s="53" t="e">
        <f>VLOOKUP(B55,DRAYAGE!$A$1:$C$6,3,FALSE)</f>
        <v>#N/A</v>
      </c>
      <c r="P55" s="40" t="s">
        <v>301</v>
      </c>
      <c r="S55" s="101">
        <f t="shared" si="20"/>
        <v>17100</v>
      </c>
      <c r="T55" s="54">
        <f t="shared" si="21"/>
        <v>19000</v>
      </c>
      <c r="U55" s="103">
        <f t="shared" si="6"/>
        <v>19000</v>
      </c>
      <c r="V55" s="104">
        <f t="shared" si="22"/>
        <v>24054</v>
      </c>
      <c r="X55" s="40">
        <v>0</v>
      </c>
    </row>
    <row r="56" spans="1:29" s="40" customFormat="1" ht="14.45" customHeight="1" x14ac:dyDescent="0.25">
      <c r="A56" s="51" t="s">
        <v>61</v>
      </c>
      <c r="B56" s="56" t="s">
        <v>19</v>
      </c>
      <c r="C56" s="94" t="s">
        <v>54</v>
      </c>
      <c r="D56" s="95" t="s">
        <v>308</v>
      </c>
      <c r="E56" s="96" t="s">
        <v>114</v>
      </c>
      <c r="F56" s="97" t="s">
        <v>270</v>
      </c>
      <c r="G56" s="98" t="e">
        <f t="shared" si="16"/>
        <v>#N/A</v>
      </c>
      <c r="H56" s="99" t="e">
        <f t="shared" si="17"/>
        <v>#N/A</v>
      </c>
      <c r="I56" s="99" t="e">
        <f t="shared" si="18"/>
        <v>#N/A</v>
      </c>
      <c r="J56" s="99" t="e">
        <f t="shared" si="19"/>
        <v>#N/A</v>
      </c>
      <c r="K56" s="57"/>
      <c r="L56" s="100" t="s">
        <v>272</v>
      </c>
      <c r="M56" s="52" t="s">
        <v>294</v>
      </c>
      <c r="N56" s="40">
        <v>0</v>
      </c>
      <c r="O56" s="53" t="e">
        <f>VLOOKUP(B56,DRAYAGE!$A$1:$C$6,3,FALSE)</f>
        <v>#N/A</v>
      </c>
      <c r="P56" s="40" t="s">
        <v>301</v>
      </c>
      <c r="S56" s="101">
        <f t="shared" si="20"/>
        <v>11700</v>
      </c>
      <c r="T56" s="54">
        <f t="shared" si="21"/>
        <v>13000</v>
      </c>
      <c r="U56" s="103">
        <f t="shared" si="6"/>
        <v>13000</v>
      </c>
      <c r="V56" s="104">
        <f t="shared" si="22"/>
        <v>16458</v>
      </c>
      <c r="X56" s="40">
        <v>0</v>
      </c>
    </row>
    <row r="57" spans="1:29" s="40" customFormat="1" ht="18.75" x14ac:dyDescent="0.25">
      <c r="A57" s="51" t="s">
        <v>273</v>
      </c>
      <c r="B57" s="56" t="s">
        <v>19</v>
      </c>
      <c r="C57" s="94" t="s">
        <v>54</v>
      </c>
      <c r="D57" s="95" t="s">
        <v>308</v>
      </c>
      <c r="E57" s="96" t="s">
        <v>114</v>
      </c>
      <c r="F57" s="97" t="s">
        <v>270</v>
      </c>
      <c r="G57" s="98" t="e">
        <f t="shared" si="16"/>
        <v>#N/A</v>
      </c>
      <c r="H57" s="99" t="e">
        <f t="shared" si="17"/>
        <v>#N/A</v>
      </c>
      <c r="I57" s="99" t="e">
        <f t="shared" si="18"/>
        <v>#N/A</v>
      </c>
      <c r="J57" s="99" t="e">
        <f t="shared" si="19"/>
        <v>#N/A</v>
      </c>
      <c r="K57" s="57"/>
      <c r="L57" s="100" t="s">
        <v>272</v>
      </c>
      <c r="M57" s="52" t="s">
        <v>294</v>
      </c>
      <c r="N57" s="40">
        <v>0</v>
      </c>
      <c r="O57" s="53" t="e">
        <f>VLOOKUP(B57,DRAYAGE!$A$1:$C$6,3,FALSE)</f>
        <v>#N/A</v>
      </c>
      <c r="P57" s="40" t="s">
        <v>301</v>
      </c>
      <c r="S57" s="101">
        <f t="shared" si="20"/>
        <v>17100</v>
      </c>
      <c r="T57" s="54">
        <f t="shared" si="21"/>
        <v>19000</v>
      </c>
      <c r="U57" s="103">
        <f t="shared" si="6"/>
        <v>19000</v>
      </c>
      <c r="V57" s="104">
        <f t="shared" si="22"/>
        <v>24054</v>
      </c>
      <c r="X57" s="40">
        <v>0</v>
      </c>
    </row>
    <row r="58" spans="1:29" s="40" customFormat="1" ht="14.45" customHeight="1" x14ac:dyDescent="0.25">
      <c r="A58" s="212" t="s">
        <v>271</v>
      </c>
      <c r="B58" s="212"/>
      <c r="C58" s="212"/>
      <c r="D58" s="212"/>
      <c r="E58" s="212"/>
      <c r="F58" s="212"/>
      <c r="G58" s="212"/>
      <c r="H58" s="212"/>
      <c r="I58" s="212"/>
      <c r="J58" s="212"/>
      <c r="K58" s="57"/>
      <c r="L58" s="100"/>
      <c r="M58" s="100"/>
      <c r="S58" s="101"/>
      <c r="T58" s="102"/>
      <c r="U58" s="103"/>
      <c r="V58" s="104"/>
    </row>
    <row r="59" spans="1:29" s="32" customFormat="1" ht="12.75" x14ac:dyDescent="0.2">
      <c r="A59" s="31"/>
      <c r="B59" s="33"/>
      <c r="C59" s="33"/>
      <c r="D59" s="33"/>
      <c r="E59" s="33"/>
      <c r="F59" s="34"/>
      <c r="G59" s="34"/>
      <c r="H59" s="34"/>
      <c r="I59" s="35"/>
      <c r="J59" s="29"/>
      <c r="K59" s="29"/>
      <c r="L59" s="27"/>
      <c r="M59" s="27"/>
      <c r="N59" s="30"/>
      <c r="O59" s="30"/>
      <c r="P59" s="30"/>
      <c r="Q59" s="30"/>
      <c r="R59" s="30"/>
      <c r="S59" s="28"/>
      <c r="T59" s="28"/>
      <c r="U59" s="28"/>
      <c r="V59" s="28"/>
      <c r="W59" s="28"/>
    </row>
    <row r="60" spans="1:29" s="37" customFormat="1" ht="14.45" customHeight="1" x14ac:dyDescent="0.25">
      <c r="A60" s="180" t="s">
        <v>111</v>
      </c>
      <c r="B60" s="180"/>
      <c r="C60" s="180"/>
      <c r="D60" s="180"/>
      <c r="E60" s="180"/>
      <c r="F60" s="180"/>
      <c r="G60" s="180"/>
      <c r="H60" s="180"/>
      <c r="I60" s="180"/>
      <c r="J60" s="180"/>
      <c r="K60" s="57"/>
    </row>
    <row r="61" spans="1:29" s="37" customFormat="1" ht="14.45" customHeight="1" x14ac:dyDescent="0.25">
      <c r="A61" s="208" t="s">
        <v>112</v>
      </c>
      <c r="B61" s="208"/>
      <c r="C61" s="208"/>
      <c r="D61" s="208"/>
      <c r="E61" s="208"/>
      <c r="F61" s="208"/>
      <c r="G61" s="208"/>
      <c r="H61" s="208"/>
      <c r="I61" s="208"/>
      <c r="J61" s="208"/>
      <c r="K61" s="57"/>
    </row>
    <row r="62" spans="1:29" s="37" customFormat="1" ht="14.45" customHeight="1" x14ac:dyDescent="0.25">
      <c r="A62" s="186" t="s">
        <v>67</v>
      </c>
      <c r="B62" s="186"/>
      <c r="C62" s="186"/>
      <c r="D62" s="186"/>
      <c r="E62" s="186" t="s">
        <v>68</v>
      </c>
      <c r="F62" s="186"/>
      <c r="G62" s="186"/>
      <c r="H62" s="186"/>
      <c r="I62" s="186"/>
      <c r="J62" s="186"/>
      <c r="K62" s="57"/>
      <c r="L62" s="209" t="s">
        <v>113</v>
      </c>
      <c r="M62" s="209"/>
      <c r="N62" s="209"/>
      <c r="O62" s="209"/>
      <c r="P62" s="209"/>
      <c r="Q62" s="209"/>
    </row>
    <row r="63" spans="1:29" s="37" customFormat="1" ht="14.45" customHeight="1" x14ac:dyDescent="0.25">
      <c r="A63" s="196" t="s">
        <v>69</v>
      </c>
      <c r="B63" s="196"/>
      <c r="C63" s="196"/>
      <c r="D63" s="196"/>
      <c r="E63" s="58" t="s">
        <v>114</v>
      </c>
      <c r="F63" s="196" t="s">
        <v>70</v>
      </c>
      <c r="G63" s="196"/>
      <c r="H63" s="196"/>
      <c r="I63" s="196"/>
      <c r="J63" s="196"/>
      <c r="K63" s="57"/>
      <c r="L63" s="197" t="s">
        <v>115</v>
      </c>
      <c r="M63" s="197"/>
      <c r="N63" s="197"/>
      <c r="O63" s="197"/>
      <c r="P63" s="197"/>
      <c r="Q63" s="197"/>
    </row>
    <row r="64" spans="1:29" s="37" customFormat="1" ht="14.45" customHeight="1" x14ac:dyDescent="0.25">
      <c r="A64" s="196" t="s">
        <v>71</v>
      </c>
      <c r="B64" s="196"/>
      <c r="C64" s="196"/>
      <c r="D64" s="201"/>
      <c r="E64" s="58" t="s">
        <v>114</v>
      </c>
      <c r="F64" s="196" t="s">
        <v>116</v>
      </c>
      <c r="G64" s="196"/>
      <c r="H64" s="196"/>
      <c r="I64" s="196"/>
      <c r="J64" s="196"/>
      <c r="K64" s="57"/>
      <c r="L64" s="197"/>
      <c r="M64" s="197"/>
      <c r="N64" s="197"/>
      <c r="O64" s="197"/>
      <c r="P64" s="197"/>
      <c r="Q64" s="197"/>
    </row>
    <row r="65" spans="1:17" s="37" customFormat="1" ht="14.45" customHeight="1" x14ac:dyDescent="0.25">
      <c r="A65" s="196" t="s">
        <v>117</v>
      </c>
      <c r="B65" s="196"/>
      <c r="C65" s="196"/>
      <c r="D65" s="201"/>
      <c r="E65" s="58" t="s">
        <v>114</v>
      </c>
      <c r="F65" s="196" t="s">
        <v>306</v>
      </c>
      <c r="G65" s="196"/>
      <c r="H65" s="196"/>
      <c r="I65" s="196"/>
      <c r="J65" s="196"/>
      <c r="K65" s="57"/>
      <c r="L65" s="59" t="s">
        <v>118</v>
      </c>
      <c r="M65" s="129"/>
      <c r="N65" s="129"/>
      <c r="O65" s="129"/>
      <c r="P65" s="129"/>
      <c r="Q65" s="129"/>
    </row>
    <row r="66" spans="1:17" s="37" customFormat="1" ht="14.45" customHeight="1" x14ac:dyDescent="0.25">
      <c r="A66" s="196" t="s">
        <v>303</v>
      </c>
      <c r="B66" s="196"/>
      <c r="C66" s="196"/>
      <c r="D66" s="201"/>
      <c r="E66" s="58" t="s">
        <v>114</v>
      </c>
      <c r="F66" s="196" t="s">
        <v>304</v>
      </c>
      <c r="G66" s="196"/>
      <c r="H66" s="196"/>
      <c r="I66" s="196"/>
      <c r="J66" s="196"/>
      <c r="K66" s="57"/>
      <c r="L66" s="59" t="s">
        <v>118</v>
      </c>
      <c r="M66" s="129"/>
      <c r="N66" s="129"/>
      <c r="O66" s="129"/>
      <c r="P66" s="129"/>
      <c r="Q66" s="129"/>
    </row>
    <row r="67" spans="1:17" s="37" customFormat="1" ht="40.5" customHeight="1" x14ac:dyDescent="0.25">
      <c r="A67" s="248" t="s">
        <v>309</v>
      </c>
      <c r="B67" s="248"/>
      <c r="C67" s="248"/>
      <c r="D67" s="243"/>
      <c r="E67" s="123" t="s">
        <v>114</v>
      </c>
      <c r="F67" s="248" t="s">
        <v>310</v>
      </c>
      <c r="G67" s="248"/>
      <c r="H67" s="248"/>
      <c r="I67" s="248"/>
      <c r="J67" s="248"/>
      <c r="K67" s="57"/>
      <c r="L67" s="59" t="s">
        <v>118</v>
      </c>
      <c r="M67" s="129"/>
      <c r="N67" s="129"/>
      <c r="O67" s="129"/>
      <c r="P67" s="129"/>
      <c r="Q67" s="129"/>
    </row>
    <row r="68" spans="1:17" s="37" customFormat="1" ht="14.45" customHeight="1" x14ac:dyDescent="0.25">
      <c r="A68" s="196" t="s">
        <v>119</v>
      </c>
      <c r="B68" s="196"/>
      <c r="C68" s="196"/>
      <c r="D68" s="196"/>
      <c r="E68" s="58" t="s">
        <v>114</v>
      </c>
      <c r="F68" s="196" t="s">
        <v>120</v>
      </c>
      <c r="G68" s="196"/>
      <c r="H68" s="196"/>
      <c r="I68" s="196"/>
      <c r="J68" s="196"/>
      <c r="K68" s="57"/>
      <c r="L68" s="197" t="s">
        <v>121</v>
      </c>
      <c r="M68" s="197"/>
      <c r="N68" s="197"/>
      <c r="O68" s="197"/>
      <c r="P68" s="197"/>
      <c r="Q68" s="197"/>
    </row>
    <row r="69" spans="1:17" s="37" customFormat="1" ht="14.45" customHeight="1" x14ac:dyDescent="0.25">
      <c r="A69" s="196" t="s">
        <v>122</v>
      </c>
      <c r="B69" s="196"/>
      <c r="C69" s="196"/>
      <c r="D69" s="196"/>
      <c r="E69" s="58" t="s">
        <v>114</v>
      </c>
      <c r="F69" s="196" t="s">
        <v>123</v>
      </c>
      <c r="G69" s="196"/>
      <c r="H69" s="196"/>
      <c r="I69" s="196"/>
      <c r="J69" s="196"/>
      <c r="K69" s="57"/>
      <c r="L69" s="197"/>
      <c r="M69" s="197"/>
      <c r="N69" s="197"/>
      <c r="O69" s="197"/>
      <c r="P69" s="197"/>
      <c r="Q69" s="197"/>
    </row>
    <row r="70" spans="1:17" s="117" customFormat="1" ht="14.45" customHeight="1" x14ac:dyDescent="0.25">
      <c r="A70" s="246" t="s">
        <v>277</v>
      </c>
      <c r="B70" s="246"/>
      <c r="C70" s="246"/>
      <c r="D70" s="246"/>
      <c r="E70" s="115" t="s">
        <v>114</v>
      </c>
      <c r="F70" s="246" t="s">
        <v>278</v>
      </c>
      <c r="G70" s="246"/>
      <c r="H70" s="246"/>
      <c r="I70" s="246"/>
      <c r="J70" s="246"/>
      <c r="K70" s="116"/>
      <c r="L70" s="247"/>
      <c r="M70" s="247"/>
      <c r="N70" s="247"/>
      <c r="O70" s="247"/>
      <c r="P70" s="247"/>
      <c r="Q70" s="247"/>
    </row>
    <row r="71" spans="1:17" s="37" customFormat="1" ht="14.45" customHeight="1" x14ac:dyDescent="0.25">
      <c r="A71" s="196" t="s">
        <v>124</v>
      </c>
      <c r="B71" s="196"/>
      <c r="C71" s="196"/>
      <c r="D71" s="196"/>
      <c r="E71" s="58" t="s">
        <v>114</v>
      </c>
      <c r="F71" s="196" t="s">
        <v>125</v>
      </c>
      <c r="G71" s="196"/>
      <c r="H71" s="196"/>
      <c r="I71" s="196"/>
      <c r="J71" s="196"/>
      <c r="K71" s="57"/>
      <c r="L71" s="197"/>
      <c r="M71" s="197"/>
      <c r="N71" s="197"/>
      <c r="O71" s="197"/>
      <c r="P71" s="197"/>
      <c r="Q71" s="197"/>
    </row>
    <row r="72" spans="1:17" s="37" customFormat="1" ht="14.45" customHeight="1" x14ac:dyDescent="0.25">
      <c r="A72" s="196" t="s">
        <v>126</v>
      </c>
      <c r="B72" s="196"/>
      <c r="C72" s="196"/>
      <c r="D72" s="201"/>
      <c r="E72" s="58" t="s">
        <v>127</v>
      </c>
      <c r="F72" s="128" t="s">
        <v>128</v>
      </c>
      <c r="G72" s="185" t="s">
        <v>129</v>
      </c>
      <c r="H72" s="185"/>
      <c r="I72" s="185"/>
      <c r="J72" s="185"/>
      <c r="K72" s="57"/>
      <c r="L72" s="197" t="s">
        <v>130</v>
      </c>
      <c r="M72" s="197"/>
      <c r="N72" s="197"/>
      <c r="O72" s="197"/>
      <c r="P72" s="197"/>
      <c r="Q72" s="197"/>
    </row>
    <row r="73" spans="1:17" s="37" customFormat="1" ht="14.45" customHeight="1" x14ac:dyDescent="0.25">
      <c r="A73" s="196" t="s">
        <v>126</v>
      </c>
      <c r="B73" s="196"/>
      <c r="C73" s="196"/>
      <c r="D73" s="196"/>
      <c r="E73" s="58" t="s">
        <v>127</v>
      </c>
      <c r="F73" s="128" t="s">
        <v>131</v>
      </c>
      <c r="G73" s="185" t="s">
        <v>132</v>
      </c>
      <c r="H73" s="185"/>
      <c r="I73" s="185"/>
      <c r="J73" s="185"/>
      <c r="K73" s="57"/>
      <c r="L73" s="197" t="s">
        <v>130</v>
      </c>
      <c r="M73" s="197"/>
      <c r="N73" s="197"/>
      <c r="O73" s="197"/>
      <c r="P73" s="197"/>
      <c r="Q73" s="197"/>
    </row>
    <row r="74" spans="1:17" s="37" customFormat="1" ht="37.5" customHeight="1" x14ac:dyDescent="0.25">
      <c r="A74" s="243" t="s">
        <v>311</v>
      </c>
      <c r="B74" s="244"/>
      <c r="C74" s="244"/>
      <c r="D74" s="245"/>
      <c r="E74" s="243" t="s">
        <v>312</v>
      </c>
      <c r="F74" s="244"/>
      <c r="G74" s="244"/>
      <c r="H74" s="244"/>
      <c r="I74" s="244"/>
      <c r="J74" s="245"/>
      <c r="K74" s="57"/>
      <c r="L74" s="197"/>
      <c r="M74" s="197"/>
      <c r="N74" s="197"/>
      <c r="O74" s="197"/>
      <c r="P74" s="197"/>
      <c r="Q74" s="197"/>
    </row>
    <row r="75" spans="1:17" s="37" customFormat="1" ht="14.45" customHeight="1" x14ac:dyDescent="0.25">
      <c r="A75" s="180" t="s">
        <v>133</v>
      </c>
      <c r="B75" s="180"/>
      <c r="C75" s="180"/>
      <c r="D75" s="180"/>
      <c r="E75" s="180"/>
      <c r="F75" s="180"/>
      <c r="G75" s="180"/>
      <c r="H75" s="180"/>
      <c r="I75" s="180"/>
      <c r="J75" s="180"/>
      <c r="K75" s="57"/>
      <c r="L75" s="129"/>
      <c r="M75" s="129"/>
    </row>
    <row r="76" spans="1:17" s="37" customFormat="1" ht="14.45" customHeight="1" x14ac:dyDescent="0.2">
      <c r="A76" s="60" t="s">
        <v>134</v>
      </c>
      <c r="B76" s="60" t="s">
        <v>135</v>
      </c>
      <c r="C76" s="60" t="s">
        <v>136</v>
      </c>
      <c r="D76" s="193" t="s">
        <v>137</v>
      </c>
      <c r="E76" s="194"/>
      <c r="F76" s="195"/>
      <c r="G76" s="61" t="s">
        <v>138</v>
      </c>
      <c r="H76" s="60" t="s">
        <v>139</v>
      </c>
      <c r="I76" s="61" t="s">
        <v>140</v>
      </c>
      <c r="J76" s="61" t="s">
        <v>141</v>
      </c>
      <c r="K76" s="57"/>
      <c r="L76" s="129"/>
      <c r="M76" s="129"/>
    </row>
    <row r="77" spans="1:17" s="37" customFormat="1" ht="14.45" customHeight="1" x14ac:dyDescent="0.2">
      <c r="A77" s="62" t="s">
        <v>142</v>
      </c>
      <c r="B77" s="62" t="s">
        <v>49</v>
      </c>
      <c r="C77" s="62" t="s">
        <v>143</v>
      </c>
      <c r="D77" s="187" t="s">
        <v>144</v>
      </c>
      <c r="E77" s="188"/>
      <c r="F77" s="189"/>
      <c r="G77" s="63">
        <v>50</v>
      </c>
      <c r="H77" s="62" t="s">
        <v>145</v>
      </c>
      <c r="I77" s="63">
        <v>150</v>
      </c>
      <c r="J77" s="63" t="s">
        <v>110</v>
      </c>
      <c r="K77" s="57"/>
      <c r="L77" s="129"/>
      <c r="M77" s="129"/>
    </row>
    <row r="78" spans="1:17" s="37" customFormat="1" ht="14.45" customHeight="1" x14ac:dyDescent="0.2">
      <c r="A78" s="62" t="s">
        <v>142</v>
      </c>
      <c r="B78" s="62" t="s">
        <v>146</v>
      </c>
      <c r="C78" s="62" t="s">
        <v>147</v>
      </c>
      <c r="D78" s="187" t="s">
        <v>148</v>
      </c>
      <c r="E78" s="188"/>
      <c r="F78" s="189"/>
      <c r="G78" s="63">
        <v>3</v>
      </c>
      <c r="H78" s="62" t="s">
        <v>149</v>
      </c>
      <c r="I78" s="63">
        <v>3</v>
      </c>
      <c r="J78" s="63" t="s">
        <v>110</v>
      </c>
      <c r="K78" s="57"/>
      <c r="L78" s="129"/>
      <c r="M78" s="129"/>
    </row>
    <row r="79" spans="1:17" s="37" customFormat="1" ht="14.45" customHeight="1" x14ac:dyDescent="0.2">
      <c r="A79" s="62" t="s">
        <v>150</v>
      </c>
      <c r="B79" s="62" t="s">
        <v>146</v>
      </c>
      <c r="C79" s="62" t="s">
        <v>147</v>
      </c>
      <c r="D79" s="187" t="s">
        <v>151</v>
      </c>
      <c r="E79" s="188"/>
      <c r="F79" s="189"/>
      <c r="G79" s="63">
        <v>3</v>
      </c>
      <c r="H79" s="62" t="s">
        <v>152</v>
      </c>
      <c r="I79" s="63">
        <v>3</v>
      </c>
      <c r="J79" s="63" t="s">
        <v>110</v>
      </c>
      <c r="K79" s="57"/>
      <c r="L79" s="129"/>
      <c r="M79" s="129"/>
    </row>
    <row r="80" spans="1:17" s="37" customFormat="1" ht="14.45" customHeight="1" x14ac:dyDescent="0.2">
      <c r="A80" s="124" t="s">
        <v>173</v>
      </c>
      <c r="B80" s="124" t="s">
        <v>49</v>
      </c>
      <c r="C80" s="124" t="s">
        <v>143</v>
      </c>
      <c r="D80" s="240" t="s">
        <v>313</v>
      </c>
      <c r="E80" s="241"/>
      <c r="F80" s="242"/>
      <c r="G80" s="125">
        <v>75</v>
      </c>
      <c r="H80" s="124" t="s">
        <v>145</v>
      </c>
      <c r="I80" s="125">
        <f>75*3</f>
        <v>225</v>
      </c>
      <c r="J80" s="125" t="s">
        <v>314</v>
      </c>
      <c r="K80" s="57"/>
      <c r="L80" s="129"/>
      <c r="M80" s="129"/>
    </row>
    <row r="81" spans="1:13" s="37" customFormat="1" ht="14.45" customHeight="1" x14ac:dyDescent="0.2">
      <c r="A81" s="62" t="s">
        <v>142</v>
      </c>
      <c r="B81" s="62" t="s">
        <v>49</v>
      </c>
      <c r="C81" s="62" t="s">
        <v>143</v>
      </c>
      <c r="D81" s="187" t="s">
        <v>279</v>
      </c>
      <c r="E81" s="188"/>
      <c r="F81" s="189"/>
      <c r="G81" s="63">
        <v>150</v>
      </c>
      <c r="H81" s="62" t="s">
        <v>280</v>
      </c>
      <c r="I81" s="63" t="s">
        <v>153</v>
      </c>
      <c r="J81" s="63" t="s">
        <v>110</v>
      </c>
      <c r="K81" s="57"/>
      <c r="L81" s="129"/>
      <c r="M81" s="129"/>
    </row>
    <row r="82" spans="1:13" s="37" customFormat="1" ht="14.45" customHeight="1" x14ac:dyDescent="0.2">
      <c r="A82" s="62" t="s">
        <v>154</v>
      </c>
      <c r="B82" s="62" t="s">
        <v>49</v>
      </c>
      <c r="C82" s="62" t="s">
        <v>143</v>
      </c>
      <c r="D82" s="187" t="s">
        <v>155</v>
      </c>
      <c r="E82" s="188"/>
      <c r="F82" s="189"/>
      <c r="G82" s="63">
        <v>250</v>
      </c>
      <c r="H82" s="62" t="s">
        <v>49</v>
      </c>
      <c r="I82" s="63" t="s">
        <v>153</v>
      </c>
      <c r="J82" s="63" t="s">
        <v>110</v>
      </c>
      <c r="K82" s="57"/>
      <c r="L82" s="129"/>
      <c r="M82" s="129"/>
    </row>
    <row r="83" spans="1:13" s="37" customFormat="1" ht="14.45" customHeight="1" x14ac:dyDescent="0.2">
      <c r="A83" s="65" t="s">
        <v>156</v>
      </c>
      <c r="B83" s="65" t="s">
        <v>49</v>
      </c>
      <c r="C83" s="65" t="s">
        <v>143</v>
      </c>
      <c r="D83" s="187" t="s">
        <v>157</v>
      </c>
      <c r="E83" s="188"/>
      <c r="F83" s="189"/>
      <c r="G83" s="63">
        <v>250</v>
      </c>
      <c r="H83" s="62" t="s">
        <v>49</v>
      </c>
      <c r="I83" s="63" t="s">
        <v>153</v>
      </c>
      <c r="J83" s="63" t="s">
        <v>110</v>
      </c>
      <c r="K83" s="57"/>
      <c r="L83" s="129"/>
      <c r="M83" s="129"/>
    </row>
    <row r="84" spans="1:13" s="37" customFormat="1" ht="14.45" customHeight="1" x14ac:dyDescent="0.2">
      <c r="A84" s="62" t="s">
        <v>142</v>
      </c>
      <c r="B84" s="62" t="s">
        <v>49</v>
      </c>
      <c r="C84" s="62" t="s">
        <v>143</v>
      </c>
      <c r="D84" s="187" t="s">
        <v>281</v>
      </c>
      <c r="E84" s="188"/>
      <c r="F84" s="189"/>
      <c r="G84" s="63">
        <v>200</v>
      </c>
      <c r="H84" s="62" t="s">
        <v>280</v>
      </c>
      <c r="I84" s="63" t="s">
        <v>153</v>
      </c>
      <c r="J84" s="63" t="s">
        <v>110</v>
      </c>
      <c r="K84" s="57"/>
      <c r="L84" s="129"/>
      <c r="M84" s="129"/>
    </row>
    <row r="85" spans="1:13" s="37" customFormat="1" ht="14.45" customHeight="1" x14ac:dyDescent="0.2">
      <c r="A85" s="62" t="s">
        <v>142</v>
      </c>
      <c r="B85" s="62" t="s">
        <v>49</v>
      </c>
      <c r="C85" s="62" t="s">
        <v>143</v>
      </c>
      <c r="D85" s="187" t="s">
        <v>158</v>
      </c>
      <c r="E85" s="188"/>
      <c r="F85" s="189"/>
      <c r="G85" s="66">
        <v>150</v>
      </c>
      <c r="H85" s="62" t="s">
        <v>49</v>
      </c>
      <c r="I85" s="66" t="s">
        <v>153</v>
      </c>
      <c r="J85" s="63" t="s">
        <v>110</v>
      </c>
      <c r="K85" s="57"/>
      <c r="L85" s="129"/>
      <c r="M85" s="129"/>
    </row>
    <row r="86" spans="1:13" s="37" customFormat="1" ht="14.45" customHeight="1" x14ac:dyDescent="0.2">
      <c r="A86" s="62" t="s">
        <v>150</v>
      </c>
      <c r="B86" s="67" t="s">
        <v>49</v>
      </c>
      <c r="C86" s="62" t="s">
        <v>143</v>
      </c>
      <c r="D86" s="187" t="s">
        <v>159</v>
      </c>
      <c r="E86" s="188"/>
      <c r="F86" s="189"/>
      <c r="G86" s="68">
        <v>180</v>
      </c>
      <c r="H86" s="67" t="s">
        <v>49</v>
      </c>
      <c r="I86" s="68" t="s">
        <v>153</v>
      </c>
      <c r="J86" s="63" t="s">
        <v>110</v>
      </c>
      <c r="K86" s="57"/>
      <c r="L86" s="129"/>
      <c r="M86" s="129"/>
    </row>
    <row r="87" spans="1:13" s="37" customFormat="1" ht="14.45" customHeight="1" x14ac:dyDescent="0.2">
      <c r="A87" s="62" t="s">
        <v>160</v>
      </c>
      <c r="B87" s="67" t="s">
        <v>49</v>
      </c>
      <c r="C87" s="62" t="s">
        <v>143</v>
      </c>
      <c r="D87" s="187" t="s">
        <v>161</v>
      </c>
      <c r="E87" s="188"/>
      <c r="F87" s="189"/>
      <c r="G87" s="69">
        <v>47.9</v>
      </c>
      <c r="H87" s="67" t="s">
        <v>24</v>
      </c>
      <c r="I87" s="69">
        <v>47.9</v>
      </c>
      <c r="J87" s="63" t="s">
        <v>110</v>
      </c>
      <c r="K87" s="57"/>
      <c r="L87" s="129"/>
      <c r="M87" s="129"/>
    </row>
    <row r="88" spans="1:13" s="37" customFormat="1" ht="14.45" customHeight="1" x14ac:dyDescent="0.2">
      <c r="A88" s="62" t="s">
        <v>160</v>
      </c>
      <c r="B88" s="67" t="s">
        <v>49</v>
      </c>
      <c r="C88" s="62" t="s">
        <v>143</v>
      </c>
      <c r="D88" s="187" t="s">
        <v>161</v>
      </c>
      <c r="E88" s="188"/>
      <c r="F88" s="189"/>
      <c r="G88" s="69">
        <v>65.400000000000006</v>
      </c>
      <c r="H88" s="67" t="s">
        <v>162</v>
      </c>
      <c r="I88" s="69">
        <v>65.400000000000006</v>
      </c>
      <c r="J88" s="63" t="s">
        <v>110</v>
      </c>
      <c r="K88" s="57"/>
      <c r="L88" s="129"/>
      <c r="M88" s="129"/>
    </row>
    <row r="89" spans="1:13" s="37" customFormat="1" ht="14.1" customHeight="1" x14ac:dyDescent="0.2">
      <c r="A89" s="62" t="s">
        <v>163</v>
      </c>
      <c r="B89" s="67" t="s">
        <v>49</v>
      </c>
      <c r="C89" s="62" t="s">
        <v>143</v>
      </c>
      <c r="D89" s="187" t="s">
        <v>164</v>
      </c>
      <c r="E89" s="188"/>
      <c r="F89" s="189"/>
      <c r="G89" s="69">
        <v>48</v>
      </c>
      <c r="H89" s="67" t="s">
        <v>49</v>
      </c>
      <c r="I89" s="69">
        <v>48</v>
      </c>
      <c r="J89" s="63" t="s">
        <v>110</v>
      </c>
      <c r="K89" s="57"/>
      <c r="L89" s="129"/>
      <c r="M89" s="129"/>
    </row>
    <row r="90" spans="1:13" s="37" customFormat="1" ht="14.45" customHeight="1" x14ac:dyDescent="0.2">
      <c r="A90" s="62" t="s">
        <v>163</v>
      </c>
      <c r="B90" s="67" t="s">
        <v>49</v>
      </c>
      <c r="C90" s="62" t="s">
        <v>143</v>
      </c>
      <c r="D90" s="187" t="s">
        <v>165</v>
      </c>
      <c r="E90" s="188"/>
      <c r="F90" s="189"/>
      <c r="G90" s="69">
        <v>18</v>
      </c>
      <c r="H90" s="67" t="s">
        <v>49</v>
      </c>
      <c r="I90" s="69">
        <v>18</v>
      </c>
      <c r="J90" s="63" t="s">
        <v>110</v>
      </c>
      <c r="K90" s="57"/>
      <c r="L90" s="129"/>
      <c r="M90" s="129"/>
    </row>
    <row r="91" spans="1:13" s="37" customFormat="1" ht="14.45" customHeight="1" x14ac:dyDescent="0.2">
      <c r="A91" s="62" t="s">
        <v>163</v>
      </c>
      <c r="B91" s="67" t="s">
        <v>49</v>
      </c>
      <c r="C91" s="62" t="s">
        <v>143</v>
      </c>
      <c r="D91" s="187" t="s">
        <v>166</v>
      </c>
      <c r="E91" s="188"/>
      <c r="F91" s="189"/>
      <c r="G91" s="69">
        <v>42</v>
      </c>
      <c r="H91" s="67" t="s">
        <v>49</v>
      </c>
      <c r="I91" s="69">
        <v>42</v>
      </c>
      <c r="J91" s="63" t="s">
        <v>110</v>
      </c>
      <c r="K91" s="57"/>
      <c r="L91" s="129"/>
      <c r="M91" s="129"/>
    </row>
    <row r="92" spans="1:13" s="37" customFormat="1" ht="14.45" customHeight="1" x14ac:dyDescent="0.2">
      <c r="A92" s="62" t="s">
        <v>167</v>
      </c>
      <c r="B92" s="62" t="s">
        <v>49</v>
      </c>
      <c r="C92" s="62" t="s">
        <v>143</v>
      </c>
      <c r="D92" s="187" t="s">
        <v>168</v>
      </c>
      <c r="E92" s="188"/>
      <c r="F92" s="189"/>
      <c r="G92" s="66">
        <v>54</v>
      </c>
      <c r="H92" s="62" t="s">
        <v>49</v>
      </c>
      <c r="I92" s="66">
        <v>54</v>
      </c>
      <c r="J92" s="63" t="s">
        <v>110</v>
      </c>
      <c r="K92" s="57"/>
      <c r="L92" s="129"/>
      <c r="M92" s="129"/>
    </row>
    <row r="93" spans="1:13" s="37" customFormat="1" ht="14.45" customHeight="1" x14ac:dyDescent="0.2">
      <c r="A93" s="67" t="s">
        <v>169</v>
      </c>
      <c r="B93" s="67" t="s">
        <v>49</v>
      </c>
      <c r="C93" s="67" t="s">
        <v>147</v>
      </c>
      <c r="D93" s="187" t="s">
        <v>170</v>
      </c>
      <c r="E93" s="188"/>
      <c r="F93" s="189"/>
      <c r="G93" s="70">
        <v>35</v>
      </c>
      <c r="H93" s="70" t="s">
        <v>280</v>
      </c>
      <c r="I93" s="70">
        <v>35</v>
      </c>
      <c r="J93" s="63" t="s">
        <v>110</v>
      </c>
      <c r="K93" s="57"/>
      <c r="L93" s="129"/>
      <c r="M93" s="129"/>
    </row>
    <row r="94" spans="1:13" s="37" customFormat="1" ht="14.45" customHeight="1" x14ac:dyDescent="0.2">
      <c r="A94" s="62" t="s">
        <v>142</v>
      </c>
      <c r="B94" s="62" t="s">
        <v>49</v>
      </c>
      <c r="C94" s="62" t="s">
        <v>143</v>
      </c>
      <c r="D94" s="187" t="s">
        <v>171</v>
      </c>
      <c r="E94" s="188"/>
      <c r="F94" s="189"/>
      <c r="G94" s="63">
        <v>85</v>
      </c>
      <c r="H94" s="62" t="s">
        <v>172</v>
      </c>
      <c r="I94" s="63" t="s">
        <v>153</v>
      </c>
      <c r="J94" s="63" t="s">
        <v>110</v>
      </c>
      <c r="K94" s="57"/>
      <c r="L94" s="129"/>
      <c r="M94" s="129"/>
    </row>
    <row r="95" spans="1:13" s="37" customFormat="1" ht="14.45" customHeight="1" x14ac:dyDescent="0.2">
      <c r="A95" s="62" t="s">
        <v>173</v>
      </c>
      <c r="B95" s="62" t="s">
        <v>146</v>
      </c>
      <c r="C95" s="62" t="s">
        <v>147</v>
      </c>
      <c r="D95" s="187" t="s">
        <v>174</v>
      </c>
      <c r="E95" s="188"/>
      <c r="F95" s="189"/>
      <c r="G95" s="63">
        <v>4</v>
      </c>
      <c r="H95" s="62" t="s">
        <v>149</v>
      </c>
      <c r="I95" s="63">
        <v>4</v>
      </c>
      <c r="J95" s="63" t="s">
        <v>110</v>
      </c>
      <c r="K95" s="57"/>
      <c r="L95" s="129"/>
      <c r="M95" s="129"/>
    </row>
    <row r="96" spans="1:13" s="37" customFormat="1" ht="14.45" customHeight="1" x14ac:dyDescent="0.2">
      <c r="A96" s="62" t="s">
        <v>173</v>
      </c>
      <c r="B96" s="62" t="s">
        <v>49</v>
      </c>
      <c r="C96" s="62" t="s">
        <v>143</v>
      </c>
      <c r="D96" s="187" t="s">
        <v>175</v>
      </c>
      <c r="E96" s="188"/>
      <c r="F96" s="189"/>
      <c r="G96" s="71" t="s">
        <v>210</v>
      </c>
      <c r="H96" s="62" t="s">
        <v>24</v>
      </c>
      <c r="I96" s="66" t="s">
        <v>153</v>
      </c>
      <c r="J96" s="63" t="s">
        <v>282</v>
      </c>
      <c r="K96" s="57"/>
      <c r="L96" s="129"/>
      <c r="M96" s="129"/>
    </row>
    <row r="97" spans="1:16" s="37" customFormat="1" ht="14.45" customHeight="1" x14ac:dyDescent="0.2">
      <c r="A97" s="62" t="s">
        <v>173</v>
      </c>
      <c r="B97" s="62" t="s">
        <v>49</v>
      </c>
      <c r="C97" s="62" t="s">
        <v>143</v>
      </c>
      <c r="D97" s="187" t="s">
        <v>176</v>
      </c>
      <c r="E97" s="188"/>
      <c r="F97" s="189"/>
      <c r="G97" s="66" t="s">
        <v>210</v>
      </c>
      <c r="H97" s="62" t="s">
        <v>162</v>
      </c>
      <c r="I97" s="66" t="s">
        <v>153</v>
      </c>
      <c r="J97" s="63" t="s">
        <v>282</v>
      </c>
      <c r="K97" s="57"/>
      <c r="L97" s="129"/>
      <c r="M97" s="129"/>
    </row>
    <row r="98" spans="1:16" s="37" customFormat="1" ht="14.45" customHeight="1" x14ac:dyDescent="0.2">
      <c r="A98" s="62" t="s">
        <v>173</v>
      </c>
      <c r="B98" s="62" t="s">
        <v>146</v>
      </c>
      <c r="C98" s="62" t="s">
        <v>147</v>
      </c>
      <c r="D98" s="187" t="s">
        <v>177</v>
      </c>
      <c r="E98" s="188"/>
      <c r="F98" s="189"/>
      <c r="G98" s="63">
        <v>2</v>
      </c>
      <c r="H98" s="62" t="s">
        <v>149</v>
      </c>
      <c r="I98" s="63">
        <v>2</v>
      </c>
      <c r="J98" s="63" t="s">
        <v>110</v>
      </c>
      <c r="K98" s="57"/>
      <c r="L98" s="129"/>
      <c r="M98" s="129"/>
    </row>
    <row r="99" spans="1:16" s="37" customFormat="1" ht="14.45" customHeight="1" x14ac:dyDescent="0.2">
      <c r="A99" s="62" t="s">
        <v>173</v>
      </c>
      <c r="B99" s="62" t="s">
        <v>146</v>
      </c>
      <c r="C99" s="62" t="s">
        <v>283</v>
      </c>
      <c r="D99" s="187" t="s">
        <v>284</v>
      </c>
      <c r="E99" s="188"/>
      <c r="F99" s="189"/>
      <c r="G99" s="63">
        <v>10</v>
      </c>
      <c r="H99" s="62" t="s">
        <v>285</v>
      </c>
      <c r="I99" s="63" t="s">
        <v>153</v>
      </c>
      <c r="J99" s="63" t="s">
        <v>110</v>
      </c>
      <c r="K99" s="57"/>
      <c r="L99" s="129"/>
      <c r="M99" s="129"/>
    </row>
    <row r="100" spans="1:16" s="37" customFormat="1" ht="14.45" customHeight="1" x14ac:dyDescent="0.2">
      <c r="A100" s="62" t="s">
        <v>142</v>
      </c>
      <c r="B100" s="62" t="s">
        <v>49</v>
      </c>
      <c r="C100" s="62" t="s">
        <v>143</v>
      </c>
      <c r="D100" s="187" t="s">
        <v>178</v>
      </c>
      <c r="E100" s="188"/>
      <c r="F100" s="189"/>
      <c r="G100" s="63">
        <v>50</v>
      </c>
      <c r="H100" s="62" t="s">
        <v>145</v>
      </c>
      <c r="I100" s="63" t="s">
        <v>153</v>
      </c>
      <c r="J100" s="63" t="s">
        <v>110</v>
      </c>
      <c r="K100" s="57"/>
      <c r="L100" s="129"/>
      <c r="M100" s="129"/>
    </row>
    <row r="101" spans="1:16" s="37" customFormat="1" ht="14.45" customHeight="1" x14ac:dyDescent="0.2">
      <c r="A101" s="62" t="s">
        <v>173</v>
      </c>
      <c r="B101" s="62" t="s">
        <v>49</v>
      </c>
      <c r="C101" s="62" t="s">
        <v>143</v>
      </c>
      <c r="D101" s="187" t="s">
        <v>179</v>
      </c>
      <c r="E101" s="188"/>
      <c r="F101" s="189"/>
      <c r="G101" s="63">
        <v>175</v>
      </c>
      <c r="H101" s="62" t="s">
        <v>49</v>
      </c>
      <c r="I101" s="63" t="s">
        <v>153</v>
      </c>
      <c r="J101" s="63" t="s">
        <v>110</v>
      </c>
      <c r="K101" s="57"/>
      <c r="L101" s="129"/>
      <c r="M101" s="129"/>
    </row>
    <row r="102" spans="1:16" s="37" customFormat="1" ht="14.45" customHeight="1" x14ac:dyDescent="0.2">
      <c r="A102" s="62" t="s">
        <v>142</v>
      </c>
      <c r="B102" s="62" t="s">
        <v>49</v>
      </c>
      <c r="C102" s="62" t="s">
        <v>147</v>
      </c>
      <c r="D102" s="187" t="s">
        <v>180</v>
      </c>
      <c r="E102" s="188"/>
      <c r="F102" s="189"/>
      <c r="G102" s="63">
        <v>40</v>
      </c>
      <c r="H102" s="62" t="s">
        <v>181</v>
      </c>
      <c r="I102" s="63" t="s">
        <v>153</v>
      </c>
      <c r="J102" s="63" t="s">
        <v>110</v>
      </c>
      <c r="K102" s="57"/>
      <c r="L102" s="129"/>
      <c r="M102" s="129"/>
    </row>
    <row r="103" spans="1:16" s="37" customFormat="1" ht="14.45" customHeight="1" x14ac:dyDescent="0.2">
      <c r="A103" s="62" t="s">
        <v>173</v>
      </c>
      <c r="B103" s="62" t="s">
        <v>146</v>
      </c>
      <c r="C103" s="62" t="s">
        <v>147</v>
      </c>
      <c r="D103" s="187" t="s">
        <v>182</v>
      </c>
      <c r="E103" s="188"/>
      <c r="F103" s="189"/>
      <c r="G103" s="63">
        <v>7.5</v>
      </c>
      <c r="H103" s="62" t="s">
        <v>152</v>
      </c>
      <c r="I103" s="63">
        <v>75</v>
      </c>
      <c r="J103" s="63" t="s">
        <v>110</v>
      </c>
      <c r="K103" s="57"/>
      <c r="L103" s="129"/>
      <c r="M103" s="129"/>
    </row>
    <row r="104" spans="1:16" s="37" customFormat="1" ht="14.45" customHeight="1" x14ac:dyDescent="0.2">
      <c r="A104" s="62" t="s">
        <v>142</v>
      </c>
      <c r="B104" s="62" t="s">
        <v>146</v>
      </c>
      <c r="C104" s="62" t="s">
        <v>147</v>
      </c>
      <c r="D104" s="187" t="s">
        <v>183</v>
      </c>
      <c r="E104" s="188"/>
      <c r="F104" s="189"/>
      <c r="G104" s="63">
        <v>20</v>
      </c>
      <c r="H104" s="62" t="s">
        <v>184</v>
      </c>
      <c r="I104" s="63" t="s">
        <v>153</v>
      </c>
      <c r="J104" s="63" t="s">
        <v>110</v>
      </c>
      <c r="K104" s="57"/>
      <c r="L104" s="129"/>
      <c r="M104" s="129"/>
    </row>
    <row r="105" spans="1:16" s="37" customFormat="1" ht="14.45" customHeight="1" x14ac:dyDescent="0.2">
      <c r="A105" s="62" t="s">
        <v>142</v>
      </c>
      <c r="B105" s="62" t="s">
        <v>146</v>
      </c>
      <c r="C105" s="62" t="s">
        <v>147</v>
      </c>
      <c r="D105" s="187" t="s">
        <v>185</v>
      </c>
      <c r="E105" s="188"/>
      <c r="F105" s="189"/>
      <c r="G105" s="63">
        <v>25</v>
      </c>
      <c r="H105" s="62" t="s">
        <v>184</v>
      </c>
      <c r="I105" s="63" t="s">
        <v>153</v>
      </c>
      <c r="J105" s="63" t="s">
        <v>110</v>
      </c>
      <c r="K105" s="57"/>
      <c r="L105" s="129"/>
      <c r="M105" s="129"/>
    </row>
    <row r="106" spans="1:16" s="37" customFormat="1" ht="14.45" customHeight="1" x14ac:dyDescent="0.2">
      <c r="A106" s="62" t="s">
        <v>142</v>
      </c>
      <c r="B106" s="62" t="s">
        <v>142</v>
      </c>
      <c r="C106" s="62" t="s">
        <v>147</v>
      </c>
      <c r="D106" s="187" t="s">
        <v>186</v>
      </c>
      <c r="E106" s="188"/>
      <c r="F106" s="189"/>
      <c r="G106" s="68">
        <v>75</v>
      </c>
      <c r="H106" s="62" t="s">
        <v>181</v>
      </c>
      <c r="I106" s="63" t="s">
        <v>153</v>
      </c>
      <c r="J106" s="63" t="s">
        <v>110</v>
      </c>
      <c r="K106" s="57"/>
      <c r="L106" s="129"/>
      <c r="M106" s="129"/>
    </row>
    <row r="107" spans="1:16" s="37" customFormat="1" ht="14.45" customHeight="1" x14ac:dyDescent="0.2">
      <c r="A107" s="62" t="s">
        <v>142</v>
      </c>
      <c r="B107" s="62" t="s">
        <v>142</v>
      </c>
      <c r="C107" s="62" t="s">
        <v>147</v>
      </c>
      <c r="D107" s="187" t="s">
        <v>187</v>
      </c>
      <c r="E107" s="188"/>
      <c r="F107" s="189"/>
      <c r="G107" s="63">
        <v>35</v>
      </c>
      <c r="H107" s="62" t="s">
        <v>181</v>
      </c>
      <c r="I107" s="63" t="s">
        <v>153</v>
      </c>
      <c r="J107" s="63" t="s">
        <v>110</v>
      </c>
      <c r="K107" s="57"/>
      <c r="L107" s="129"/>
      <c r="M107" s="129"/>
    </row>
    <row r="108" spans="1:16" s="37" customFormat="1" ht="14.45" customHeight="1" x14ac:dyDescent="0.2">
      <c r="A108" s="62" t="s">
        <v>142</v>
      </c>
      <c r="B108" s="62" t="s">
        <v>146</v>
      </c>
      <c r="C108" s="62" t="s">
        <v>143</v>
      </c>
      <c r="D108" s="187" t="s">
        <v>188</v>
      </c>
      <c r="E108" s="188"/>
      <c r="F108" s="189"/>
      <c r="G108" s="63">
        <v>100</v>
      </c>
      <c r="H108" s="62" t="s">
        <v>181</v>
      </c>
      <c r="I108" s="63" t="s">
        <v>153</v>
      </c>
      <c r="J108" s="63" t="s">
        <v>110</v>
      </c>
      <c r="K108" s="57"/>
      <c r="L108" s="129"/>
      <c r="M108" s="129"/>
    </row>
    <row r="109" spans="1:16" s="37" customFormat="1" ht="14.45" customHeight="1" x14ac:dyDescent="0.2">
      <c r="A109" s="62" t="s">
        <v>142</v>
      </c>
      <c r="B109" s="62" t="s">
        <v>146</v>
      </c>
      <c r="C109" s="62" t="s">
        <v>143</v>
      </c>
      <c r="D109" s="187" t="s">
        <v>189</v>
      </c>
      <c r="E109" s="188"/>
      <c r="F109" s="189"/>
      <c r="G109" s="63">
        <v>100</v>
      </c>
      <c r="H109" s="62" t="s">
        <v>190</v>
      </c>
      <c r="I109" s="63" t="s">
        <v>153</v>
      </c>
      <c r="J109" s="63" t="s">
        <v>110</v>
      </c>
      <c r="K109" s="57"/>
      <c r="O109" s="38"/>
      <c r="P109" s="38"/>
    </row>
    <row r="110" spans="1:16" s="37" customFormat="1" ht="14.45" customHeight="1" x14ac:dyDescent="0.2">
      <c r="A110" s="62" t="s">
        <v>142</v>
      </c>
      <c r="B110" s="62" t="s">
        <v>146</v>
      </c>
      <c r="C110" s="62" t="s">
        <v>143</v>
      </c>
      <c r="D110" s="187" t="s">
        <v>191</v>
      </c>
      <c r="E110" s="188"/>
      <c r="F110" s="189"/>
      <c r="G110" s="63">
        <v>100</v>
      </c>
      <c r="H110" s="62" t="s">
        <v>181</v>
      </c>
      <c r="I110" s="63" t="s">
        <v>153</v>
      </c>
      <c r="J110" s="63" t="s">
        <v>110</v>
      </c>
      <c r="K110" s="57"/>
      <c r="O110" s="39"/>
      <c r="P110" s="39"/>
    </row>
    <row r="111" spans="1:16" s="37" customFormat="1" ht="14.45" customHeight="1" x14ac:dyDescent="0.2">
      <c r="A111" s="62" t="s">
        <v>173</v>
      </c>
      <c r="B111" s="62" t="s">
        <v>146</v>
      </c>
      <c r="C111" s="62" t="s">
        <v>143</v>
      </c>
      <c r="D111" s="187" t="s">
        <v>189</v>
      </c>
      <c r="E111" s="188"/>
      <c r="F111" s="189"/>
      <c r="G111" s="63">
        <v>50</v>
      </c>
      <c r="H111" s="62" t="s">
        <v>192</v>
      </c>
      <c r="I111" s="63" t="s">
        <v>153</v>
      </c>
      <c r="J111" s="63" t="s">
        <v>110</v>
      </c>
      <c r="K111" s="57"/>
      <c r="O111" s="39"/>
      <c r="P111" s="39"/>
    </row>
    <row r="112" spans="1:16" s="37" customFormat="1" ht="14.45" customHeight="1" x14ac:dyDescent="0.2">
      <c r="A112" s="62" t="s">
        <v>173</v>
      </c>
      <c r="B112" s="62" t="s">
        <v>146</v>
      </c>
      <c r="C112" s="62" t="s">
        <v>143</v>
      </c>
      <c r="D112" s="187" t="s">
        <v>191</v>
      </c>
      <c r="E112" s="188"/>
      <c r="F112" s="189"/>
      <c r="G112" s="63">
        <v>50</v>
      </c>
      <c r="H112" s="62" t="s">
        <v>181</v>
      </c>
      <c r="I112" s="63" t="s">
        <v>153</v>
      </c>
      <c r="J112" s="63" t="s">
        <v>110</v>
      </c>
      <c r="K112" s="57"/>
      <c r="O112" s="38"/>
      <c r="P112" s="38"/>
    </row>
    <row r="113" spans="1:29" s="37" customFormat="1" ht="14.45" customHeight="1" x14ac:dyDescent="0.25">
      <c r="A113" s="62" t="s">
        <v>142</v>
      </c>
      <c r="B113" s="62" t="s">
        <v>146</v>
      </c>
      <c r="C113" s="62" t="s">
        <v>143</v>
      </c>
      <c r="D113" s="187" t="s">
        <v>193</v>
      </c>
      <c r="E113" s="188"/>
      <c r="F113" s="189"/>
      <c r="G113" s="63">
        <v>85</v>
      </c>
      <c r="H113" s="62" t="s">
        <v>194</v>
      </c>
      <c r="I113" s="63" t="s">
        <v>153</v>
      </c>
      <c r="J113" s="63" t="s">
        <v>110</v>
      </c>
      <c r="K113" s="57"/>
      <c r="O113" s="36"/>
      <c r="P113" s="36"/>
    </row>
    <row r="114" spans="1:29" s="37" customFormat="1" ht="14.45" customHeight="1" x14ac:dyDescent="0.25">
      <c r="A114" s="62" t="s">
        <v>173</v>
      </c>
      <c r="B114" s="62" t="s">
        <v>146</v>
      </c>
      <c r="C114" s="62" t="s">
        <v>195</v>
      </c>
      <c r="D114" s="187" t="s">
        <v>196</v>
      </c>
      <c r="E114" s="188"/>
      <c r="F114" s="189"/>
      <c r="G114" s="63">
        <v>0.1</v>
      </c>
      <c r="H114" s="62" t="s">
        <v>197</v>
      </c>
      <c r="I114" s="63">
        <v>150</v>
      </c>
      <c r="J114" s="63" t="s">
        <v>110</v>
      </c>
      <c r="K114" s="57"/>
      <c r="O114" s="36"/>
      <c r="P114" s="36"/>
    </row>
    <row r="115" spans="1:29" s="37" customFormat="1" ht="14.45" customHeight="1" x14ac:dyDescent="0.25">
      <c r="A115" s="62" t="s">
        <v>142</v>
      </c>
      <c r="B115" s="62" t="s">
        <v>49</v>
      </c>
      <c r="C115" s="62" t="s">
        <v>198</v>
      </c>
      <c r="D115" s="187" t="s">
        <v>199</v>
      </c>
      <c r="E115" s="188"/>
      <c r="F115" s="189"/>
      <c r="G115" s="63">
        <v>35</v>
      </c>
      <c r="H115" s="62" t="s">
        <v>181</v>
      </c>
      <c r="I115" s="63" t="s">
        <v>153</v>
      </c>
      <c r="J115" s="63" t="s">
        <v>110</v>
      </c>
      <c r="K115" s="57"/>
      <c r="O115" s="36"/>
      <c r="P115" s="36"/>
    </row>
    <row r="116" spans="1:29" s="37" customFormat="1" ht="14.45" customHeight="1" x14ac:dyDescent="0.25">
      <c r="A116" s="62" t="s">
        <v>142</v>
      </c>
      <c r="B116" s="62" t="s">
        <v>146</v>
      </c>
      <c r="C116" s="62" t="s">
        <v>198</v>
      </c>
      <c r="D116" s="187" t="s">
        <v>200</v>
      </c>
      <c r="E116" s="188"/>
      <c r="F116" s="189"/>
      <c r="G116" s="63">
        <v>7</v>
      </c>
      <c r="H116" s="62" t="s">
        <v>152</v>
      </c>
      <c r="I116" s="63">
        <v>7</v>
      </c>
      <c r="J116" s="63" t="s">
        <v>110</v>
      </c>
      <c r="K116" s="57"/>
      <c r="O116" s="36"/>
      <c r="P116" s="36"/>
    </row>
    <row r="117" spans="1:29" s="37" customFormat="1" ht="14.1" customHeight="1" x14ac:dyDescent="0.25">
      <c r="A117" s="62" t="s">
        <v>142</v>
      </c>
      <c r="B117" s="62" t="s">
        <v>142</v>
      </c>
      <c r="C117" s="62" t="s">
        <v>201</v>
      </c>
      <c r="D117" s="187" t="s">
        <v>202</v>
      </c>
      <c r="E117" s="188"/>
      <c r="F117" s="189"/>
      <c r="G117" s="63">
        <v>40</v>
      </c>
      <c r="H117" s="62" t="s">
        <v>203</v>
      </c>
      <c r="I117" s="63" t="s">
        <v>153</v>
      </c>
      <c r="J117" s="63" t="s">
        <v>110</v>
      </c>
      <c r="K117" s="57"/>
      <c r="O117" s="36"/>
      <c r="P117" s="36"/>
    </row>
    <row r="118" spans="1:29" s="37" customFormat="1" ht="14.1" customHeight="1" x14ac:dyDescent="0.25">
      <c r="A118" s="62" t="s">
        <v>142</v>
      </c>
      <c r="B118" s="62" t="s">
        <v>49</v>
      </c>
      <c r="C118" s="62" t="s">
        <v>143</v>
      </c>
      <c r="D118" s="187" t="s">
        <v>204</v>
      </c>
      <c r="E118" s="188"/>
      <c r="F118" s="189"/>
      <c r="G118" s="63">
        <v>50</v>
      </c>
      <c r="H118" s="62" t="s">
        <v>49</v>
      </c>
      <c r="I118" s="63" t="s">
        <v>153</v>
      </c>
      <c r="J118" s="63" t="s">
        <v>110</v>
      </c>
      <c r="K118" s="57"/>
      <c r="L118" s="38"/>
      <c r="M118" s="38"/>
      <c r="N118" s="38"/>
      <c r="O118" s="36"/>
      <c r="P118" s="36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 spans="1:29" s="39" customFormat="1" ht="14.1" customHeight="1" x14ac:dyDescent="0.25">
      <c r="A119" s="62" t="s">
        <v>142</v>
      </c>
      <c r="B119" s="62" t="s">
        <v>49</v>
      </c>
      <c r="C119" s="62" t="s">
        <v>143</v>
      </c>
      <c r="D119" s="187" t="s">
        <v>205</v>
      </c>
      <c r="E119" s="188"/>
      <c r="F119" s="189"/>
      <c r="G119" s="63">
        <v>200</v>
      </c>
      <c r="H119" s="62" t="s">
        <v>206</v>
      </c>
      <c r="I119" s="63" t="s">
        <v>153</v>
      </c>
      <c r="J119" s="63" t="s">
        <v>110</v>
      </c>
      <c r="K119" s="57"/>
      <c r="O119" s="36"/>
      <c r="P119" s="36"/>
    </row>
    <row r="120" spans="1:29" s="39" customFormat="1" ht="14.1" customHeight="1" x14ac:dyDescent="0.25">
      <c r="A120" s="62" t="s">
        <v>142</v>
      </c>
      <c r="B120" s="62" t="s">
        <v>49</v>
      </c>
      <c r="C120" s="62" t="s">
        <v>143</v>
      </c>
      <c r="D120" s="187" t="s">
        <v>207</v>
      </c>
      <c r="E120" s="188"/>
      <c r="F120" s="189"/>
      <c r="G120" s="63">
        <v>250</v>
      </c>
      <c r="H120" s="62" t="s">
        <v>208</v>
      </c>
      <c r="I120" s="63">
        <v>100</v>
      </c>
      <c r="J120" s="63" t="s">
        <v>110</v>
      </c>
      <c r="K120" s="57"/>
      <c r="L120" s="38"/>
      <c r="M120" s="38"/>
      <c r="N120" s="38"/>
      <c r="O120" s="36"/>
      <c r="P120" s="36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 spans="1:29" s="38" customFormat="1" ht="14.1" customHeight="1" x14ac:dyDescent="0.25">
      <c r="A121" s="62" t="s">
        <v>142</v>
      </c>
      <c r="B121" s="62" t="s">
        <v>49</v>
      </c>
      <c r="C121" s="62" t="s">
        <v>201</v>
      </c>
      <c r="D121" s="187" t="s">
        <v>209</v>
      </c>
      <c r="E121" s="188"/>
      <c r="F121" s="189"/>
      <c r="G121" s="63" t="s">
        <v>210</v>
      </c>
      <c r="H121" s="62"/>
      <c r="I121" s="63" t="s">
        <v>153</v>
      </c>
      <c r="J121" s="63" t="s">
        <v>110</v>
      </c>
      <c r="K121" s="57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:29" s="36" customFormat="1" x14ac:dyDescent="0.25">
      <c r="A122" s="62" t="s">
        <v>142</v>
      </c>
      <c r="B122" s="62" t="s">
        <v>49</v>
      </c>
      <c r="C122" s="62" t="s">
        <v>201</v>
      </c>
      <c r="D122" s="187" t="s">
        <v>211</v>
      </c>
      <c r="E122" s="188"/>
      <c r="F122" s="189"/>
      <c r="G122" s="63" t="s">
        <v>212</v>
      </c>
      <c r="H122" s="62"/>
      <c r="I122" s="63" t="s">
        <v>153</v>
      </c>
      <c r="J122" s="63" t="s">
        <v>110</v>
      </c>
      <c r="K122" s="72"/>
    </row>
    <row r="123" spans="1:29" s="36" customFormat="1" x14ac:dyDescent="0.25">
      <c r="A123" s="62" t="s">
        <v>213</v>
      </c>
      <c r="B123" s="62" t="s">
        <v>49</v>
      </c>
      <c r="C123" s="62" t="s">
        <v>214</v>
      </c>
      <c r="D123" s="187" t="s">
        <v>215</v>
      </c>
      <c r="E123" s="188"/>
      <c r="F123" s="189"/>
      <c r="G123" s="63">
        <v>100</v>
      </c>
      <c r="H123" s="62" t="s">
        <v>49</v>
      </c>
      <c r="I123" s="63">
        <v>100</v>
      </c>
      <c r="J123" s="63" t="s">
        <v>110</v>
      </c>
      <c r="K123" s="72"/>
    </row>
    <row r="124" spans="1:29" s="36" customFormat="1" x14ac:dyDescent="0.25">
      <c r="A124" s="62" t="s">
        <v>213</v>
      </c>
      <c r="B124" s="62" t="s">
        <v>216</v>
      </c>
      <c r="C124" s="62" t="s">
        <v>147</v>
      </c>
      <c r="D124" s="187" t="s">
        <v>217</v>
      </c>
      <c r="E124" s="188"/>
      <c r="F124" s="189"/>
      <c r="G124" s="63">
        <v>50</v>
      </c>
      <c r="H124" s="62"/>
      <c r="I124" s="63">
        <v>50</v>
      </c>
      <c r="J124" s="63" t="s">
        <v>110</v>
      </c>
      <c r="K124" s="72"/>
    </row>
    <row r="125" spans="1:29" s="36" customFormat="1" x14ac:dyDescent="0.25">
      <c r="A125" s="62" t="s">
        <v>150</v>
      </c>
      <c r="B125" s="62" t="s">
        <v>49</v>
      </c>
      <c r="C125" s="62" t="s">
        <v>218</v>
      </c>
      <c r="D125" s="187" t="s">
        <v>219</v>
      </c>
      <c r="E125" s="188"/>
      <c r="F125" s="189"/>
      <c r="G125" s="69" t="s">
        <v>220</v>
      </c>
      <c r="H125" s="67" t="s">
        <v>49</v>
      </c>
      <c r="I125" s="69" t="s">
        <v>153</v>
      </c>
      <c r="J125" s="63" t="s">
        <v>110</v>
      </c>
      <c r="K125" s="72"/>
    </row>
    <row r="126" spans="1:29" s="36" customFormat="1" x14ac:dyDescent="0.25">
      <c r="A126" s="62" t="s">
        <v>221</v>
      </c>
      <c r="B126" s="62" t="s">
        <v>49</v>
      </c>
      <c r="C126" s="62" t="s">
        <v>201</v>
      </c>
      <c r="D126" s="187" t="s">
        <v>222</v>
      </c>
      <c r="E126" s="188"/>
      <c r="F126" s="189"/>
      <c r="G126" s="69" t="s">
        <v>220</v>
      </c>
      <c r="H126" s="67" t="s">
        <v>49</v>
      </c>
      <c r="I126" s="69" t="s">
        <v>153</v>
      </c>
      <c r="J126" s="63" t="s">
        <v>110</v>
      </c>
      <c r="K126" s="72"/>
    </row>
    <row r="127" spans="1:29" s="36" customFormat="1" x14ac:dyDescent="0.25">
      <c r="A127" s="62" t="s">
        <v>142</v>
      </c>
      <c r="B127" s="62" t="s">
        <v>49</v>
      </c>
      <c r="C127" s="62" t="s">
        <v>223</v>
      </c>
      <c r="D127" s="187" t="s">
        <v>224</v>
      </c>
      <c r="E127" s="188"/>
      <c r="F127" s="189"/>
      <c r="G127" s="63" t="s">
        <v>225</v>
      </c>
      <c r="H127" s="62"/>
      <c r="I127" s="63" t="s">
        <v>153</v>
      </c>
      <c r="J127" s="63" t="s">
        <v>110</v>
      </c>
      <c r="K127" s="72"/>
    </row>
    <row r="128" spans="1:29" s="36" customFormat="1" x14ac:dyDescent="0.25">
      <c r="A128" s="62" t="s">
        <v>142</v>
      </c>
      <c r="B128" s="62" t="s">
        <v>49</v>
      </c>
      <c r="C128" s="62" t="s">
        <v>226</v>
      </c>
      <c r="D128" s="187" t="s">
        <v>227</v>
      </c>
      <c r="E128" s="188"/>
      <c r="F128" s="189"/>
      <c r="G128" s="66">
        <v>150</v>
      </c>
      <c r="H128" s="62" t="s">
        <v>49</v>
      </c>
      <c r="I128" s="66">
        <v>150</v>
      </c>
      <c r="J128" s="63" t="s">
        <v>110</v>
      </c>
      <c r="K128" s="72"/>
    </row>
    <row r="129" spans="1:11" s="36" customFormat="1" x14ac:dyDescent="0.25">
      <c r="A129" s="62" t="s">
        <v>142</v>
      </c>
      <c r="B129" s="62" t="s">
        <v>49</v>
      </c>
      <c r="C129" s="62" t="s">
        <v>228</v>
      </c>
      <c r="D129" s="187" t="s">
        <v>229</v>
      </c>
      <c r="E129" s="188"/>
      <c r="F129" s="189"/>
      <c r="G129" s="66">
        <v>25</v>
      </c>
      <c r="H129" s="62" t="s">
        <v>230</v>
      </c>
      <c r="I129" s="66">
        <v>25</v>
      </c>
      <c r="J129" s="63" t="s">
        <v>110</v>
      </c>
      <c r="K129" s="72"/>
    </row>
    <row r="130" spans="1:11" s="36" customFormat="1" x14ac:dyDescent="0.25">
      <c r="A130" s="62" t="s">
        <v>142</v>
      </c>
      <c r="B130" s="62" t="s">
        <v>146</v>
      </c>
      <c r="C130" s="62" t="s">
        <v>198</v>
      </c>
      <c r="D130" s="187" t="s">
        <v>231</v>
      </c>
      <c r="E130" s="188"/>
      <c r="F130" s="189"/>
      <c r="G130" s="66" t="s">
        <v>232</v>
      </c>
      <c r="H130" s="62" t="s">
        <v>149</v>
      </c>
      <c r="I130" s="66" t="s">
        <v>153</v>
      </c>
      <c r="J130" s="63" t="s">
        <v>110</v>
      </c>
      <c r="K130" s="72"/>
    </row>
    <row r="131" spans="1:11" s="36" customFormat="1" x14ac:dyDescent="0.25">
      <c r="A131" s="62" t="s">
        <v>173</v>
      </c>
      <c r="B131" s="62" t="s">
        <v>146</v>
      </c>
      <c r="C131" s="62" t="s">
        <v>233</v>
      </c>
      <c r="D131" s="187" t="s">
        <v>234</v>
      </c>
      <c r="E131" s="188"/>
      <c r="F131" s="189"/>
      <c r="G131" s="66">
        <v>0.5</v>
      </c>
      <c r="H131" s="62" t="s">
        <v>235</v>
      </c>
      <c r="I131" s="66">
        <v>50</v>
      </c>
      <c r="J131" s="63" t="s">
        <v>110</v>
      </c>
      <c r="K131" s="72"/>
    </row>
    <row r="132" spans="1:11" s="36" customFormat="1" x14ac:dyDescent="0.25">
      <c r="A132" s="64" t="s">
        <v>173</v>
      </c>
      <c r="B132" s="64" t="s">
        <v>146</v>
      </c>
      <c r="C132" s="64" t="s">
        <v>233</v>
      </c>
      <c r="D132" s="187" t="s">
        <v>236</v>
      </c>
      <c r="E132" s="188"/>
      <c r="F132" s="189"/>
      <c r="G132" s="73">
        <v>0.5</v>
      </c>
      <c r="H132" s="64" t="s">
        <v>235</v>
      </c>
      <c r="I132" s="73">
        <v>50</v>
      </c>
      <c r="J132" s="63" t="s">
        <v>110</v>
      </c>
      <c r="K132" s="72"/>
    </row>
    <row r="133" spans="1:11" s="36" customFormat="1" x14ac:dyDescent="0.25">
      <c r="A133" s="62" t="s">
        <v>173</v>
      </c>
      <c r="B133" s="62" t="s">
        <v>146</v>
      </c>
      <c r="C133" s="62" t="s">
        <v>201</v>
      </c>
      <c r="D133" s="187" t="s">
        <v>237</v>
      </c>
      <c r="E133" s="188"/>
      <c r="F133" s="189"/>
      <c r="G133" s="66" t="s">
        <v>238</v>
      </c>
      <c r="H133" s="62" t="s">
        <v>235</v>
      </c>
      <c r="I133" s="66">
        <v>50</v>
      </c>
      <c r="J133" s="63" t="s">
        <v>110</v>
      </c>
      <c r="K133" s="72"/>
    </row>
    <row r="134" spans="1:11" s="36" customFormat="1" x14ac:dyDescent="0.25">
      <c r="A134" s="62" t="s">
        <v>239</v>
      </c>
      <c r="B134" s="62" t="s">
        <v>49</v>
      </c>
      <c r="C134" s="62" t="s">
        <v>143</v>
      </c>
      <c r="D134" s="187" t="s">
        <v>240</v>
      </c>
      <c r="E134" s="188"/>
      <c r="F134" s="189"/>
      <c r="G134" s="69" t="s">
        <v>220</v>
      </c>
      <c r="H134" s="67" t="s">
        <v>49</v>
      </c>
      <c r="I134" s="69" t="s">
        <v>153</v>
      </c>
      <c r="J134" s="63" t="s">
        <v>110</v>
      </c>
      <c r="K134" s="72"/>
    </row>
    <row r="135" spans="1:11" s="36" customFormat="1" x14ac:dyDescent="0.25">
      <c r="A135" s="62" t="s">
        <v>142</v>
      </c>
      <c r="B135" s="62" t="s">
        <v>142</v>
      </c>
      <c r="C135" s="62" t="s">
        <v>147</v>
      </c>
      <c r="D135" s="187" t="s">
        <v>241</v>
      </c>
      <c r="E135" s="188"/>
      <c r="F135" s="189"/>
      <c r="G135" s="66" t="s">
        <v>242</v>
      </c>
      <c r="H135" s="62"/>
      <c r="I135" s="66">
        <v>15</v>
      </c>
      <c r="J135" s="63" t="s">
        <v>110</v>
      </c>
      <c r="K135" s="72"/>
    </row>
    <row r="136" spans="1:11" s="36" customFormat="1" x14ac:dyDescent="0.25">
      <c r="A136" s="62" t="s">
        <v>243</v>
      </c>
      <c r="B136" s="62" t="s">
        <v>49</v>
      </c>
      <c r="C136" s="62" t="s">
        <v>143</v>
      </c>
      <c r="D136" s="187" t="s">
        <v>244</v>
      </c>
      <c r="E136" s="188"/>
      <c r="F136" s="189"/>
      <c r="G136" s="66">
        <v>200</v>
      </c>
      <c r="H136" s="62" t="s">
        <v>49</v>
      </c>
      <c r="I136" s="63">
        <v>200</v>
      </c>
      <c r="J136" s="63" t="s">
        <v>110</v>
      </c>
      <c r="K136" s="72"/>
    </row>
    <row r="137" spans="1:11" s="36" customFormat="1" x14ac:dyDescent="0.25">
      <c r="A137" s="62" t="s">
        <v>245</v>
      </c>
      <c r="B137" s="62" t="s">
        <v>49</v>
      </c>
      <c r="C137" s="62" t="s">
        <v>143</v>
      </c>
      <c r="D137" s="187" t="s">
        <v>246</v>
      </c>
      <c r="E137" s="188"/>
      <c r="F137" s="189"/>
      <c r="G137" s="66">
        <v>250</v>
      </c>
      <c r="H137" s="62" t="s">
        <v>49</v>
      </c>
      <c r="I137" s="63">
        <v>100</v>
      </c>
      <c r="J137" s="63" t="s">
        <v>110</v>
      </c>
      <c r="K137" s="72"/>
    </row>
    <row r="138" spans="1:11" s="36" customFormat="1" x14ac:dyDescent="0.25">
      <c r="A138" s="62" t="s">
        <v>247</v>
      </c>
      <c r="B138" s="62" t="s">
        <v>49</v>
      </c>
      <c r="C138" s="62" t="s">
        <v>143</v>
      </c>
      <c r="D138" s="187" t="s">
        <v>248</v>
      </c>
      <c r="E138" s="188"/>
      <c r="F138" s="189"/>
      <c r="G138" s="63">
        <v>250</v>
      </c>
      <c r="H138" s="62" t="s">
        <v>49</v>
      </c>
      <c r="I138" s="63">
        <v>200</v>
      </c>
      <c r="J138" s="63" t="s">
        <v>110</v>
      </c>
      <c r="K138" s="72"/>
    </row>
    <row r="139" spans="1:11" s="36" customFormat="1" x14ac:dyDescent="0.25">
      <c r="A139" s="62" t="s">
        <v>142</v>
      </c>
      <c r="B139" s="62" t="s">
        <v>49</v>
      </c>
      <c r="C139" s="62" t="s">
        <v>143</v>
      </c>
      <c r="D139" s="187" t="s">
        <v>249</v>
      </c>
      <c r="E139" s="188"/>
      <c r="F139" s="189"/>
      <c r="G139" s="63"/>
      <c r="H139" s="62" t="s">
        <v>49</v>
      </c>
      <c r="I139" s="63" t="s">
        <v>153</v>
      </c>
      <c r="J139" s="63" t="s">
        <v>110</v>
      </c>
      <c r="K139" s="72"/>
    </row>
    <row r="140" spans="1:11" s="36" customFormat="1" x14ac:dyDescent="0.25">
      <c r="A140" s="62" t="s">
        <v>250</v>
      </c>
      <c r="B140" s="62" t="s">
        <v>49</v>
      </c>
      <c r="C140" s="62" t="s">
        <v>143</v>
      </c>
      <c r="D140" s="187" t="s">
        <v>251</v>
      </c>
      <c r="E140" s="188"/>
      <c r="F140" s="189"/>
      <c r="G140" s="66">
        <v>350</v>
      </c>
      <c r="H140" s="62" t="s">
        <v>49</v>
      </c>
      <c r="I140" s="63">
        <v>350</v>
      </c>
      <c r="J140" s="63" t="s">
        <v>110</v>
      </c>
      <c r="K140" s="72"/>
    </row>
    <row r="141" spans="1:11" s="36" customFormat="1" x14ac:dyDescent="0.25">
      <c r="A141" s="118"/>
      <c r="B141" s="118"/>
      <c r="C141" s="118"/>
      <c r="D141" s="119"/>
      <c r="E141" s="119"/>
      <c r="F141" s="119"/>
      <c r="G141" s="120"/>
      <c r="H141" s="118"/>
      <c r="I141" s="121"/>
      <c r="J141" s="121"/>
      <c r="K141" s="72"/>
    </row>
    <row r="142" spans="1:11" s="36" customFormat="1" x14ac:dyDescent="0.25">
      <c r="A142" s="180" t="s">
        <v>72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72"/>
    </row>
    <row r="143" spans="1:11" s="36" customFormat="1" x14ac:dyDescent="0.25">
      <c r="A143" s="186" t="s">
        <v>67</v>
      </c>
      <c r="B143" s="186"/>
      <c r="C143" s="186"/>
      <c r="D143" s="186"/>
      <c r="E143" s="186" t="s">
        <v>68</v>
      </c>
      <c r="F143" s="186"/>
      <c r="G143" s="186"/>
      <c r="H143" s="186"/>
      <c r="I143" s="186"/>
      <c r="J143" s="186"/>
      <c r="K143" s="72"/>
    </row>
    <row r="144" spans="1:11" s="36" customFormat="1" x14ac:dyDescent="0.25">
      <c r="A144" s="185" t="s">
        <v>73</v>
      </c>
      <c r="B144" s="185"/>
      <c r="C144" s="185"/>
      <c r="D144" s="185"/>
      <c r="E144" s="185" t="s">
        <v>254</v>
      </c>
      <c r="F144" s="185"/>
      <c r="G144" s="185"/>
      <c r="H144" s="185"/>
      <c r="I144" s="185"/>
      <c r="J144" s="185"/>
      <c r="K144" s="72"/>
    </row>
    <row r="145" spans="1:11" s="36" customFormat="1" ht="15" customHeight="1" x14ac:dyDescent="0.25">
      <c r="A145" s="185" t="s">
        <v>252</v>
      </c>
      <c r="B145" s="185"/>
      <c r="C145" s="185"/>
      <c r="D145" s="185"/>
      <c r="E145" s="185" t="s">
        <v>253</v>
      </c>
      <c r="F145" s="185"/>
      <c r="G145" s="185"/>
      <c r="H145" s="185"/>
      <c r="I145" s="185"/>
      <c r="J145" s="185"/>
      <c r="K145" s="72"/>
    </row>
    <row r="146" spans="1:11" s="36" customFormat="1" ht="15" customHeight="1" x14ac:dyDescent="0.25">
      <c r="A146" s="185" t="s">
        <v>74</v>
      </c>
      <c r="B146" s="185"/>
      <c r="C146" s="185"/>
      <c r="D146" s="185"/>
      <c r="E146" s="185" t="s">
        <v>75</v>
      </c>
      <c r="F146" s="185"/>
      <c r="G146" s="185"/>
      <c r="H146" s="185"/>
      <c r="I146" s="185"/>
      <c r="J146" s="185"/>
      <c r="K146" s="72"/>
    </row>
    <row r="147" spans="1:11" s="36" customFormat="1" x14ac:dyDescent="0.25">
      <c r="A147" s="185" t="s">
        <v>76</v>
      </c>
      <c r="B147" s="185"/>
      <c r="C147" s="185"/>
      <c r="D147" s="185"/>
      <c r="E147" s="185" t="s">
        <v>77</v>
      </c>
      <c r="F147" s="185"/>
      <c r="G147" s="185"/>
      <c r="H147" s="185"/>
      <c r="I147" s="185"/>
      <c r="J147" s="185"/>
      <c r="K147" s="72"/>
    </row>
    <row r="148" spans="1:11" s="36" customFormat="1" ht="15" customHeight="1" x14ac:dyDescent="0.25">
      <c r="A148" s="185" t="s">
        <v>78</v>
      </c>
      <c r="B148" s="185"/>
      <c r="C148" s="185"/>
      <c r="D148" s="185"/>
      <c r="E148" s="185" t="s">
        <v>79</v>
      </c>
      <c r="F148" s="185"/>
      <c r="G148" s="185"/>
      <c r="H148" s="185"/>
      <c r="I148" s="185"/>
      <c r="J148" s="185"/>
      <c r="K148" s="72"/>
    </row>
    <row r="149" spans="1:11" s="36" customFormat="1" ht="15" customHeight="1" x14ac:dyDescent="0.25">
      <c r="A149" s="180" t="s">
        <v>89</v>
      </c>
      <c r="B149" s="180"/>
      <c r="C149" s="180"/>
      <c r="D149" s="180"/>
      <c r="E149" s="180"/>
      <c r="F149" s="180"/>
      <c r="G149" s="180"/>
      <c r="H149" s="180"/>
      <c r="I149" s="180"/>
      <c r="J149" s="180"/>
      <c r="K149" s="72"/>
    </row>
    <row r="150" spans="1:11" s="36" customFormat="1" x14ac:dyDescent="0.25">
      <c r="A150" s="181" t="s">
        <v>80</v>
      </c>
      <c r="B150" s="181"/>
      <c r="C150" s="181"/>
      <c r="D150" s="181"/>
      <c r="E150" s="181"/>
      <c r="F150" s="181"/>
      <c r="G150" s="181"/>
      <c r="H150" s="181"/>
      <c r="I150" s="181"/>
      <c r="J150" s="181"/>
      <c r="K150" s="72"/>
    </row>
    <row r="151" spans="1:11" s="36" customFormat="1" ht="15" customHeight="1" x14ac:dyDescent="0.2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72"/>
    </row>
    <row r="152" spans="1:11" s="36" customFormat="1" x14ac:dyDescent="0.25">
      <c r="A152" s="182" t="s">
        <v>90</v>
      </c>
      <c r="B152" s="182"/>
      <c r="C152" s="182"/>
      <c r="D152" s="182"/>
      <c r="E152" s="182"/>
      <c r="F152" s="182"/>
      <c r="G152" s="182"/>
      <c r="H152" s="182"/>
      <c r="I152" s="182"/>
      <c r="J152" s="182"/>
      <c r="K152" s="72"/>
    </row>
    <row r="153" spans="1:11" s="36" customFormat="1" ht="15" customHeight="1" x14ac:dyDescent="0.25">
      <c r="A153" s="182"/>
      <c r="B153" s="182"/>
      <c r="C153" s="182"/>
      <c r="D153" s="182"/>
      <c r="E153" s="182"/>
      <c r="F153" s="182"/>
      <c r="G153" s="182"/>
      <c r="H153" s="182"/>
      <c r="I153" s="182"/>
      <c r="J153" s="182"/>
      <c r="K153" s="72"/>
    </row>
    <row r="154" spans="1:11" s="42" customFormat="1" ht="13.9" customHeight="1" x14ac:dyDescent="0.25">
      <c r="A154" s="183" t="s">
        <v>307</v>
      </c>
      <c r="B154" s="183"/>
      <c r="C154" s="183"/>
      <c r="D154" s="183"/>
      <c r="E154" s="183"/>
      <c r="F154" s="183"/>
      <c r="G154" s="183"/>
      <c r="H154" s="183"/>
      <c r="I154" s="183"/>
      <c r="J154" s="48"/>
    </row>
    <row r="155" spans="1:11" s="49" customFormat="1" ht="13.9" customHeight="1" x14ac:dyDescent="0.25">
      <c r="A155" s="184" t="s">
        <v>105</v>
      </c>
      <c r="B155" s="184"/>
      <c r="C155" s="184"/>
      <c r="D155" s="184"/>
      <c r="E155" s="184"/>
      <c r="F155" s="184"/>
      <c r="G155" s="184"/>
      <c r="H155" s="184"/>
      <c r="I155" s="184"/>
      <c r="J155" s="48"/>
    </row>
    <row r="156" spans="1:11" x14ac:dyDescent="0.25">
      <c r="J156" s="48"/>
    </row>
    <row r="157" spans="1:11" x14ac:dyDescent="0.25">
      <c r="J157" s="48"/>
    </row>
    <row r="158" spans="1:11" x14ac:dyDescent="0.25">
      <c r="J158" s="48"/>
    </row>
  </sheetData>
  <protectedRanges>
    <protectedRange algorithmName="SHA-512" hashValue="VF6HSW3Iy4xJ9rvYE/9xGHEoimGCygSu8D4FeqmdsD954MzAHwkkxLcwSP9Q5ui8KTGpWBzFAFpp2yGVfuii3Q==" saltValue="Ht0jMOW+8eakbuvlYpVr7Q==" spinCount="100000" sqref="G36:J41 G52:J58 G30:J31 G33:J34 G13:J28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2:J42 G44:J46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8:J50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mergeCells count="147">
    <mergeCell ref="B6:C6"/>
    <mergeCell ref="G6:I6"/>
    <mergeCell ref="A7:J7"/>
    <mergeCell ref="E8:I8"/>
    <mergeCell ref="B9:I9"/>
    <mergeCell ref="A10:J10"/>
    <mergeCell ref="A1:B1"/>
    <mergeCell ref="C2:G2"/>
    <mergeCell ref="B3:H3"/>
    <mergeCell ref="B4:C4"/>
    <mergeCell ref="G4:I4"/>
    <mergeCell ref="B5:C5"/>
    <mergeCell ref="G5:I5"/>
    <mergeCell ref="E32:F32"/>
    <mergeCell ref="E35:F35"/>
    <mergeCell ref="E43:F43"/>
    <mergeCell ref="E47:F47"/>
    <mergeCell ref="E51:F51"/>
    <mergeCell ref="A58:J58"/>
    <mergeCell ref="N10:R10"/>
    <mergeCell ref="S10:X10"/>
    <mergeCell ref="Y10:AB10"/>
    <mergeCell ref="E11:F11"/>
    <mergeCell ref="E12:F12"/>
    <mergeCell ref="E29:F29"/>
    <mergeCell ref="A64:D64"/>
    <mergeCell ref="F64:J64"/>
    <mergeCell ref="L64:Q64"/>
    <mergeCell ref="A65:D65"/>
    <mergeCell ref="F65:J65"/>
    <mergeCell ref="A66:D66"/>
    <mergeCell ref="F66:J66"/>
    <mergeCell ref="A60:J60"/>
    <mergeCell ref="A61:J61"/>
    <mergeCell ref="A62:D62"/>
    <mergeCell ref="E62:J62"/>
    <mergeCell ref="L62:Q62"/>
    <mergeCell ref="A63:D63"/>
    <mergeCell ref="F63:J63"/>
    <mergeCell ref="L63:Q63"/>
    <mergeCell ref="A70:D70"/>
    <mergeCell ref="F70:J70"/>
    <mergeCell ref="L70:Q70"/>
    <mergeCell ref="A71:D71"/>
    <mergeCell ref="F71:J71"/>
    <mergeCell ref="L71:Q71"/>
    <mergeCell ref="A67:D67"/>
    <mergeCell ref="F67:J67"/>
    <mergeCell ref="A68:D68"/>
    <mergeCell ref="F68:J68"/>
    <mergeCell ref="L68:Q68"/>
    <mergeCell ref="A69:D69"/>
    <mergeCell ref="F69:J69"/>
    <mergeCell ref="L69:Q69"/>
    <mergeCell ref="A74:D74"/>
    <mergeCell ref="E74:J74"/>
    <mergeCell ref="L74:Q74"/>
    <mergeCell ref="A75:J75"/>
    <mergeCell ref="D76:F76"/>
    <mergeCell ref="D77:F77"/>
    <mergeCell ref="A72:D72"/>
    <mergeCell ref="G72:J72"/>
    <mergeCell ref="L72:Q72"/>
    <mergeCell ref="A73:D73"/>
    <mergeCell ref="G73:J73"/>
    <mergeCell ref="L73:Q73"/>
    <mergeCell ref="D84:F84"/>
    <mergeCell ref="D85:F85"/>
    <mergeCell ref="D86:F86"/>
    <mergeCell ref="D87:F87"/>
    <mergeCell ref="D88:F88"/>
    <mergeCell ref="D89:F89"/>
    <mergeCell ref="D78:F78"/>
    <mergeCell ref="D79:F79"/>
    <mergeCell ref="D80:F80"/>
    <mergeCell ref="D81:F81"/>
    <mergeCell ref="D82:F82"/>
    <mergeCell ref="D83:F83"/>
    <mergeCell ref="D96:F96"/>
    <mergeCell ref="D97:F97"/>
    <mergeCell ref="D98:F98"/>
    <mergeCell ref="D99:F99"/>
    <mergeCell ref="D100:F100"/>
    <mergeCell ref="D101:F101"/>
    <mergeCell ref="D90:F90"/>
    <mergeCell ref="D91:F91"/>
    <mergeCell ref="D92:F92"/>
    <mergeCell ref="D93:F93"/>
    <mergeCell ref="D94:F94"/>
    <mergeCell ref="D95:F95"/>
    <mergeCell ref="D108:F108"/>
    <mergeCell ref="D109:F109"/>
    <mergeCell ref="D110:F110"/>
    <mergeCell ref="D111:F111"/>
    <mergeCell ref="D112:F112"/>
    <mergeCell ref="D113:F113"/>
    <mergeCell ref="D102:F102"/>
    <mergeCell ref="D103:F103"/>
    <mergeCell ref="D104:F104"/>
    <mergeCell ref="D105:F105"/>
    <mergeCell ref="D106:F106"/>
    <mergeCell ref="D107:F107"/>
    <mergeCell ref="D120:F120"/>
    <mergeCell ref="D121:F121"/>
    <mergeCell ref="D122:F122"/>
    <mergeCell ref="D123:F123"/>
    <mergeCell ref="D124:F124"/>
    <mergeCell ref="D125:F125"/>
    <mergeCell ref="D114:F114"/>
    <mergeCell ref="D115:F115"/>
    <mergeCell ref="D116:F116"/>
    <mergeCell ref="D117:F117"/>
    <mergeCell ref="D118:F118"/>
    <mergeCell ref="D119:F119"/>
    <mergeCell ref="D132:F132"/>
    <mergeCell ref="D133:F133"/>
    <mergeCell ref="D134:F134"/>
    <mergeCell ref="D135:F135"/>
    <mergeCell ref="D136:F136"/>
    <mergeCell ref="D137:F137"/>
    <mergeCell ref="D126:F126"/>
    <mergeCell ref="D127:F127"/>
    <mergeCell ref="D128:F128"/>
    <mergeCell ref="D129:F129"/>
    <mergeCell ref="D130:F130"/>
    <mergeCell ref="D131:F131"/>
    <mergeCell ref="A144:D144"/>
    <mergeCell ref="E144:J144"/>
    <mergeCell ref="A145:D145"/>
    <mergeCell ref="E145:J145"/>
    <mergeCell ref="A146:D146"/>
    <mergeCell ref="E146:J146"/>
    <mergeCell ref="D138:F138"/>
    <mergeCell ref="D139:F139"/>
    <mergeCell ref="D140:F140"/>
    <mergeCell ref="A142:J142"/>
    <mergeCell ref="A143:D143"/>
    <mergeCell ref="E143:J143"/>
    <mergeCell ref="A152:J153"/>
    <mergeCell ref="A154:I154"/>
    <mergeCell ref="A155:I155"/>
    <mergeCell ref="A147:D147"/>
    <mergeCell ref="E147:J147"/>
    <mergeCell ref="A148:D148"/>
    <mergeCell ref="E148:J148"/>
    <mergeCell ref="A149:J149"/>
    <mergeCell ref="A150:J151"/>
  </mergeCells>
  <hyperlinks>
    <hyperlink ref="G6" r:id="rId1" xr:uid="{9403A31D-656A-466A-B91F-70F6B0FF688D}"/>
    <hyperlink ref="G4" r:id="rId2" xr:uid="{349DA000-E37A-434F-A260-DF6DDF53074A}"/>
  </hyperlinks>
  <pageMargins left="0.35" right="0.35" top="0.35" bottom="0.35" header="0.3" footer="0.3"/>
  <pageSetup scale="53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B07482-2693-4F96-8B2F-16A79EE71BFB}">
          <x14:formula1>
            <xm:f>'C:\Users\twang\AppData\Local\Microsoft\Windows\Temporary Internet Files\Content.Outlook\U7WJNCNV\[QUOTE TEMPLATE 05-01-21.xltx]Sheet1'!#REF!</xm:f>
          </x14:formula1>
          <xm:sqref>C33:C34 C52:C57 C30:C31 C44:C46 C36:C42 C13:C28 Q13:Q15</xm:sqref>
        </x14:dataValidation>
        <x14:dataValidation type="list" allowBlank="1" showInputMessage="1" showErrorMessage="1" xr:uid="{CBC99D6E-9717-4AAA-BF07-2AB75FBF6C37}">
          <x14:formula1>
            <xm:f>'C:\Users\twang\AppData\Local\Microsoft\Windows\Temporary Internet Files\Content.Outlook\U7WJNCNV\[QUOTE TEMPLATE 05-01-21.xltx]Sheet1'!#REF!</xm:f>
          </x14:formula1>
          <xm:sqref>E68:E69 E71:E73 E63:E66 E33:E34 E30:E31 E44:E46 E36:E42 E52:E57 E13:E28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86DF-9B02-4F19-AFA8-5A2CCD5A6316}">
  <sheetPr>
    <pageSetUpPr fitToPage="1"/>
  </sheetPr>
  <dimension ref="A1:AC155"/>
  <sheetViews>
    <sheetView zoomScale="90" zoomScaleNormal="90" zoomScaleSheetLayoutView="82" workbookViewId="0">
      <pane xSplit="4" topLeftCell="N1" activePane="topRight" state="frozen"/>
      <selection activeCell="A19" sqref="A19"/>
      <selection pane="topRight" activeCell="A55" sqref="A55:XFD56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2.5703125" style="50" bestFit="1" customWidth="1"/>
    <col min="5" max="5" width="16.7109375" style="50" customWidth="1"/>
    <col min="6" max="6" width="15.42578125" style="50" customWidth="1"/>
    <col min="7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36</v>
      </c>
      <c r="B4" s="213" t="s">
        <v>37</v>
      </c>
      <c r="C4" s="213"/>
      <c r="D4" s="127"/>
      <c r="F4" s="41" t="s">
        <v>36</v>
      </c>
      <c r="G4" s="214" t="s">
        <v>305</v>
      </c>
      <c r="H4" s="213"/>
      <c r="I4" s="213"/>
      <c r="J4" s="4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J5" s="4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305</v>
      </c>
      <c r="H6" s="213"/>
      <c r="I6" s="213"/>
      <c r="J6" s="4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239"/>
      <c r="B7" s="239"/>
      <c r="C7" s="239"/>
      <c r="D7" s="239"/>
      <c r="E7" s="239"/>
      <c r="F7" s="239"/>
      <c r="G7" s="239"/>
      <c r="H7" s="239"/>
      <c r="I7" s="239"/>
      <c r="J7" s="239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44576</v>
      </c>
      <c r="C8" s="45" t="s">
        <v>91</v>
      </c>
      <c r="D8" s="44">
        <v>44592</v>
      </c>
      <c r="E8" s="213" t="s">
        <v>92</v>
      </c>
      <c r="F8" s="213"/>
      <c r="G8" s="213"/>
      <c r="H8" s="213"/>
      <c r="I8" s="213"/>
      <c r="J8" s="4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213" t="s">
        <v>40</v>
      </c>
      <c r="C9" s="213"/>
      <c r="D9" s="213"/>
      <c r="E9" s="213"/>
      <c r="F9" s="213"/>
      <c r="G9" s="213"/>
      <c r="H9" s="213"/>
      <c r="I9" s="213"/>
      <c r="J9" s="43"/>
      <c r="K9" s="12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 t="s">
        <v>257</v>
      </c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88" t="s">
        <v>82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  <c r="L12" s="89" t="s">
        <v>48</v>
      </c>
      <c r="M12" s="89" t="s">
        <v>261</v>
      </c>
      <c r="N12" s="90" t="s">
        <v>51</v>
      </c>
      <c r="O12" s="91" t="s">
        <v>50</v>
      </c>
      <c r="P12" s="91" t="s">
        <v>262</v>
      </c>
      <c r="Q12" s="91" t="s">
        <v>263</v>
      </c>
      <c r="R12" s="91" t="s">
        <v>264</v>
      </c>
      <c r="S12" s="92" t="s">
        <v>52</v>
      </c>
      <c r="T12" s="92" t="s">
        <v>53</v>
      </c>
      <c r="U12" s="92" t="s">
        <v>265</v>
      </c>
      <c r="V12" s="92" t="s">
        <v>266</v>
      </c>
      <c r="W12" s="92" t="s">
        <v>267</v>
      </c>
      <c r="X12" s="92" t="s">
        <v>268</v>
      </c>
      <c r="Y12" s="92" t="s">
        <v>52</v>
      </c>
      <c r="Z12" s="92" t="s">
        <v>53</v>
      </c>
      <c r="AA12" s="92" t="s">
        <v>265</v>
      </c>
      <c r="AB12" s="92" t="s">
        <v>266</v>
      </c>
      <c r="AC12" s="93" t="s">
        <v>269</v>
      </c>
    </row>
    <row r="13" spans="1:29" s="40" customFormat="1" ht="18.75" x14ac:dyDescent="0.25">
      <c r="A13" s="51" t="s">
        <v>81</v>
      </c>
      <c r="B13" s="51" t="s">
        <v>16</v>
      </c>
      <c r="C13" s="94" t="s">
        <v>54</v>
      </c>
      <c r="D13" s="95" t="s">
        <v>308</v>
      </c>
      <c r="E13" s="96" t="s">
        <v>114</v>
      </c>
      <c r="F13" s="97" t="s">
        <v>270</v>
      </c>
      <c r="G13" s="98" t="e">
        <f t="shared" ref="G13:G27" si="0">CEILING(S13+W13+X13+O13+N13+Y13,10)</f>
        <v>#N/A</v>
      </c>
      <c r="H13" s="99" t="e">
        <f t="shared" ref="H13:H27" si="1">CEILING(T13+W13+X13+O13+N13+Z13,10)</f>
        <v>#N/A</v>
      </c>
      <c r="I13" s="99" t="e">
        <f t="shared" ref="I13:I27" si="2">CEILING(U13+W13+X13+O13+N13+AA13,10)</f>
        <v>#N/A</v>
      </c>
      <c r="J13" s="99" t="e">
        <f t="shared" ref="J13:J27" si="3">CEILING(V13+W13+X13+O13+N13+AB13,10)</f>
        <v>#N/A</v>
      </c>
      <c r="K13" s="57"/>
      <c r="L13" s="100" t="s">
        <v>272</v>
      </c>
      <c r="M13" s="52" t="s">
        <v>292</v>
      </c>
      <c r="N13" s="40">
        <v>0</v>
      </c>
      <c r="O13" s="53" t="e">
        <f>VLOOKUP(B13,DRAYAGE!$A$1:$C$6,3,FALSE)</f>
        <v>#N/A</v>
      </c>
      <c r="P13" s="40" t="s">
        <v>298</v>
      </c>
      <c r="S13" s="101">
        <f t="shared" ref="S13:S27" si="4">0.9*T13</f>
        <v>15300</v>
      </c>
      <c r="T13" s="54">
        <v>17000</v>
      </c>
      <c r="U13" s="103">
        <f>T13</f>
        <v>17000</v>
      </c>
      <c r="V13" s="104">
        <f t="shared" ref="V13:V27" si="5">U13*1.266</f>
        <v>21522</v>
      </c>
      <c r="X13" s="40">
        <v>0</v>
      </c>
    </row>
    <row r="14" spans="1:29" s="40" customFormat="1" ht="14.45" customHeight="1" x14ac:dyDescent="0.25">
      <c r="A14" s="51" t="s">
        <v>55</v>
      </c>
      <c r="B14" s="51" t="s">
        <v>16</v>
      </c>
      <c r="C14" s="94" t="s">
        <v>54</v>
      </c>
      <c r="D14" s="95" t="s">
        <v>308</v>
      </c>
      <c r="E14" s="96" t="s">
        <v>114</v>
      </c>
      <c r="F14" s="97" t="s">
        <v>270</v>
      </c>
      <c r="G14" s="98" t="e">
        <f t="shared" si="0"/>
        <v>#N/A</v>
      </c>
      <c r="H14" s="99" t="e">
        <f t="shared" si="1"/>
        <v>#N/A</v>
      </c>
      <c r="I14" s="99" t="e">
        <f t="shared" si="2"/>
        <v>#N/A</v>
      </c>
      <c r="J14" s="99" t="e">
        <f t="shared" si="3"/>
        <v>#N/A</v>
      </c>
      <c r="K14" s="57"/>
      <c r="L14" s="100" t="s">
        <v>272</v>
      </c>
      <c r="M14" s="52" t="s">
        <v>292</v>
      </c>
      <c r="N14" s="40">
        <v>0</v>
      </c>
      <c r="O14" s="53" t="e">
        <f>VLOOKUP(B14,DRAYAGE!$A$1:$C$6,3,FALSE)</f>
        <v>#N/A</v>
      </c>
      <c r="P14" s="40" t="s">
        <v>298</v>
      </c>
      <c r="S14" s="101">
        <f t="shared" si="4"/>
        <v>17100</v>
      </c>
      <c r="T14" s="54">
        <v>19000</v>
      </c>
      <c r="U14" s="103">
        <f t="shared" ref="U14:U54" si="6">T14</f>
        <v>19000</v>
      </c>
      <c r="V14" s="104">
        <f t="shared" si="5"/>
        <v>24054</v>
      </c>
      <c r="X14" s="40">
        <v>0</v>
      </c>
    </row>
    <row r="15" spans="1:29" s="40" customFormat="1" ht="14.45" customHeight="1" x14ac:dyDescent="0.25">
      <c r="A15" s="51" t="s">
        <v>56</v>
      </c>
      <c r="B15" s="51" t="s">
        <v>16</v>
      </c>
      <c r="C15" s="94" t="s">
        <v>54</v>
      </c>
      <c r="D15" s="95" t="s">
        <v>308</v>
      </c>
      <c r="E15" s="96" t="s">
        <v>114</v>
      </c>
      <c r="F15" s="97" t="s">
        <v>270</v>
      </c>
      <c r="G15" s="98" t="e">
        <f t="shared" si="0"/>
        <v>#N/A</v>
      </c>
      <c r="H15" s="99" t="e">
        <f t="shared" si="1"/>
        <v>#N/A</v>
      </c>
      <c r="I15" s="99" t="e">
        <f t="shared" si="2"/>
        <v>#N/A</v>
      </c>
      <c r="J15" s="99" t="e">
        <f t="shared" si="3"/>
        <v>#N/A</v>
      </c>
      <c r="K15" s="57"/>
      <c r="L15" s="100" t="s">
        <v>272</v>
      </c>
      <c r="M15" s="52" t="s">
        <v>292</v>
      </c>
      <c r="N15" s="40">
        <v>0</v>
      </c>
      <c r="O15" s="53" t="e">
        <f>VLOOKUP(B15,DRAYAGE!$A$1:$C$6,3,FALSE)</f>
        <v>#N/A</v>
      </c>
      <c r="P15" s="40" t="s">
        <v>298</v>
      </c>
      <c r="S15" s="101">
        <f t="shared" si="4"/>
        <v>15300</v>
      </c>
      <c r="T15" s="54">
        <v>17000</v>
      </c>
      <c r="U15" s="103">
        <f t="shared" si="6"/>
        <v>17000</v>
      </c>
      <c r="V15" s="104">
        <f t="shared" si="5"/>
        <v>21522</v>
      </c>
      <c r="X15" s="40">
        <v>0</v>
      </c>
    </row>
    <row r="16" spans="1:29" s="40" customFormat="1" ht="14.45" customHeight="1" x14ac:dyDescent="0.25">
      <c r="A16" s="51" t="s">
        <v>57</v>
      </c>
      <c r="B16" s="51" t="s">
        <v>16</v>
      </c>
      <c r="C16" s="94" t="s">
        <v>54</v>
      </c>
      <c r="D16" s="95" t="s">
        <v>308</v>
      </c>
      <c r="E16" s="96" t="s">
        <v>114</v>
      </c>
      <c r="F16" s="97" t="s">
        <v>270</v>
      </c>
      <c r="G16" s="98" t="e">
        <f t="shared" si="0"/>
        <v>#N/A</v>
      </c>
      <c r="H16" s="99" t="e">
        <f t="shared" si="1"/>
        <v>#N/A</v>
      </c>
      <c r="I16" s="99" t="e">
        <f t="shared" si="2"/>
        <v>#N/A</v>
      </c>
      <c r="J16" s="99" t="e">
        <f t="shared" si="3"/>
        <v>#N/A</v>
      </c>
      <c r="K16" s="57"/>
      <c r="L16" s="100" t="s">
        <v>272</v>
      </c>
      <c r="M16" s="52" t="s">
        <v>292</v>
      </c>
      <c r="N16" s="40">
        <v>0</v>
      </c>
      <c r="O16" s="53" t="e">
        <f>VLOOKUP(B16,DRAYAGE!$A$1:$C$6,3,FALSE)</f>
        <v>#N/A</v>
      </c>
      <c r="P16" s="40" t="s">
        <v>298</v>
      </c>
      <c r="S16" s="101">
        <f t="shared" si="4"/>
        <v>18000</v>
      </c>
      <c r="T16" s="54">
        <v>20000</v>
      </c>
      <c r="U16" s="103">
        <f t="shared" si="6"/>
        <v>20000</v>
      </c>
      <c r="V16" s="104">
        <f t="shared" si="5"/>
        <v>25320</v>
      </c>
      <c r="X16" s="40">
        <v>0</v>
      </c>
    </row>
    <row r="17" spans="1:29" s="40" customFormat="1" ht="14.45" customHeight="1" x14ac:dyDescent="0.25">
      <c r="A17" s="51" t="s">
        <v>59</v>
      </c>
      <c r="B17" s="51" t="s">
        <v>16</v>
      </c>
      <c r="C17" s="94" t="s">
        <v>54</v>
      </c>
      <c r="D17" s="95" t="s">
        <v>308</v>
      </c>
      <c r="E17" s="96" t="s">
        <v>114</v>
      </c>
      <c r="F17" s="97" t="s">
        <v>270</v>
      </c>
      <c r="G17" s="98" t="e">
        <f t="shared" si="0"/>
        <v>#N/A</v>
      </c>
      <c r="H17" s="99" t="e">
        <f t="shared" si="1"/>
        <v>#N/A</v>
      </c>
      <c r="I17" s="99" t="e">
        <f t="shared" si="2"/>
        <v>#N/A</v>
      </c>
      <c r="J17" s="99" t="e">
        <f t="shared" si="3"/>
        <v>#N/A</v>
      </c>
      <c r="K17" s="57"/>
      <c r="L17" s="100" t="s">
        <v>272</v>
      </c>
      <c r="M17" s="52" t="s">
        <v>292</v>
      </c>
      <c r="N17" s="40">
        <v>0</v>
      </c>
      <c r="O17" s="53" t="e">
        <f>VLOOKUP(B17,DRAYAGE!$A$1:$C$6,3,FALSE)</f>
        <v>#N/A</v>
      </c>
      <c r="P17" s="40" t="s">
        <v>298</v>
      </c>
      <c r="S17" s="101">
        <f t="shared" si="4"/>
        <v>14400</v>
      </c>
      <c r="T17" s="54">
        <v>16000</v>
      </c>
      <c r="U17" s="103">
        <f t="shared" si="6"/>
        <v>16000</v>
      </c>
      <c r="V17" s="104">
        <f t="shared" si="5"/>
        <v>20256</v>
      </c>
      <c r="X17" s="40">
        <v>0</v>
      </c>
    </row>
    <row r="18" spans="1:29" s="40" customFormat="1" ht="18.75" x14ac:dyDescent="0.25">
      <c r="A18" s="51" t="s">
        <v>60</v>
      </c>
      <c r="B18" s="51" t="s">
        <v>16</v>
      </c>
      <c r="C18" s="94" t="s">
        <v>54</v>
      </c>
      <c r="D18" s="95" t="s">
        <v>308</v>
      </c>
      <c r="E18" s="96" t="s">
        <v>114</v>
      </c>
      <c r="F18" s="97" t="s">
        <v>270</v>
      </c>
      <c r="G18" s="98" t="e">
        <f t="shared" si="0"/>
        <v>#N/A</v>
      </c>
      <c r="H18" s="99" t="e">
        <f t="shared" si="1"/>
        <v>#N/A</v>
      </c>
      <c r="I18" s="99" t="e">
        <f t="shared" si="2"/>
        <v>#N/A</v>
      </c>
      <c r="J18" s="99" t="e">
        <f t="shared" si="3"/>
        <v>#N/A</v>
      </c>
      <c r="K18" s="57"/>
      <c r="L18" s="100" t="s">
        <v>272</v>
      </c>
      <c r="M18" s="52" t="s">
        <v>292</v>
      </c>
      <c r="N18" s="40">
        <v>0</v>
      </c>
      <c r="O18" s="53" t="e">
        <f>VLOOKUP(B18,DRAYAGE!$A$1:$C$6,3,FALSE)</f>
        <v>#N/A</v>
      </c>
      <c r="P18" s="40" t="s">
        <v>298</v>
      </c>
      <c r="S18" s="101">
        <f t="shared" si="4"/>
        <v>13950</v>
      </c>
      <c r="T18" s="54">
        <v>15500</v>
      </c>
      <c r="U18" s="103">
        <f t="shared" si="6"/>
        <v>15500</v>
      </c>
      <c r="V18" s="104">
        <f t="shared" si="5"/>
        <v>19623</v>
      </c>
      <c r="X18" s="40">
        <v>0</v>
      </c>
    </row>
    <row r="19" spans="1:29" s="40" customFormat="1" ht="14.45" customHeight="1" x14ac:dyDescent="0.25">
      <c r="A19" s="51" t="s">
        <v>61</v>
      </c>
      <c r="B19" s="51" t="s">
        <v>16</v>
      </c>
      <c r="C19" s="94" t="s">
        <v>54</v>
      </c>
      <c r="D19" s="95" t="s">
        <v>308</v>
      </c>
      <c r="E19" s="96" t="s">
        <v>114</v>
      </c>
      <c r="F19" s="97" t="s">
        <v>270</v>
      </c>
      <c r="G19" s="98" t="e">
        <f t="shared" si="0"/>
        <v>#N/A</v>
      </c>
      <c r="H19" s="99" t="e">
        <f t="shared" si="1"/>
        <v>#N/A</v>
      </c>
      <c r="I19" s="99" t="e">
        <f t="shared" si="2"/>
        <v>#N/A</v>
      </c>
      <c r="J19" s="99" t="e">
        <f t="shared" si="3"/>
        <v>#N/A</v>
      </c>
      <c r="K19" s="57"/>
      <c r="L19" s="100" t="s">
        <v>272</v>
      </c>
      <c r="M19" s="52" t="s">
        <v>292</v>
      </c>
      <c r="N19" s="40">
        <v>0</v>
      </c>
      <c r="O19" s="53" t="e">
        <f>VLOOKUP(B19,DRAYAGE!$A$1:$C$6,3,FALSE)</f>
        <v>#N/A</v>
      </c>
      <c r="P19" s="40" t="s">
        <v>298</v>
      </c>
      <c r="S19" s="101">
        <f t="shared" si="4"/>
        <v>15300</v>
      </c>
      <c r="T19" s="54">
        <v>17000</v>
      </c>
      <c r="U19" s="103">
        <f t="shared" si="6"/>
        <v>17000</v>
      </c>
      <c r="V19" s="104">
        <f t="shared" si="5"/>
        <v>21522</v>
      </c>
      <c r="X19" s="40">
        <v>0</v>
      </c>
    </row>
    <row r="20" spans="1:29" s="45" customFormat="1" ht="14.45" customHeight="1" x14ac:dyDescent="0.25">
      <c r="A20" s="51" t="s">
        <v>276</v>
      </c>
      <c r="B20" s="51" t="s">
        <v>16</v>
      </c>
      <c r="C20" s="106" t="s">
        <v>54</v>
      </c>
      <c r="D20" s="95" t="s">
        <v>308</v>
      </c>
      <c r="E20" s="107" t="s">
        <v>114</v>
      </c>
      <c r="F20" s="108" t="s">
        <v>270</v>
      </c>
      <c r="G20" s="109" t="e">
        <f t="shared" si="0"/>
        <v>#N/A</v>
      </c>
      <c r="H20" s="110" t="e">
        <f t="shared" si="1"/>
        <v>#N/A</v>
      </c>
      <c r="I20" s="110" t="e">
        <f t="shared" si="2"/>
        <v>#N/A</v>
      </c>
      <c r="J20" s="110" t="e">
        <f t="shared" si="3"/>
        <v>#N/A</v>
      </c>
      <c r="K20" s="111"/>
      <c r="L20" s="112" t="s">
        <v>272</v>
      </c>
      <c r="M20" s="52" t="s">
        <v>292</v>
      </c>
      <c r="N20" s="45">
        <v>0</v>
      </c>
      <c r="O20" s="53" t="e">
        <f>VLOOKUP(B20,DRAYAGE!$A$1:$C$6,3,FALSE)</f>
        <v>#N/A</v>
      </c>
      <c r="P20" s="40" t="s">
        <v>298</v>
      </c>
      <c r="S20" s="113">
        <f t="shared" si="4"/>
        <v>15300</v>
      </c>
      <c r="T20" s="54">
        <v>17000</v>
      </c>
      <c r="U20" s="103">
        <f t="shared" si="6"/>
        <v>17000</v>
      </c>
      <c r="V20" s="114">
        <f t="shared" si="5"/>
        <v>21522</v>
      </c>
      <c r="X20" s="45">
        <v>0</v>
      </c>
      <c r="Y20" s="40">
        <f t="shared" ref="Y20:Y27" si="7">0.9*Z20</f>
        <v>135</v>
      </c>
      <c r="Z20" s="45">
        <v>150</v>
      </c>
      <c r="AA20" s="40">
        <f t="shared" ref="AA20:AA27" si="8">Z20</f>
        <v>150</v>
      </c>
      <c r="AB20" s="40">
        <f t="shared" ref="AB20:AB27" si="9">Z20*1.266</f>
        <v>189.9</v>
      </c>
    </row>
    <row r="21" spans="1:29" s="40" customFormat="1" ht="14.45" customHeight="1" x14ac:dyDescent="0.25">
      <c r="A21" s="51" t="s">
        <v>108</v>
      </c>
      <c r="B21" s="51" t="s">
        <v>16</v>
      </c>
      <c r="C21" s="94" t="s">
        <v>54</v>
      </c>
      <c r="D21" s="95" t="s">
        <v>308</v>
      </c>
      <c r="E21" s="96" t="s">
        <v>114</v>
      </c>
      <c r="F21" s="97" t="s">
        <v>270</v>
      </c>
      <c r="G21" s="98" t="e">
        <f t="shared" si="0"/>
        <v>#N/A</v>
      </c>
      <c r="H21" s="99" t="e">
        <f t="shared" si="1"/>
        <v>#N/A</v>
      </c>
      <c r="I21" s="99" t="e">
        <f t="shared" si="2"/>
        <v>#N/A</v>
      </c>
      <c r="J21" s="99" t="e">
        <f t="shared" si="3"/>
        <v>#N/A</v>
      </c>
      <c r="K21" s="57"/>
      <c r="L21" s="100" t="s">
        <v>272</v>
      </c>
      <c r="M21" s="52" t="s">
        <v>292</v>
      </c>
      <c r="N21" s="40">
        <v>0</v>
      </c>
      <c r="O21" s="53" t="e">
        <f>VLOOKUP(B21,DRAYAGE!$A$1:$C$6,3,FALSE)</f>
        <v>#N/A</v>
      </c>
      <c r="P21" s="40" t="s">
        <v>298</v>
      </c>
      <c r="S21" s="101">
        <f t="shared" si="4"/>
        <v>13950</v>
      </c>
      <c r="T21" s="54">
        <v>15500</v>
      </c>
      <c r="U21" s="103">
        <f t="shared" si="6"/>
        <v>15500</v>
      </c>
      <c r="V21" s="104">
        <f t="shared" si="5"/>
        <v>19623</v>
      </c>
      <c r="X21" s="40">
        <v>0</v>
      </c>
    </row>
    <row r="22" spans="1:29" s="40" customFormat="1" ht="14.45" customHeight="1" x14ac:dyDescent="0.25">
      <c r="A22" s="51" t="s">
        <v>62</v>
      </c>
      <c r="B22" s="51" t="s">
        <v>16</v>
      </c>
      <c r="C22" s="94" t="s">
        <v>54</v>
      </c>
      <c r="D22" s="95" t="s">
        <v>308</v>
      </c>
      <c r="E22" s="96" t="s">
        <v>114</v>
      </c>
      <c r="F22" s="97" t="s">
        <v>270</v>
      </c>
      <c r="G22" s="98" t="e">
        <f t="shared" si="0"/>
        <v>#N/A</v>
      </c>
      <c r="H22" s="99" t="e">
        <f t="shared" si="1"/>
        <v>#N/A</v>
      </c>
      <c r="I22" s="99" t="e">
        <f t="shared" si="2"/>
        <v>#N/A</v>
      </c>
      <c r="J22" s="99" t="e">
        <f t="shared" si="3"/>
        <v>#N/A</v>
      </c>
      <c r="K22" s="57"/>
      <c r="L22" s="100" t="s">
        <v>272</v>
      </c>
      <c r="M22" s="52" t="s">
        <v>292</v>
      </c>
      <c r="N22" s="40">
        <v>0</v>
      </c>
      <c r="O22" s="53" t="e">
        <f>VLOOKUP(B22,DRAYAGE!$A$1:$C$6,3,FALSE)</f>
        <v>#N/A</v>
      </c>
      <c r="P22" s="40" t="s">
        <v>298</v>
      </c>
      <c r="S22" s="101">
        <f t="shared" si="4"/>
        <v>17100</v>
      </c>
      <c r="T22" s="54">
        <v>19000</v>
      </c>
      <c r="U22" s="103">
        <f t="shared" si="6"/>
        <v>19000</v>
      </c>
      <c r="V22" s="104">
        <f t="shared" si="5"/>
        <v>24054</v>
      </c>
      <c r="X22" s="40">
        <v>0</v>
      </c>
      <c r="Y22" s="40">
        <f t="shared" si="7"/>
        <v>180</v>
      </c>
      <c r="Z22" s="40">
        <v>200</v>
      </c>
      <c r="AA22" s="40">
        <f t="shared" si="8"/>
        <v>200</v>
      </c>
      <c r="AB22" s="40">
        <f t="shared" si="9"/>
        <v>253.2</v>
      </c>
    </row>
    <row r="23" spans="1:29" s="40" customFormat="1" ht="18.75" x14ac:dyDescent="0.25">
      <c r="A23" s="51" t="s">
        <v>64</v>
      </c>
      <c r="B23" s="51" t="s">
        <v>16</v>
      </c>
      <c r="C23" s="94" t="s">
        <v>54</v>
      </c>
      <c r="D23" s="95" t="s">
        <v>308</v>
      </c>
      <c r="E23" s="96" t="s">
        <v>114</v>
      </c>
      <c r="F23" s="97" t="s">
        <v>270</v>
      </c>
      <c r="G23" s="98" t="e">
        <f t="shared" si="0"/>
        <v>#N/A</v>
      </c>
      <c r="H23" s="99" t="e">
        <f t="shared" si="1"/>
        <v>#N/A</v>
      </c>
      <c r="I23" s="99" t="e">
        <f t="shared" si="2"/>
        <v>#N/A</v>
      </c>
      <c r="J23" s="99" t="e">
        <f t="shared" si="3"/>
        <v>#N/A</v>
      </c>
      <c r="K23" s="57"/>
      <c r="L23" s="100" t="s">
        <v>272</v>
      </c>
      <c r="M23" s="52" t="s">
        <v>292</v>
      </c>
      <c r="N23" s="40">
        <v>0</v>
      </c>
      <c r="O23" s="53" t="e">
        <f>VLOOKUP(B23,DRAYAGE!$A$1:$C$6,3,FALSE)</f>
        <v>#N/A</v>
      </c>
      <c r="P23" s="40" t="s">
        <v>298</v>
      </c>
      <c r="S23" s="101">
        <f t="shared" si="4"/>
        <v>16200</v>
      </c>
      <c r="T23" s="54">
        <v>18000</v>
      </c>
      <c r="U23" s="103">
        <f t="shared" si="6"/>
        <v>18000</v>
      </c>
      <c r="V23" s="104">
        <f t="shared" si="5"/>
        <v>22788</v>
      </c>
      <c r="X23" s="40">
        <v>0</v>
      </c>
    </row>
    <row r="24" spans="1:29" s="40" customFormat="1" ht="14.45" customHeight="1" x14ac:dyDescent="0.25">
      <c r="A24" s="51" t="s">
        <v>66</v>
      </c>
      <c r="B24" s="51" t="s">
        <v>16</v>
      </c>
      <c r="C24" s="94" t="s">
        <v>54</v>
      </c>
      <c r="D24" s="95" t="s">
        <v>308</v>
      </c>
      <c r="E24" s="96" t="s">
        <v>114</v>
      </c>
      <c r="F24" s="97" t="s">
        <v>270</v>
      </c>
      <c r="G24" s="98" t="e">
        <f t="shared" si="0"/>
        <v>#N/A</v>
      </c>
      <c r="H24" s="99" t="e">
        <f t="shared" si="1"/>
        <v>#N/A</v>
      </c>
      <c r="I24" s="99" t="e">
        <f t="shared" si="2"/>
        <v>#N/A</v>
      </c>
      <c r="J24" s="99" t="e">
        <f t="shared" si="3"/>
        <v>#N/A</v>
      </c>
      <c r="K24" s="57"/>
      <c r="L24" s="100" t="s">
        <v>272</v>
      </c>
      <c r="M24" s="52" t="s">
        <v>292</v>
      </c>
      <c r="N24" s="40">
        <v>0</v>
      </c>
      <c r="O24" s="53" t="e">
        <f>VLOOKUP(B24,DRAYAGE!$A$1:$C$6,3,FALSE)</f>
        <v>#N/A</v>
      </c>
      <c r="P24" s="40" t="s">
        <v>298</v>
      </c>
      <c r="S24" s="101">
        <f t="shared" si="4"/>
        <v>15750</v>
      </c>
      <c r="T24" s="54">
        <v>17500</v>
      </c>
      <c r="U24" s="103">
        <f t="shared" si="6"/>
        <v>17500</v>
      </c>
      <c r="V24" s="104">
        <f t="shared" si="5"/>
        <v>22155</v>
      </c>
      <c r="X24" s="40">
        <v>0</v>
      </c>
    </row>
    <row r="25" spans="1:29" s="40" customFormat="1" ht="14.45" customHeight="1" x14ac:dyDescent="0.25">
      <c r="A25" s="51" t="s">
        <v>65</v>
      </c>
      <c r="B25" s="51" t="s">
        <v>16</v>
      </c>
      <c r="C25" s="94" t="s">
        <v>54</v>
      </c>
      <c r="D25" s="95" t="s">
        <v>308</v>
      </c>
      <c r="E25" s="96" t="s">
        <v>114</v>
      </c>
      <c r="F25" s="97" t="s">
        <v>270</v>
      </c>
      <c r="G25" s="98" t="e">
        <f t="shared" si="0"/>
        <v>#N/A</v>
      </c>
      <c r="H25" s="99" t="e">
        <f t="shared" si="1"/>
        <v>#N/A</v>
      </c>
      <c r="I25" s="99" t="e">
        <f t="shared" si="2"/>
        <v>#N/A</v>
      </c>
      <c r="J25" s="99" t="e">
        <f t="shared" si="3"/>
        <v>#N/A</v>
      </c>
      <c r="K25" s="57"/>
      <c r="L25" s="100" t="s">
        <v>272</v>
      </c>
      <c r="M25" s="52" t="s">
        <v>292</v>
      </c>
      <c r="N25" s="40">
        <v>0</v>
      </c>
      <c r="O25" s="53" t="e">
        <f>VLOOKUP(B25,DRAYAGE!$A$1:$C$6,3,FALSE)</f>
        <v>#N/A</v>
      </c>
      <c r="P25" s="40" t="s">
        <v>298</v>
      </c>
      <c r="S25" s="101">
        <f t="shared" si="4"/>
        <v>17100</v>
      </c>
      <c r="T25" s="54">
        <v>19000</v>
      </c>
      <c r="U25" s="103">
        <f t="shared" si="6"/>
        <v>19000</v>
      </c>
      <c r="V25" s="104">
        <f t="shared" si="5"/>
        <v>24054</v>
      </c>
      <c r="X25" s="40">
        <v>0</v>
      </c>
      <c r="Y25" s="40">
        <f t="shared" si="7"/>
        <v>360</v>
      </c>
      <c r="Z25" s="40">
        <v>400</v>
      </c>
      <c r="AA25" s="40">
        <f t="shared" si="8"/>
        <v>400</v>
      </c>
      <c r="AB25" s="40">
        <f t="shared" si="9"/>
        <v>506.4</v>
      </c>
    </row>
    <row r="26" spans="1:29" s="40" customFormat="1" ht="14.45" customHeight="1" x14ac:dyDescent="0.25">
      <c r="A26" s="51" t="s">
        <v>63</v>
      </c>
      <c r="B26" s="51" t="s">
        <v>16</v>
      </c>
      <c r="C26" s="94" t="s">
        <v>54</v>
      </c>
      <c r="D26" s="95" t="s">
        <v>308</v>
      </c>
      <c r="E26" s="96" t="s">
        <v>114</v>
      </c>
      <c r="F26" s="97" t="s">
        <v>270</v>
      </c>
      <c r="G26" s="98" t="e">
        <f t="shared" si="0"/>
        <v>#N/A</v>
      </c>
      <c r="H26" s="99" t="e">
        <f t="shared" si="1"/>
        <v>#N/A</v>
      </c>
      <c r="I26" s="99" t="e">
        <f t="shared" si="2"/>
        <v>#N/A</v>
      </c>
      <c r="J26" s="99" t="e">
        <f t="shared" si="3"/>
        <v>#N/A</v>
      </c>
      <c r="K26" s="57"/>
      <c r="L26" s="100" t="s">
        <v>272</v>
      </c>
      <c r="M26" s="52" t="s">
        <v>292</v>
      </c>
      <c r="N26" s="40">
        <v>0</v>
      </c>
      <c r="O26" s="53" t="e">
        <f>VLOOKUP(B26,DRAYAGE!$A$1:$C$6,3,FALSE)</f>
        <v>#N/A</v>
      </c>
      <c r="P26" s="40" t="s">
        <v>298</v>
      </c>
      <c r="S26" s="101">
        <f t="shared" si="4"/>
        <v>17100</v>
      </c>
      <c r="T26" s="54">
        <v>19000</v>
      </c>
      <c r="U26" s="103">
        <f t="shared" si="6"/>
        <v>19000</v>
      </c>
      <c r="V26" s="104">
        <f t="shared" si="5"/>
        <v>24054</v>
      </c>
      <c r="X26" s="40">
        <v>0</v>
      </c>
      <c r="Y26" s="40">
        <f t="shared" si="7"/>
        <v>135</v>
      </c>
      <c r="Z26" s="40">
        <v>150</v>
      </c>
      <c r="AA26" s="40">
        <f t="shared" si="8"/>
        <v>150</v>
      </c>
      <c r="AB26" s="40">
        <f t="shared" si="9"/>
        <v>189.9</v>
      </c>
    </row>
    <row r="27" spans="1:29" s="45" customFormat="1" ht="14.45" customHeight="1" x14ac:dyDescent="0.25">
      <c r="A27" s="51" t="s">
        <v>275</v>
      </c>
      <c r="B27" s="51" t="s">
        <v>16</v>
      </c>
      <c r="C27" s="106" t="s">
        <v>54</v>
      </c>
      <c r="D27" s="95" t="s">
        <v>308</v>
      </c>
      <c r="E27" s="107" t="s">
        <v>114</v>
      </c>
      <c r="F27" s="108" t="s">
        <v>270</v>
      </c>
      <c r="G27" s="98" t="e">
        <f t="shared" si="0"/>
        <v>#N/A</v>
      </c>
      <c r="H27" s="99" t="e">
        <f t="shared" si="1"/>
        <v>#N/A</v>
      </c>
      <c r="I27" s="99" t="e">
        <f t="shared" si="2"/>
        <v>#N/A</v>
      </c>
      <c r="J27" s="99" t="e">
        <f t="shared" si="3"/>
        <v>#N/A</v>
      </c>
      <c r="K27" s="111"/>
      <c r="L27" s="112" t="s">
        <v>272</v>
      </c>
      <c r="M27" s="52" t="s">
        <v>292</v>
      </c>
      <c r="N27" s="45">
        <v>0</v>
      </c>
      <c r="O27" s="53" t="e">
        <f>VLOOKUP(B27,DRAYAGE!$A$1:$C$6,3,FALSE)</f>
        <v>#N/A</v>
      </c>
      <c r="P27" s="40" t="s">
        <v>298</v>
      </c>
      <c r="R27" s="105"/>
      <c r="S27" s="113">
        <f t="shared" si="4"/>
        <v>17100</v>
      </c>
      <c r="T27" s="54">
        <v>19000</v>
      </c>
      <c r="U27" s="103">
        <f t="shared" si="6"/>
        <v>19000</v>
      </c>
      <c r="V27" s="114">
        <f t="shared" si="5"/>
        <v>24054</v>
      </c>
      <c r="X27" s="45">
        <v>0</v>
      </c>
      <c r="Y27" s="40">
        <f t="shared" si="7"/>
        <v>450</v>
      </c>
      <c r="Z27" s="45">
        <v>500</v>
      </c>
      <c r="AA27" s="40">
        <f t="shared" si="8"/>
        <v>500</v>
      </c>
      <c r="AB27" s="40">
        <f t="shared" si="9"/>
        <v>633</v>
      </c>
    </row>
    <row r="28" spans="1:29" s="40" customFormat="1" ht="14.45" customHeight="1" x14ac:dyDescent="0.25">
      <c r="A28" s="46" t="s">
        <v>83</v>
      </c>
      <c r="B28" s="88"/>
      <c r="C28" s="88"/>
      <c r="D28" s="88"/>
      <c r="E28" s="210"/>
      <c r="F28" s="211"/>
      <c r="G28" s="88"/>
      <c r="H28" s="88"/>
      <c r="I28" s="88"/>
      <c r="J28" s="88"/>
      <c r="K28" s="57"/>
      <c r="L28" s="89" t="s">
        <v>48</v>
      </c>
      <c r="M28" s="89" t="s">
        <v>261</v>
      </c>
      <c r="N28" s="90" t="s">
        <v>51</v>
      </c>
      <c r="O28" s="91" t="s">
        <v>50</v>
      </c>
      <c r="P28" s="91" t="s">
        <v>262</v>
      </c>
      <c r="Q28" s="91" t="s">
        <v>263</v>
      </c>
      <c r="R28" s="91" t="s">
        <v>264</v>
      </c>
      <c r="S28" s="92" t="s">
        <v>52</v>
      </c>
      <c r="T28" s="92">
        <v>0</v>
      </c>
      <c r="U28" s="92" t="s">
        <v>265</v>
      </c>
      <c r="V28" s="92" t="s">
        <v>266</v>
      </c>
      <c r="W28" s="92" t="s">
        <v>267</v>
      </c>
      <c r="X28" s="92" t="s">
        <v>268</v>
      </c>
      <c r="Y28" s="92" t="s">
        <v>52</v>
      </c>
      <c r="Z28" s="92" t="s">
        <v>53</v>
      </c>
      <c r="AA28" s="92" t="s">
        <v>265</v>
      </c>
      <c r="AB28" s="92" t="s">
        <v>266</v>
      </c>
      <c r="AC28" s="93" t="s">
        <v>269</v>
      </c>
    </row>
    <row r="29" spans="1:29" s="40" customFormat="1" ht="14.45" customHeight="1" x14ac:dyDescent="0.25">
      <c r="A29" s="51" t="s">
        <v>58</v>
      </c>
      <c r="B29" s="51" t="s">
        <v>21</v>
      </c>
      <c r="C29" s="94" t="s">
        <v>54</v>
      </c>
      <c r="D29" s="95" t="s">
        <v>308</v>
      </c>
      <c r="E29" s="96" t="s">
        <v>114</v>
      </c>
      <c r="F29" s="97" t="s">
        <v>270</v>
      </c>
      <c r="G29" s="98" t="e">
        <f>CEILING(S29+W29+X29+O29+N29+Y29,10)</f>
        <v>#N/A</v>
      </c>
      <c r="H29" s="99" t="e">
        <f>CEILING(T29+W29+X29+O29+N29+Z29,10)</f>
        <v>#N/A</v>
      </c>
      <c r="I29" s="99" t="e">
        <f>CEILING(U29+W29+X29+O29+N29+AA29,10)</f>
        <v>#N/A</v>
      </c>
      <c r="J29" s="99" t="e">
        <f>CEILING(V29+W29+X29+O29+N29+AB29,10)</f>
        <v>#N/A</v>
      </c>
      <c r="K29" s="57"/>
      <c r="L29" s="100" t="s">
        <v>272</v>
      </c>
      <c r="M29" s="52" t="s">
        <v>293</v>
      </c>
      <c r="N29" s="40">
        <v>0</v>
      </c>
      <c r="O29" s="53" t="e">
        <f>VLOOKUP(B29,DRAYAGE!$A$1:$C$6,3,FALSE)</f>
        <v>#N/A</v>
      </c>
      <c r="P29" s="40" t="s">
        <v>299</v>
      </c>
      <c r="S29" s="101">
        <f>0.9*T29</f>
        <v>22950</v>
      </c>
      <c r="T29" s="54">
        <v>25500</v>
      </c>
      <c r="U29" s="103">
        <f t="shared" si="6"/>
        <v>25500</v>
      </c>
      <c r="V29" s="104">
        <f>U29*1.266</f>
        <v>32283</v>
      </c>
    </row>
    <row r="30" spans="1:29" s="40" customFormat="1" ht="14.45" customHeight="1" x14ac:dyDescent="0.25">
      <c r="A30" s="51" t="s">
        <v>320</v>
      </c>
      <c r="B30" s="51" t="s">
        <v>21</v>
      </c>
      <c r="C30" s="94" t="s">
        <v>54</v>
      </c>
      <c r="D30" s="126" t="s">
        <v>290</v>
      </c>
      <c r="E30" s="96" t="s">
        <v>114</v>
      </c>
      <c r="F30" s="97" t="s">
        <v>270</v>
      </c>
      <c r="G30" s="98" t="e">
        <f>CEILING(S30+W30+X30+O30+N30+Y30,10)</f>
        <v>#N/A</v>
      </c>
      <c r="H30" s="99" t="e">
        <f>CEILING(T30+W30+X30+O30+N30+Z30,10)</f>
        <v>#N/A</v>
      </c>
      <c r="I30" s="99" t="e">
        <f>CEILING(U30+W30+X30+O30+N30+AA30,10)</f>
        <v>#N/A</v>
      </c>
      <c r="J30" s="99" t="e">
        <f>CEILING(V30+W30+X30+O30+N30+AB30,10)</f>
        <v>#N/A</v>
      </c>
      <c r="K30" s="57"/>
      <c r="L30" s="100" t="s">
        <v>272</v>
      </c>
      <c r="M30" s="52" t="s">
        <v>293</v>
      </c>
      <c r="N30" s="40">
        <v>0</v>
      </c>
      <c r="O30" s="53" t="e">
        <f>VLOOKUP(B30,DRAYAGE!$A$1:$C$6,3,FALSE)</f>
        <v>#N/A</v>
      </c>
      <c r="P30" s="40" t="s">
        <v>299</v>
      </c>
      <c r="S30" s="101">
        <f>0.9*T30</f>
        <v>22950</v>
      </c>
      <c r="T30" s="54">
        <v>25500</v>
      </c>
      <c r="U30" s="103">
        <f t="shared" si="6"/>
        <v>25500</v>
      </c>
      <c r="V30" s="104">
        <f>U30*1.266</f>
        <v>32283</v>
      </c>
    </row>
    <row r="31" spans="1:29" s="40" customFormat="1" ht="14.45" customHeight="1" x14ac:dyDescent="0.25">
      <c r="A31" s="46" t="s">
        <v>84</v>
      </c>
      <c r="B31" s="88"/>
      <c r="C31" s="88"/>
      <c r="D31" s="88"/>
      <c r="E31" s="210"/>
      <c r="F31" s="211"/>
      <c r="G31" s="88"/>
      <c r="H31" s="88"/>
      <c r="I31" s="88"/>
      <c r="J31" s="88"/>
      <c r="K31" s="57"/>
      <c r="L31" s="89" t="s">
        <v>48</v>
      </c>
      <c r="M31" s="89" t="s">
        <v>261</v>
      </c>
      <c r="N31" s="90" t="s">
        <v>51</v>
      </c>
      <c r="O31" s="91" t="s">
        <v>50</v>
      </c>
      <c r="P31" s="91" t="s">
        <v>262</v>
      </c>
      <c r="Q31" s="91" t="s">
        <v>263</v>
      </c>
      <c r="R31" s="91" t="s">
        <v>264</v>
      </c>
      <c r="S31" s="92" t="s">
        <v>52</v>
      </c>
      <c r="T31" s="92" t="s">
        <v>53</v>
      </c>
      <c r="U31" s="92" t="s">
        <v>265</v>
      </c>
      <c r="V31" s="92" t="s">
        <v>266</v>
      </c>
      <c r="W31" s="92" t="s">
        <v>267</v>
      </c>
      <c r="X31" s="92" t="s">
        <v>268</v>
      </c>
      <c r="Y31" s="92" t="s">
        <v>52</v>
      </c>
      <c r="Z31" s="92" t="s">
        <v>53</v>
      </c>
      <c r="AA31" s="92" t="s">
        <v>265</v>
      </c>
      <c r="AB31" s="92" t="s">
        <v>266</v>
      </c>
      <c r="AC31" s="93" t="s">
        <v>269</v>
      </c>
    </row>
    <row r="32" spans="1:29" s="40" customFormat="1" ht="14.45" customHeight="1" x14ac:dyDescent="0.25">
      <c r="A32" s="51" t="s">
        <v>58</v>
      </c>
      <c r="B32" s="51" t="s">
        <v>22</v>
      </c>
      <c r="C32" s="94" t="s">
        <v>54</v>
      </c>
      <c r="D32" s="95" t="s">
        <v>308</v>
      </c>
      <c r="E32" s="96" t="s">
        <v>114</v>
      </c>
      <c r="F32" s="97" t="s">
        <v>270</v>
      </c>
      <c r="G32" s="98" t="e">
        <f>CEILING(S32+W32+X32+O32+N32+Y32,10)</f>
        <v>#N/A</v>
      </c>
      <c r="H32" s="99" t="e">
        <f>CEILING(T32+W32+X32+O32+N32+Z32,10)</f>
        <v>#N/A</v>
      </c>
      <c r="I32" s="99" t="e">
        <f>CEILING(U32+W32+X32+O32+N32+AA32,10)</f>
        <v>#N/A</v>
      </c>
      <c r="J32" s="99" t="e">
        <f>CEILING(V32+W32+X32+O32+N32+AB32,10)</f>
        <v>#N/A</v>
      </c>
      <c r="K32" s="57"/>
      <c r="L32" s="100" t="s">
        <v>272</v>
      </c>
      <c r="M32" s="52" t="s">
        <v>293</v>
      </c>
      <c r="N32" s="40">
        <v>0</v>
      </c>
      <c r="O32" s="53" t="e">
        <f>VLOOKUP(B32,DRAYAGE!$A$1:$C$6,3,FALSE)</f>
        <v>#N/A</v>
      </c>
      <c r="P32" s="40" t="s">
        <v>299</v>
      </c>
      <c r="S32" s="101">
        <f>0.9*T32</f>
        <v>22950</v>
      </c>
      <c r="T32" s="54">
        <v>25500</v>
      </c>
      <c r="U32" s="103">
        <f t="shared" si="6"/>
        <v>25500</v>
      </c>
      <c r="V32" s="104">
        <f>U32*1.266</f>
        <v>32283</v>
      </c>
      <c r="X32" s="40">
        <v>0</v>
      </c>
    </row>
    <row r="33" spans="1:29" s="40" customFormat="1" ht="14.45" customHeight="1" x14ac:dyDescent="0.25">
      <c r="A33" s="51" t="s">
        <v>320</v>
      </c>
      <c r="B33" s="51" t="s">
        <v>22</v>
      </c>
      <c r="C33" s="94" t="s">
        <v>54</v>
      </c>
      <c r="D33" s="126" t="s">
        <v>290</v>
      </c>
      <c r="E33" s="96" t="s">
        <v>114</v>
      </c>
      <c r="F33" s="97" t="s">
        <v>270</v>
      </c>
      <c r="G33" s="98" t="e">
        <f>CEILING(S33+W33+X33+O33+N33+Y33,10)</f>
        <v>#N/A</v>
      </c>
      <c r="H33" s="99" t="e">
        <f>CEILING(T33+W33+X33+O33+N33+Z33,10)</f>
        <v>#N/A</v>
      </c>
      <c r="I33" s="99" t="e">
        <f>CEILING(U33+W33+X33+O33+N33+AA33,10)</f>
        <v>#N/A</v>
      </c>
      <c r="J33" s="99" t="e">
        <f>CEILING(V33+W33+X33+O33+N33+AB33,10)</f>
        <v>#N/A</v>
      </c>
      <c r="K33" s="57"/>
      <c r="L33" s="100" t="s">
        <v>272</v>
      </c>
      <c r="M33" s="52" t="s">
        <v>293</v>
      </c>
      <c r="N33" s="40">
        <v>0</v>
      </c>
      <c r="O33" s="53" t="e">
        <f>VLOOKUP(B33,DRAYAGE!$A$1:$C$6,3,FALSE)</f>
        <v>#N/A</v>
      </c>
      <c r="P33" s="40" t="s">
        <v>299</v>
      </c>
      <c r="S33" s="101">
        <f>0.9*T33</f>
        <v>22950</v>
      </c>
      <c r="T33" s="54">
        <v>25500</v>
      </c>
      <c r="U33" s="103">
        <f t="shared" si="6"/>
        <v>25500</v>
      </c>
      <c r="V33" s="104">
        <f>U33*1.266</f>
        <v>32283</v>
      </c>
      <c r="X33" s="40">
        <v>0</v>
      </c>
    </row>
    <row r="34" spans="1:29" s="40" customFormat="1" ht="14.45" customHeight="1" x14ac:dyDescent="0.25">
      <c r="A34" s="47" t="s">
        <v>85</v>
      </c>
      <c r="B34" s="88"/>
      <c r="C34" s="88"/>
      <c r="D34" s="88"/>
      <c r="E34" s="210"/>
      <c r="F34" s="211"/>
      <c r="G34" s="88"/>
      <c r="H34" s="88"/>
      <c r="I34" s="88"/>
      <c r="J34" s="88"/>
      <c r="K34" s="57"/>
      <c r="L34" s="89" t="s">
        <v>48</v>
      </c>
      <c r="M34" s="89" t="s">
        <v>261</v>
      </c>
      <c r="N34" s="90" t="s">
        <v>51</v>
      </c>
      <c r="O34" s="91" t="s">
        <v>50</v>
      </c>
      <c r="P34" s="91" t="s">
        <v>262</v>
      </c>
      <c r="Q34" s="91" t="s">
        <v>263</v>
      </c>
      <c r="R34" s="91" t="s">
        <v>264</v>
      </c>
      <c r="S34" s="92" t="s">
        <v>52</v>
      </c>
      <c r="T34" s="92" t="s">
        <v>53</v>
      </c>
      <c r="U34" s="92" t="s">
        <v>265</v>
      </c>
      <c r="V34" s="92" t="s">
        <v>266</v>
      </c>
      <c r="W34" s="92" t="s">
        <v>267</v>
      </c>
      <c r="X34" s="92" t="s">
        <v>268</v>
      </c>
      <c r="Y34" s="92" t="s">
        <v>52</v>
      </c>
      <c r="Z34" s="92" t="s">
        <v>53</v>
      </c>
      <c r="AA34" s="92" t="s">
        <v>265</v>
      </c>
      <c r="AB34" s="92" t="s">
        <v>266</v>
      </c>
      <c r="AC34" s="93" t="s">
        <v>269</v>
      </c>
    </row>
    <row r="35" spans="1:29" s="40" customFormat="1" ht="18.75" x14ac:dyDescent="0.25">
      <c r="A35" s="51" t="s">
        <v>81</v>
      </c>
      <c r="B35" s="51" t="s">
        <v>17</v>
      </c>
      <c r="C35" s="94" t="s">
        <v>54</v>
      </c>
      <c r="D35" s="95" t="s">
        <v>308</v>
      </c>
      <c r="E35" s="96" t="s">
        <v>114</v>
      </c>
      <c r="F35" s="97" t="s">
        <v>270</v>
      </c>
      <c r="G35" s="98" t="e">
        <f t="shared" ref="G35:G41" si="10">CEILING(S35+W35+X35+O35+N35+Y35,10)</f>
        <v>#N/A</v>
      </c>
      <c r="H35" s="99" t="e">
        <f t="shared" ref="H35:H41" si="11">CEILING(T35+W35+X35+O35+N35+Z35,10)</f>
        <v>#N/A</v>
      </c>
      <c r="I35" s="99" t="e">
        <f t="shared" ref="I35:I41" si="12">CEILING(U35+W35+X35+O35+N35+AA35,10)</f>
        <v>#N/A</v>
      </c>
      <c r="J35" s="99" t="e">
        <f t="shared" ref="J35:J41" si="13">CEILING(V35+W35+X35+O35+N35+AB35,10)</f>
        <v>#N/A</v>
      </c>
      <c r="K35" s="57"/>
      <c r="L35" s="100" t="s">
        <v>272</v>
      </c>
      <c r="M35" s="52" t="s">
        <v>294</v>
      </c>
      <c r="N35" s="40">
        <v>0</v>
      </c>
      <c r="O35" s="53" t="e">
        <f>VLOOKUP(B35,DRAYAGE!$A$1:$C$6,3,FALSE)</f>
        <v>#N/A</v>
      </c>
      <c r="P35" s="40" t="s">
        <v>300</v>
      </c>
      <c r="S35" s="101">
        <f t="shared" ref="S35:S41" si="14">0.9*T35</f>
        <v>20700</v>
      </c>
      <c r="T35" s="54">
        <v>23000</v>
      </c>
      <c r="U35" s="103">
        <f t="shared" si="6"/>
        <v>23000</v>
      </c>
      <c r="V35" s="104">
        <f t="shared" ref="V35:V41" si="15">U35*1.266</f>
        <v>29118</v>
      </c>
      <c r="X35" s="40">
        <v>0</v>
      </c>
    </row>
    <row r="36" spans="1:29" s="40" customFormat="1" ht="14.45" customHeight="1" x14ac:dyDescent="0.25">
      <c r="A36" s="51" t="s">
        <v>55</v>
      </c>
      <c r="B36" s="51" t="s">
        <v>17</v>
      </c>
      <c r="C36" s="94" t="s">
        <v>54</v>
      </c>
      <c r="D36" s="95" t="s">
        <v>308</v>
      </c>
      <c r="E36" s="96" t="s">
        <v>114</v>
      </c>
      <c r="F36" s="97" t="s">
        <v>270</v>
      </c>
      <c r="G36" s="98" t="e">
        <f t="shared" si="10"/>
        <v>#N/A</v>
      </c>
      <c r="H36" s="99" t="e">
        <f t="shared" si="11"/>
        <v>#N/A</v>
      </c>
      <c r="I36" s="99" t="e">
        <f t="shared" si="12"/>
        <v>#N/A</v>
      </c>
      <c r="J36" s="99" t="e">
        <f t="shared" si="13"/>
        <v>#N/A</v>
      </c>
      <c r="K36" s="57"/>
      <c r="L36" s="100" t="s">
        <v>272</v>
      </c>
      <c r="M36" s="52" t="s">
        <v>294</v>
      </c>
      <c r="N36" s="40">
        <v>0</v>
      </c>
      <c r="O36" s="53" t="e">
        <f>VLOOKUP(B36,DRAYAGE!$A$1:$C$6,3,FALSE)</f>
        <v>#N/A</v>
      </c>
      <c r="P36" s="40" t="s">
        <v>300</v>
      </c>
      <c r="S36" s="101">
        <f t="shared" si="14"/>
        <v>18900</v>
      </c>
      <c r="T36" s="54">
        <v>21000</v>
      </c>
      <c r="U36" s="103">
        <f t="shared" si="6"/>
        <v>21000</v>
      </c>
      <c r="V36" s="104">
        <f t="shared" si="15"/>
        <v>26586</v>
      </c>
      <c r="X36" s="40">
        <v>0</v>
      </c>
    </row>
    <row r="37" spans="1:29" s="40" customFormat="1" ht="14.45" customHeight="1" x14ac:dyDescent="0.25">
      <c r="A37" s="51" t="s">
        <v>59</v>
      </c>
      <c r="B37" s="51" t="s">
        <v>17</v>
      </c>
      <c r="C37" s="94" t="s">
        <v>54</v>
      </c>
      <c r="D37" s="95" t="s">
        <v>308</v>
      </c>
      <c r="E37" s="96" t="s">
        <v>114</v>
      </c>
      <c r="F37" s="97" t="s">
        <v>270</v>
      </c>
      <c r="G37" s="98" t="e">
        <f t="shared" si="10"/>
        <v>#N/A</v>
      </c>
      <c r="H37" s="99" t="e">
        <f t="shared" si="11"/>
        <v>#N/A</v>
      </c>
      <c r="I37" s="99" t="e">
        <f t="shared" si="12"/>
        <v>#N/A</v>
      </c>
      <c r="J37" s="99" t="e">
        <f t="shared" si="13"/>
        <v>#N/A</v>
      </c>
      <c r="K37" s="57"/>
      <c r="L37" s="100" t="s">
        <v>272</v>
      </c>
      <c r="M37" s="52" t="s">
        <v>294</v>
      </c>
      <c r="N37" s="40">
        <v>0</v>
      </c>
      <c r="O37" s="53" t="e">
        <f>VLOOKUP(B37,DRAYAGE!$A$1:$C$6,3,FALSE)</f>
        <v>#N/A</v>
      </c>
      <c r="P37" s="40" t="s">
        <v>300</v>
      </c>
      <c r="S37" s="101">
        <f t="shared" si="14"/>
        <v>15300</v>
      </c>
      <c r="T37" s="54">
        <v>17000</v>
      </c>
      <c r="U37" s="103">
        <f t="shared" si="6"/>
        <v>17000</v>
      </c>
      <c r="V37" s="104">
        <f t="shared" si="15"/>
        <v>21522</v>
      </c>
      <c r="X37" s="40">
        <v>0</v>
      </c>
    </row>
    <row r="38" spans="1:29" s="40" customFormat="1" ht="18.75" x14ac:dyDescent="0.25">
      <c r="A38" s="51" t="s">
        <v>60</v>
      </c>
      <c r="B38" s="51" t="s">
        <v>17</v>
      </c>
      <c r="C38" s="94" t="s">
        <v>54</v>
      </c>
      <c r="D38" s="95" t="s">
        <v>308</v>
      </c>
      <c r="E38" s="96" t="s">
        <v>114</v>
      </c>
      <c r="F38" s="97" t="s">
        <v>270</v>
      </c>
      <c r="G38" s="98" t="e">
        <f t="shared" si="10"/>
        <v>#N/A</v>
      </c>
      <c r="H38" s="99" t="e">
        <f t="shared" si="11"/>
        <v>#N/A</v>
      </c>
      <c r="I38" s="99" t="e">
        <f t="shared" si="12"/>
        <v>#N/A</v>
      </c>
      <c r="J38" s="99" t="e">
        <f t="shared" si="13"/>
        <v>#N/A</v>
      </c>
      <c r="K38" s="57"/>
      <c r="L38" s="100" t="s">
        <v>272</v>
      </c>
      <c r="M38" s="52" t="s">
        <v>294</v>
      </c>
      <c r="N38" s="40">
        <v>0</v>
      </c>
      <c r="O38" s="53" t="e">
        <f>VLOOKUP(B38,DRAYAGE!$A$1:$C$6,3,FALSE)</f>
        <v>#N/A</v>
      </c>
      <c r="P38" s="40" t="s">
        <v>300</v>
      </c>
      <c r="S38" s="101">
        <f t="shared" si="14"/>
        <v>17550</v>
      </c>
      <c r="T38" s="54">
        <v>19500</v>
      </c>
      <c r="U38" s="103">
        <f t="shared" si="6"/>
        <v>19500</v>
      </c>
      <c r="V38" s="104">
        <f t="shared" si="15"/>
        <v>24687</v>
      </c>
      <c r="X38" s="40">
        <v>0</v>
      </c>
    </row>
    <row r="39" spans="1:29" s="45" customFormat="1" ht="14.45" customHeight="1" x14ac:dyDescent="0.25">
      <c r="A39" s="51" t="s">
        <v>61</v>
      </c>
      <c r="B39" s="51" t="s">
        <v>17</v>
      </c>
      <c r="C39" s="106" t="s">
        <v>54</v>
      </c>
      <c r="D39" s="95" t="s">
        <v>308</v>
      </c>
      <c r="E39" s="107" t="s">
        <v>114</v>
      </c>
      <c r="F39" s="108" t="s">
        <v>270</v>
      </c>
      <c r="G39" s="109" t="e">
        <f t="shared" si="10"/>
        <v>#N/A</v>
      </c>
      <c r="H39" s="110" t="e">
        <f t="shared" si="11"/>
        <v>#N/A</v>
      </c>
      <c r="I39" s="110" t="e">
        <f t="shared" si="12"/>
        <v>#N/A</v>
      </c>
      <c r="J39" s="110" t="e">
        <f t="shared" si="13"/>
        <v>#N/A</v>
      </c>
      <c r="K39" s="111"/>
      <c r="L39" s="112" t="s">
        <v>272</v>
      </c>
      <c r="M39" s="52" t="s">
        <v>294</v>
      </c>
      <c r="N39" s="45">
        <v>0</v>
      </c>
      <c r="O39" s="53" t="e">
        <f>VLOOKUP(B39,DRAYAGE!$A$1:$C$6,3,FALSE)</f>
        <v>#N/A</v>
      </c>
      <c r="P39" s="40" t="s">
        <v>300</v>
      </c>
      <c r="R39" s="40"/>
      <c r="S39" s="113">
        <f t="shared" si="14"/>
        <v>20700</v>
      </c>
      <c r="T39" s="54">
        <v>23000</v>
      </c>
      <c r="U39" s="103">
        <f t="shared" si="6"/>
        <v>23000</v>
      </c>
      <c r="V39" s="114">
        <f t="shared" si="15"/>
        <v>29118</v>
      </c>
      <c r="X39" s="45">
        <v>0</v>
      </c>
      <c r="Y39" s="40"/>
      <c r="Z39" s="40"/>
      <c r="AA39" s="40"/>
      <c r="AB39" s="40"/>
    </row>
    <row r="40" spans="1:29" s="40" customFormat="1" ht="18.75" x14ac:dyDescent="0.25">
      <c r="A40" s="51" t="s">
        <v>273</v>
      </c>
      <c r="B40" s="51" t="s">
        <v>17</v>
      </c>
      <c r="C40" s="94" t="s">
        <v>54</v>
      </c>
      <c r="D40" s="95" t="s">
        <v>308</v>
      </c>
      <c r="E40" s="96" t="s">
        <v>114</v>
      </c>
      <c r="F40" s="97" t="s">
        <v>270</v>
      </c>
      <c r="G40" s="98" t="e">
        <f t="shared" si="10"/>
        <v>#N/A</v>
      </c>
      <c r="H40" s="99" t="e">
        <f t="shared" si="11"/>
        <v>#N/A</v>
      </c>
      <c r="I40" s="99" t="e">
        <f t="shared" si="12"/>
        <v>#N/A</v>
      </c>
      <c r="J40" s="99" t="e">
        <f t="shared" si="13"/>
        <v>#N/A</v>
      </c>
      <c r="K40" s="57"/>
      <c r="L40" s="100" t="s">
        <v>272</v>
      </c>
      <c r="M40" s="52" t="s">
        <v>294</v>
      </c>
      <c r="N40" s="40">
        <v>0</v>
      </c>
      <c r="O40" s="53" t="e">
        <f>VLOOKUP(B40,DRAYAGE!$A$1:$C$6,3,FALSE)</f>
        <v>#N/A</v>
      </c>
      <c r="P40" s="40" t="s">
        <v>300</v>
      </c>
      <c r="S40" s="101">
        <f t="shared" si="14"/>
        <v>22500</v>
      </c>
      <c r="T40" s="54">
        <v>25000</v>
      </c>
      <c r="U40" s="103">
        <f t="shared" si="6"/>
        <v>25000</v>
      </c>
      <c r="V40" s="104">
        <f t="shared" si="15"/>
        <v>31650</v>
      </c>
      <c r="X40" s="40">
        <v>0</v>
      </c>
    </row>
    <row r="41" spans="1:29" s="40" customFormat="1" ht="14.45" customHeight="1" x14ac:dyDescent="0.25">
      <c r="A41" s="51" t="s">
        <v>58</v>
      </c>
      <c r="B41" s="51" t="s">
        <v>17</v>
      </c>
      <c r="C41" s="94" t="s">
        <v>54</v>
      </c>
      <c r="D41" s="126" t="s">
        <v>290</v>
      </c>
      <c r="E41" s="96" t="s">
        <v>114</v>
      </c>
      <c r="F41" s="97" t="s">
        <v>270</v>
      </c>
      <c r="G41" s="98" t="e">
        <f t="shared" si="10"/>
        <v>#N/A</v>
      </c>
      <c r="H41" s="99" t="e">
        <f t="shared" si="11"/>
        <v>#N/A</v>
      </c>
      <c r="I41" s="99" t="e">
        <f t="shared" si="12"/>
        <v>#N/A</v>
      </c>
      <c r="J41" s="99" t="e">
        <f t="shared" si="13"/>
        <v>#N/A</v>
      </c>
      <c r="K41" s="57"/>
      <c r="L41" s="100" t="s">
        <v>272</v>
      </c>
      <c r="M41" s="52" t="s">
        <v>294</v>
      </c>
      <c r="N41" s="40">
        <v>0</v>
      </c>
      <c r="O41" s="53" t="e">
        <f>VLOOKUP(B41,DRAYAGE!$A$1:$C$6,3,FALSE)</f>
        <v>#N/A</v>
      </c>
      <c r="P41" s="40" t="s">
        <v>298</v>
      </c>
      <c r="S41" s="101">
        <f t="shared" si="14"/>
        <v>22950</v>
      </c>
      <c r="T41" s="54">
        <v>25500</v>
      </c>
      <c r="U41" s="103">
        <f t="shared" si="6"/>
        <v>25500</v>
      </c>
      <c r="V41" s="104">
        <f t="shared" si="15"/>
        <v>32283</v>
      </c>
      <c r="X41" s="40">
        <v>0</v>
      </c>
    </row>
    <row r="42" spans="1:29" s="40" customFormat="1" ht="14.45" customHeight="1" x14ac:dyDescent="0.25">
      <c r="A42" s="46" t="s">
        <v>98</v>
      </c>
      <c r="B42" s="88"/>
      <c r="C42" s="88"/>
      <c r="D42" s="88"/>
      <c r="E42" s="210"/>
      <c r="F42" s="211"/>
      <c r="G42" s="88"/>
      <c r="H42" s="88"/>
      <c r="I42" s="88"/>
      <c r="J42" s="88"/>
      <c r="K42" s="57"/>
      <c r="L42" s="89" t="s">
        <v>48</v>
      </c>
      <c r="M42" s="89" t="s">
        <v>261</v>
      </c>
      <c r="N42" s="90" t="s">
        <v>51</v>
      </c>
      <c r="O42" s="91" t="s">
        <v>50</v>
      </c>
      <c r="P42" s="91" t="s">
        <v>262</v>
      </c>
      <c r="Q42" s="91" t="s">
        <v>263</v>
      </c>
      <c r="R42" s="92" t="s">
        <v>52</v>
      </c>
      <c r="S42" s="92" t="s">
        <v>52</v>
      </c>
      <c r="T42" s="92" t="s">
        <v>53</v>
      </c>
      <c r="U42" s="92" t="s">
        <v>265</v>
      </c>
      <c r="V42" s="92" t="s">
        <v>266</v>
      </c>
      <c r="W42" s="92" t="s">
        <v>267</v>
      </c>
      <c r="X42" s="92" t="s">
        <v>268</v>
      </c>
      <c r="Y42" s="92" t="s">
        <v>52</v>
      </c>
      <c r="Z42" s="92" t="s">
        <v>53</v>
      </c>
      <c r="AA42" s="92" t="s">
        <v>265</v>
      </c>
      <c r="AB42" s="92" t="s">
        <v>266</v>
      </c>
      <c r="AC42" s="93" t="s">
        <v>269</v>
      </c>
    </row>
    <row r="43" spans="1:29" s="40" customFormat="1" ht="14.45" customHeight="1" x14ac:dyDescent="0.25">
      <c r="A43" s="51" t="s">
        <v>316</v>
      </c>
      <c r="B43" s="51" t="s">
        <v>106</v>
      </c>
      <c r="C43" s="94" t="s">
        <v>54</v>
      </c>
      <c r="D43" s="95" t="s">
        <v>308</v>
      </c>
      <c r="E43" s="96" t="s">
        <v>114</v>
      </c>
      <c r="F43" s="97" t="s">
        <v>270</v>
      </c>
      <c r="G43" s="98">
        <f>CEILING(S43+W43+X43+O43+N43+Y43,10)</f>
        <v>16780</v>
      </c>
      <c r="H43" s="99">
        <f>CEILING(T43+W43+X43+O43+N43+Z43,10)</f>
        <v>18480</v>
      </c>
      <c r="I43" s="99">
        <f>CEILING(U43+W43+X43+O43+N43+AA43,10)</f>
        <v>18480</v>
      </c>
      <c r="J43" s="99">
        <f>CEILING(V43+W43+X43+O43+N43+AB43,10)</f>
        <v>23000</v>
      </c>
      <c r="K43" s="57"/>
      <c r="L43" s="100" t="s">
        <v>272</v>
      </c>
      <c r="M43" s="52" t="s">
        <v>293</v>
      </c>
      <c r="N43" s="40">
        <v>0</v>
      </c>
      <c r="O43" s="53">
        <v>1476.4</v>
      </c>
      <c r="P43" s="40" t="s">
        <v>302</v>
      </c>
      <c r="R43" s="101">
        <v>19800</v>
      </c>
      <c r="S43" s="101">
        <f>0.9*T43</f>
        <v>15300</v>
      </c>
      <c r="T43" s="54">
        <v>17000</v>
      </c>
      <c r="U43" s="103">
        <f>T43</f>
        <v>17000</v>
      </c>
      <c r="V43" s="104">
        <f>U43*1.266</f>
        <v>21522</v>
      </c>
      <c r="W43" s="40">
        <v>0</v>
      </c>
    </row>
    <row r="44" spans="1:29" s="40" customFormat="1" ht="14.45" customHeight="1" x14ac:dyDescent="0.25">
      <c r="A44" s="51" t="s">
        <v>322</v>
      </c>
      <c r="B44" s="51" t="s">
        <v>106</v>
      </c>
      <c r="C44" s="94" t="s">
        <v>54</v>
      </c>
      <c r="D44" s="126" t="s">
        <v>315</v>
      </c>
      <c r="E44" s="96" t="s">
        <v>114</v>
      </c>
      <c r="F44" s="97" t="s">
        <v>270</v>
      </c>
      <c r="G44" s="98">
        <f>CEILING(S44+W44+X44+O44+N44+Y44,10)</f>
        <v>24430</v>
      </c>
      <c r="H44" s="99">
        <f>CEILING(T44+W44+X44+O44+N44+Z44,10)</f>
        <v>26980</v>
      </c>
      <c r="I44" s="99">
        <f>CEILING(U44+W44+X44+O44+N44+AA44,10)</f>
        <v>26980</v>
      </c>
      <c r="J44" s="99">
        <f>CEILING(V44+W44+X44+O44+N44+AB44,10)</f>
        <v>33760</v>
      </c>
      <c r="K44" s="57"/>
      <c r="L44" s="100" t="s">
        <v>272</v>
      </c>
      <c r="M44" s="52" t="s">
        <v>293</v>
      </c>
      <c r="N44" s="40">
        <v>0</v>
      </c>
      <c r="O44" s="53">
        <v>1476.4</v>
      </c>
      <c r="P44" s="40" t="s">
        <v>302</v>
      </c>
      <c r="R44" s="101">
        <v>19800</v>
      </c>
      <c r="S44" s="101">
        <f>0.9*T44</f>
        <v>22950</v>
      </c>
      <c r="T44" s="54">
        <v>25500</v>
      </c>
      <c r="U44" s="103">
        <f>T44</f>
        <v>25500</v>
      </c>
      <c r="V44" s="104">
        <f>U44*1.266</f>
        <v>32283</v>
      </c>
      <c r="W44" s="40">
        <v>0</v>
      </c>
    </row>
    <row r="45" spans="1:29" s="40" customFormat="1" ht="14.45" customHeight="1" x14ac:dyDescent="0.25">
      <c r="A45" s="51" t="s">
        <v>321</v>
      </c>
      <c r="B45" s="51" t="s">
        <v>106</v>
      </c>
      <c r="C45" s="94" t="s">
        <v>54</v>
      </c>
      <c r="D45" s="126" t="s">
        <v>315</v>
      </c>
      <c r="E45" s="96" t="s">
        <v>114</v>
      </c>
      <c r="F45" s="97" t="s">
        <v>270</v>
      </c>
      <c r="G45" s="98">
        <f>CEILING(S45+W45+X45+O45+N45+Y45,10)</f>
        <v>23080</v>
      </c>
      <c r="H45" s="99">
        <f>CEILING(T45+W45+X45+O45+N45+Z45,10)</f>
        <v>25480</v>
      </c>
      <c r="I45" s="99">
        <f>CEILING(U45+W45+X45+O45+N45+AA45,10)</f>
        <v>25480</v>
      </c>
      <c r="J45" s="99">
        <f>CEILING(V45+W45+X45+O45+N45+AB45,10)</f>
        <v>31870</v>
      </c>
      <c r="K45" s="57"/>
      <c r="L45" s="100" t="s">
        <v>272</v>
      </c>
      <c r="M45" s="52" t="s">
        <v>293</v>
      </c>
      <c r="N45" s="40">
        <v>0</v>
      </c>
      <c r="O45" s="53">
        <v>1476.4</v>
      </c>
      <c r="P45" s="40" t="s">
        <v>302</v>
      </c>
      <c r="R45" s="101">
        <v>19800</v>
      </c>
      <c r="S45" s="101">
        <f>0.9*T45</f>
        <v>21600</v>
      </c>
      <c r="T45" s="54">
        <v>24000</v>
      </c>
      <c r="U45" s="103">
        <f>T45</f>
        <v>24000</v>
      </c>
      <c r="V45" s="104">
        <f>U45*1.266</f>
        <v>30384</v>
      </c>
      <c r="W45" s="40">
        <v>0</v>
      </c>
    </row>
    <row r="46" spans="1:29" s="40" customFormat="1" ht="14.45" customHeight="1" x14ac:dyDescent="0.25">
      <c r="A46" s="47" t="s">
        <v>323</v>
      </c>
      <c r="B46" s="88"/>
      <c r="C46" s="88"/>
      <c r="D46" s="88"/>
      <c r="E46" s="210"/>
      <c r="F46" s="211"/>
      <c r="G46" s="88"/>
      <c r="H46" s="88"/>
      <c r="I46" s="88"/>
      <c r="J46" s="88"/>
      <c r="K46" s="57"/>
      <c r="L46" s="89" t="s">
        <v>324</v>
      </c>
      <c r="M46" s="89" t="s">
        <v>261</v>
      </c>
      <c r="N46" s="90" t="s">
        <v>51</v>
      </c>
      <c r="O46" s="91" t="s">
        <v>50</v>
      </c>
      <c r="P46" s="91" t="s">
        <v>262</v>
      </c>
      <c r="Q46" s="91" t="s">
        <v>263</v>
      </c>
      <c r="R46" s="92" t="s">
        <v>52</v>
      </c>
      <c r="S46" s="92" t="s">
        <v>52</v>
      </c>
      <c r="T46" s="92" t="s">
        <v>53</v>
      </c>
      <c r="U46" s="92" t="s">
        <v>265</v>
      </c>
      <c r="V46" s="92" t="s">
        <v>266</v>
      </c>
      <c r="W46" s="92" t="s">
        <v>267</v>
      </c>
      <c r="X46" s="92" t="s">
        <v>268</v>
      </c>
      <c r="Y46" s="92" t="s">
        <v>52</v>
      </c>
      <c r="Z46" s="92" t="s">
        <v>53</v>
      </c>
      <c r="AA46" s="92" t="s">
        <v>265</v>
      </c>
      <c r="AB46" s="92" t="s">
        <v>266</v>
      </c>
      <c r="AC46" s="93" t="s">
        <v>269</v>
      </c>
    </row>
    <row r="47" spans="1:29" s="40" customFormat="1" ht="14.45" customHeight="1" x14ac:dyDescent="0.25">
      <c r="A47" s="51" t="s">
        <v>320</v>
      </c>
      <c r="B47" s="56" t="s">
        <v>103</v>
      </c>
      <c r="C47" s="94" t="s">
        <v>54</v>
      </c>
      <c r="D47" s="126" t="s">
        <v>290</v>
      </c>
      <c r="E47" s="96" t="s">
        <v>114</v>
      </c>
      <c r="F47" s="97" t="s">
        <v>270</v>
      </c>
      <c r="G47" s="98">
        <v>18510</v>
      </c>
      <c r="H47" s="99">
        <v>20510</v>
      </c>
      <c r="I47" s="99">
        <v>20510</v>
      </c>
      <c r="J47" s="99">
        <v>25830</v>
      </c>
      <c r="K47" s="57"/>
      <c r="L47" s="100" t="s">
        <v>272</v>
      </c>
      <c r="M47" s="52" t="s">
        <v>295</v>
      </c>
      <c r="N47" s="40">
        <v>0</v>
      </c>
      <c r="O47" s="53">
        <v>504</v>
      </c>
      <c r="P47" s="40" t="s">
        <v>325</v>
      </c>
      <c r="R47" s="101">
        <v>18000</v>
      </c>
      <c r="S47" s="101">
        <f>0.9*T47</f>
        <v>23850</v>
      </c>
      <c r="T47" s="54">
        <v>26500</v>
      </c>
      <c r="U47" s="103">
        <f>T47</f>
        <v>26500</v>
      </c>
      <c r="V47" s="104">
        <f>U47*1.266</f>
        <v>33549</v>
      </c>
      <c r="W47" s="40">
        <v>0</v>
      </c>
    </row>
    <row r="48" spans="1:29" s="40" customFormat="1" ht="14.45" customHeight="1" x14ac:dyDescent="0.25">
      <c r="A48" s="47" t="s">
        <v>86</v>
      </c>
      <c r="B48" s="88"/>
      <c r="C48" s="88"/>
      <c r="D48" s="88"/>
      <c r="E48" s="210"/>
      <c r="F48" s="211"/>
      <c r="G48" s="88"/>
      <c r="H48" s="88"/>
      <c r="I48" s="88"/>
      <c r="J48" s="88"/>
      <c r="K48" s="57"/>
      <c r="L48" s="89" t="s">
        <v>48</v>
      </c>
      <c r="M48" s="89" t="s">
        <v>261</v>
      </c>
      <c r="N48" s="90" t="s">
        <v>51</v>
      </c>
      <c r="O48" s="91" t="s">
        <v>50</v>
      </c>
      <c r="P48" s="91" t="s">
        <v>262</v>
      </c>
      <c r="Q48" s="91" t="s">
        <v>263</v>
      </c>
      <c r="R48" s="91" t="s">
        <v>264</v>
      </c>
      <c r="S48" s="92" t="s">
        <v>52</v>
      </c>
      <c r="T48" s="92" t="s">
        <v>53</v>
      </c>
      <c r="U48" s="92" t="s">
        <v>265</v>
      </c>
      <c r="V48" s="92" t="s">
        <v>266</v>
      </c>
      <c r="W48" s="92" t="s">
        <v>267</v>
      </c>
      <c r="X48" s="92" t="s">
        <v>268</v>
      </c>
      <c r="Y48" s="92" t="s">
        <v>52</v>
      </c>
      <c r="Z48" s="92" t="s">
        <v>53</v>
      </c>
      <c r="AA48" s="92" t="s">
        <v>265</v>
      </c>
      <c r="AB48" s="92" t="s">
        <v>266</v>
      </c>
      <c r="AC48" s="93" t="s">
        <v>269</v>
      </c>
    </row>
    <row r="49" spans="1:24" s="40" customFormat="1" ht="18.75" x14ac:dyDescent="0.25">
      <c r="A49" s="51" t="s">
        <v>81</v>
      </c>
      <c r="B49" s="56" t="s">
        <v>19</v>
      </c>
      <c r="C49" s="94" t="s">
        <v>54</v>
      </c>
      <c r="D49" s="95" t="s">
        <v>308</v>
      </c>
      <c r="E49" s="96" t="s">
        <v>114</v>
      </c>
      <c r="F49" s="97" t="s">
        <v>270</v>
      </c>
      <c r="G49" s="98" t="e">
        <f t="shared" ref="G49:G54" si="16">CEILING(S49+W49+X49+O49+N49+Y49,10)</f>
        <v>#N/A</v>
      </c>
      <c r="H49" s="99" t="e">
        <f t="shared" ref="H49:H54" si="17">CEILING(T49+W49+X49+O49+N49+Z49,10)</f>
        <v>#N/A</v>
      </c>
      <c r="I49" s="99" t="e">
        <f t="shared" ref="I49:I54" si="18">CEILING(U49+W49+X49+O49+N49+AA49,10)</f>
        <v>#N/A</v>
      </c>
      <c r="J49" s="99" t="e">
        <f t="shared" ref="J49:J54" si="19">CEILING(V49+W49+X49+O49+N49+AB49,10)</f>
        <v>#N/A</v>
      </c>
      <c r="K49" s="57"/>
      <c r="L49" s="100" t="s">
        <v>272</v>
      </c>
      <c r="M49" s="52" t="s">
        <v>294</v>
      </c>
      <c r="N49" s="40">
        <v>0</v>
      </c>
      <c r="O49" s="53" t="e">
        <f>VLOOKUP(B49,DRAYAGE!$A$1:$C$6,3,FALSE)</f>
        <v>#N/A</v>
      </c>
      <c r="P49" s="40" t="s">
        <v>301</v>
      </c>
      <c r="S49" s="101">
        <f t="shared" ref="S49:S54" si="20">0.9*T49</f>
        <v>20700</v>
      </c>
      <c r="T49" s="54">
        <f t="shared" ref="T49:T54" si="21">T35</f>
        <v>23000</v>
      </c>
      <c r="U49" s="103">
        <f t="shared" si="6"/>
        <v>23000</v>
      </c>
      <c r="V49" s="104">
        <f t="shared" ref="V49:V55" si="22">U49*1.266</f>
        <v>29118</v>
      </c>
      <c r="X49" s="40">
        <v>0</v>
      </c>
    </row>
    <row r="50" spans="1:24" s="40" customFormat="1" ht="14.45" customHeight="1" x14ac:dyDescent="0.25">
      <c r="A50" s="51" t="s">
        <v>55</v>
      </c>
      <c r="B50" s="56" t="s">
        <v>19</v>
      </c>
      <c r="C50" s="94" t="s">
        <v>54</v>
      </c>
      <c r="D50" s="95" t="s">
        <v>308</v>
      </c>
      <c r="E50" s="96" t="s">
        <v>114</v>
      </c>
      <c r="F50" s="97" t="s">
        <v>270</v>
      </c>
      <c r="G50" s="98" t="e">
        <f t="shared" si="16"/>
        <v>#N/A</v>
      </c>
      <c r="H50" s="99" t="e">
        <f t="shared" si="17"/>
        <v>#N/A</v>
      </c>
      <c r="I50" s="99" t="e">
        <f t="shared" si="18"/>
        <v>#N/A</v>
      </c>
      <c r="J50" s="99" t="e">
        <f t="shared" si="19"/>
        <v>#N/A</v>
      </c>
      <c r="K50" s="57"/>
      <c r="L50" s="100" t="s">
        <v>272</v>
      </c>
      <c r="M50" s="52" t="s">
        <v>294</v>
      </c>
      <c r="N50" s="40">
        <v>0</v>
      </c>
      <c r="O50" s="53" t="e">
        <f>VLOOKUP(B50,DRAYAGE!$A$1:$C$6,3,FALSE)</f>
        <v>#N/A</v>
      </c>
      <c r="P50" s="40" t="s">
        <v>301</v>
      </c>
      <c r="S50" s="101">
        <f t="shared" si="20"/>
        <v>18900</v>
      </c>
      <c r="T50" s="54">
        <f t="shared" si="21"/>
        <v>21000</v>
      </c>
      <c r="U50" s="103">
        <f t="shared" si="6"/>
        <v>21000</v>
      </c>
      <c r="V50" s="104">
        <f t="shared" si="22"/>
        <v>26586</v>
      </c>
      <c r="X50" s="40">
        <v>0</v>
      </c>
    </row>
    <row r="51" spans="1:24" s="40" customFormat="1" ht="14.45" customHeight="1" x14ac:dyDescent="0.25">
      <c r="A51" s="51" t="s">
        <v>59</v>
      </c>
      <c r="B51" s="56" t="s">
        <v>19</v>
      </c>
      <c r="C51" s="94" t="s">
        <v>54</v>
      </c>
      <c r="D51" s="95" t="s">
        <v>308</v>
      </c>
      <c r="E51" s="96" t="s">
        <v>114</v>
      </c>
      <c r="F51" s="97" t="s">
        <v>270</v>
      </c>
      <c r="G51" s="98" t="e">
        <f t="shared" si="16"/>
        <v>#N/A</v>
      </c>
      <c r="H51" s="99" t="e">
        <f t="shared" si="17"/>
        <v>#N/A</v>
      </c>
      <c r="I51" s="99" t="e">
        <f t="shared" si="18"/>
        <v>#N/A</v>
      </c>
      <c r="J51" s="99" t="e">
        <f t="shared" si="19"/>
        <v>#N/A</v>
      </c>
      <c r="K51" s="57"/>
      <c r="L51" s="100" t="s">
        <v>272</v>
      </c>
      <c r="M51" s="52" t="s">
        <v>294</v>
      </c>
      <c r="N51" s="40">
        <v>0</v>
      </c>
      <c r="O51" s="53" t="e">
        <f>VLOOKUP(B51,DRAYAGE!$A$1:$C$6,3,FALSE)</f>
        <v>#N/A</v>
      </c>
      <c r="P51" s="40" t="s">
        <v>301</v>
      </c>
      <c r="S51" s="101">
        <f t="shared" si="20"/>
        <v>15300</v>
      </c>
      <c r="T51" s="54">
        <f t="shared" si="21"/>
        <v>17000</v>
      </c>
      <c r="U51" s="103">
        <f t="shared" si="6"/>
        <v>17000</v>
      </c>
      <c r="V51" s="104">
        <f t="shared" si="22"/>
        <v>21522</v>
      </c>
      <c r="X51" s="40">
        <v>0</v>
      </c>
    </row>
    <row r="52" spans="1:24" s="40" customFormat="1" ht="18.75" x14ac:dyDescent="0.25">
      <c r="A52" s="51" t="s">
        <v>60</v>
      </c>
      <c r="B52" s="56" t="s">
        <v>19</v>
      </c>
      <c r="C52" s="94" t="s">
        <v>54</v>
      </c>
      <c r="D52" s="95" t="s">
        <v>308</v>
      </c>
      <c r="E52" s="96" t="s">
        <v>114</v>
      </c>
      <c r="F52" s="97" t="s">
        <v>270</v>
      </c>
      <c r="G52" s="98" t="e">
        <f t="shared" si="16"/>
        <v>#N/A</v>
      </c>
      <c r="H52" s="99" t="e">
        <f t="shared" si="17"/>
        <v>#N/A</v>
      </c>
      <c r="I52" s="99" t="e">
        <f t="shared" si="18"/>
        <v>#N/A</v>
      </c>
      <c r="J52" s="99" t="e">
        <f t="shared" si="19"/>
        <v>#N/A</v>
      </c>
      <c r="K52" s="57"/>
      <c r="L52" s="100" t="s">
        <v>272</v>
      </c>
      <c r="M52" s="52" t="s">
        <v>294</v>
      </c>
      <c r="N52" s="40">
        <v>0</v>
      </c>
      <c r="O52" s="53" t="e">
        <f>VLOOKUP(B52,DRAYAGE!$A$1:$C$6,3,FALSE)</f>
        <v>#N/A</v>
      </c>
      <c r="P52" s="40" t="s">
        <v>301</v>
      </c>
      <c r="S52" s="101">
        <f t="shared" si="20"/>
        <v>17550</v>
      </c>
      <c r="T52" s="54">
        <f t="shared" si="21"/>
        <v>19500</v>
      </c>
      <c r="U52" s="103">
        <f t="shared" si="6"/>
        <v>19500</v>
      </c>
      <c r="V52" s="104">
        <f t="shared" si="22"/>
        <v>24687</v>
      </c>
      <c r="X52" s="40">
        <v>0</v>
      </c>
    </row>
    <row r="53" spans="1:24" s="40" customFormat="1" ht="14.45" customHeight="1" x14ac:dyDescent="0.25">
      <c r="A53" s="51" t="s">
        <v>61</v>
      </c>
      <c r="B53" s="56" t="s">
        <v>19</v>
      </c>
      <c r="C53" s="94" t="s">
        <v>54</v>
      </c>
      <c r="D53" s="95" t="s">
        <v>308</v>
      </c>
      <c r="E53" s="96" t="s">
        <v>114</v>
      </c>
      <c r="F53" s="97" t="s">
        <v>270</v>
      </c>
      <c r="G53" s="98" t="e">
        <f t="shared" si="16"/>
        <v>#N/A</v>
      </c>
      <c r="H53" s="99" t="e">
        <f t="shared" si="17"/>
        <v>#N/A</v>
      </c>
      <c r="I53" s="99" t="e">
        <f t="shared" si="18"/>
        <v>#N/A</v>
      </c>
      <c r="J53" s="99" t="e">
        <f t="shared" si="19"/>
        <v>#N/A</v>
      </c>
      <c r="K53" s="57"/>
      <c r="L53" s="100" t="s">
        <v>272</v>
      </c>
      <c r="M53" s="52" t="s">
        <v>294</v>
      </c>
      <c r="N53" s="40">
        <v>0</v>
      </c>
      <c r="O53" s="53" t="e">
        <f>VLOOKUP(B53,DRAYAGE!$A$1:$C$6,3,FALSE)</f>
        <v>#N/A</v>
      </c>
      <c r="P53" s="40" t="s">
        <v>301</v>
      </c>
      <c r="S53" s="101">
        <f t="shared" si="20"/>
        <v>20700</v>
      </c>
      <c r="T53" s="54">
        <f t="shared" si="21"/>
        <v>23000</v>
      </c>
      <c r="U53" s="103">
        <f t="shared" si="6"/>
        <v>23000</v>
      </c>
      <c r="V53" s="104">
        <f t="shared" si="22"/>
        <v>29118</v>
      </c>
      <c r="X53" s="40">
        <v>0</v>
      </c>
    </row>
    <row r="54" spans="1:24" s="40" customFormat="1" ht="18.75" x14ac:dyDescent="0.25">
      <c r="A54" s="51" t="s">
        <v>273</v>
      </c>
      <c r="B54" s="56" t="s">
        <v>19</v>
      </c>
      <c r="C54" s="94" t="s">
        <v>54</v>
      </c>
      <c r="D54" s="95" t="s">
        <v>308</v>
      </c>
      <c r="E54" s="96" t="s">
        <v>114</v>
      </c>
      <c r="F54" s="97" t="s">
        <v>270</v>
      </c>
      <c r="G54" s="98" t="e">
        <f t="shared" si="16"/>
        <v>#N/A</v>
      </c>
      <c r="H54" s="99" t="e">
        <f t="shared" si="17"/>
        <v>#N/A</v>
      </c>
      <c r="I54" s="99" t="e">
        <f t="shared" si="18"/>
        <v>#N/A</v>
      </c>
      <c r="J54" s="99" t="e">
        <f t="shared" si="19"/>
        <v>#N/A</v>
      </c>
      <c r="K54" s="57"/>
      <c r="L54" s="100" t="s">
        <v>272</v>
      </c>
      <c r="M54" s="52" t="s">
        <v>294</v>
      </c>
      <c r="N54" s="40">
        <v>0</v>
      </c>
      <c r="O54" s="53" t="e">
        <f>VLOOKUP(B54,DRAYAGE!$A$1:$C$6,3,FALSE)</f>
        <v>#N/A</v>
      </c>
      <c r="P54" s="40" t="s">
        <v>301</v>
      </c>
      <c r="S54" s="101">
        <f t="shared" si="20"/>
        <v>22500</v>
      </c>
      <c r="T54" s="54">
        <f t="shared" si="21"/>
        <v>25000</v>
      </c>
      <c r="U54" s="103">
        <f t="shared" si="6"/>
        <v>25000</v>
      </c>
      <c r="V54" s="104">
        <f t="shared" si="22"/>
        <v>31650</v>
      </c>
      <c r="X54" s="40">
        <v>0</v>
      </c>
    </row>
    <row r="55" spans="1:24" s="40" customFormat="1" ht="14.45" customHeight="1" x14ac:dyDescent="0.25">
      <c r="A55" s="212" t="s">
        <v>271</v>
      </c>
      <c r="B55" s="212"/>
      <c r="C55" s="212"/>
      <c r="D55" s="212"/>
      <c r="E55" s="212"/>
      <c r="F55" s="212"/>
      <c r="G55" s="212"/>
      <c r="H55" s="212"/>
      <c r="I55" s="212"/>
      <c r="J55" s="212"/>
      <c r="K55" s="57"/>
      <c r="L55" s="100"/>
      <c r="M55" s="100"/>
      <c r="S55" s="101">
        <f>0.9*T55</f>
        <v>90.9</v>
      </c>
      <c r="T55" s="102">
        <v>101</v>
      </c>
      <c r="U55" s="103">
        <f>T55</f>
        <v>101</v>
      </c>
      <c r="V55" s="104">
        <f t="shared" si="22"/>
        <v>127.866</v>
      </c>
    </row>
    <row r="56" spans="1:24" s="32" customFormat="1" ht="12.75" x14ac:dyDescent="0.2">
      <c r="A56" s="31"/>
      <c r="B56" s="33"/>
      <c r="C56" s="33"/>
      <c r="D56" s="33"/>
      <c r="E56" s="33"/>
      <c r="F56" s="34"/>
      <c r="G56" s="34"/>
      <c r="H56" s="34"/>
      <c r="I56" s="35"/>
      <c r="J56" s="29"/>
      <c r="K56" s="29"/>
      <c r="L56" s="27"/>
      <c r="M56" s="27"/>
      <c r="N56" s="30"/>
      <c r="O56" s="30"/>
      <c r="P56" s="30"/>
      <c r="Q56" s="30"/>
      <c r="R56" s="30"/>
      <c r="S56" s="28"/>
      <c r="T56" s="28"/>
      <c r="U56" s="28"/>
      <c r="V56" s="28"/>
      <c r="W56" s="28"/>
    </row>
    <row r="57" spans="1:24" s="37" customFormat="1" ht="14.45" customHeight="1" x14ac:dyDescent="0.25">
      <c r="A57" s="180" t="s">
        <v>111</v>
      </c>
      <c r="B57" s="180"/>
      <c r="C57" s="180"/>
      <c r="D57" s="180"/>
      <c r="E57" s="180"/>
      <c r="F57" s="180"/>
      <c r="G57" s="180"/>
      <c r="H57" s="180"/>
      <c r="I57" s="180"/>
      <c r="J57" s="180"/>
      <c r="K57" s="57"/>
    </row>
    <row r="58" spans="1:24" s="37" customFormat="1" ht="14.45" customHeight="1" x14ac:dyDescent="0.25">
      <c r="A58" s="208" t="s">
        <v>112</v>
      </c>
      <c r="B58" s="208"/>
      <c r="C58" s="208"/>
      <c r="D58" s="208"/>
      <c r="E58" s="208"/>
      <c r="F58" s="208"/>
      <c r="G58" s="208"/>
      <c r="H58" s="208"/>
      <c r="I58" s="208"/>
      <c r="J58" s="208"/>
      <c r="K58" s="57"/>
    </row>
    <row r="59" spans="1:24" s="37" customFormat="1" ht="14.45" customHeight="1" x14ac:dyDescent="0.25">
      <c r="A59" s="186" t="s">
        <v>67</v>
      </c>
      <c r="B59" s="186"/>
      <c r="C59" s="186"/>
      <c r="D59" s="186"/>
      <c r="E59" s="186" t="s">
        <v>68</v>
      </c>
      <c r="F59" s="186"/>
      <c r="G59" s="186"/>
      <c r="H59" s="186"/>
      <c r="I59" s="186"/>
      <c r="J59" s="186"/>
      <c r="K59" s="57"/>
      <c r="L59" s="209" t="s">
        <v>113</v>
      </c>
      <c r="M59" s="209"/>
      <c r="N59" s="209"/>
      <c r="O59" s="209"/>
      <c r="P59" s="209"/>
      <c r="Q59" s="209"/>
    </row>
    <row r="60" spans="1:24" s="37" customFormat="1" ht="14.45" customHeight="1" x14ac:dyDescent="0.25">
      <c r="A60" s="196" t="s">
        <v>69</v>
      </c>
      <c r="B60" s="196"/>
      <c r="C60" s="196"/>
      <c r="D60" s="196"/>
      <c r="E60" s="58" t="s">
        <v>114</v>
      </c>
      <c r="F60" s="196" t="s">
        <v>70</v>
      </c>
      <c r="G60" s="196"/>
      <c r="H60" s="196"/>
      <c r="I60" s="196"/>
      <c r="J60" s="196"/>
      <c r="K60" s="57"/>
      <c r="L60" s="197" t="s">
        <v>115</v>
      </c>
      <c r="M60" s="197"/>
      <c r="N60" s="197"/>
      <c r="O60" s="197"/>
      <c r="P60" s="197"/>
      <c r="Q60" s="197"/>
    </row>
    <row r="61" spans="1:24" s="37" customFormat="1" ht="14.45" customHeight="1" x14ac:dyDescent="0.25">
      <c r="A61" s="196" t="s">
        <v>71</v>
      </c>
      <c r="B61" s="196"/>
      <c r="C61" s="196"/>
      <c r="D61" s="201"/>
      <c r="E61" s="58" t="s">
        <v>114</v>
      </c>
      <c r="F61" s="196" t="s">
        <v>116</v>
      </c>
      <c r="G61" s="196"/>
      <c r="H61" s="196"/>
      <c r="I61" s="196"/>
      <c r="J61" s="196"/>
      <c r="K61" s="57"/>
      <c r="L61" s="197"/>
      <c r="M61" s="197"/>
      <c r="N61" s="197"/>
      <c r="O61" s="197"/>
      <c r="P61" s="197"/>
      <c r="Q61" s="197"/>
    </row>
    <row r="62" spans="1:24" s="37" customFormat="1" ht="14.45" customHeight="1" x14ac:dyDescent="0.25">
      <c r="A62" s="196" t="s">
        <v>117</v>
      </c>
      <c r="B62" s="196"/>
      <c r="C62" s="196"/>
      <c r="D62" s="201"/>
      <c r="E62" s="58" t="s">
        <v>114</v>
      </c>
      <c r="F62" s="196" t="s">
        <v>306</v>
      </c>
      <c r="G62" s="196"/>
      <c r="H62" s="196"/>
      <c r="I62" s="196"/>
      <c r="J62" s="196"/>
      <c r="K62" s="57"/>
      <c r="L62" s="59" t="s">
        <v>118</v>
      </c>
      <c r="M62" s="129"/>
      <c r="N62" s="129"/>
      <c r="O62" s="129"/>
      <c r="P62" s="129"/>
      <c r="Q62" s="129"/>
    </row>
    <row r="63" spans="1:24" s="37" customFormat="1" ht="14.45" customHeight="1" x14ac:dyDescent="0.25">
      <c r="A63" s="196" t="s">
        <v>303</v>
      </c>
      <c r="B63" s="196"/>
      <c r="C63" s="196"/>
      <c r="D63" s="201"/>
      <c r="E63" s="58" t="s">
        <v>114</v>
      </c>
      <c r="F63" s="196" t="s">
        <v>304</v>
      </c>
      <c r="G63" s="196"/>
      <c r="H63" s="196"/>
      <c r="I63" s="196"/>
      <c r="J63" s="196"/>
      <c r="K63" s="57"/>
      <c r="L63" s="59" t="s">
        <v>118</v>
      </c>
      <c r="M63" s="129"/>
      <c r="N63" s="129"/>
      <c r="O63" s="129"/>
      <c r="P63" s="129"/>
      <c r="Q63" s="129"/>
    </row>
    <row r="64" spans="1:24" s="37" customFormat="1" ht="40.5" customHeight="1" x14ac:dyDescent="0.25">
      <c r="A64" s="248" t="s">
        <v>309</v>
      </c>
      <c r="B64" s="248"/>
      <c r="C64" s="248"/>
      <c r="D64" s="243"/>
      <c r="E64" s="123" t="s">
        <v>114</v>
      </c>
      <c r="F64" s="248" t="s">
        <v>310</v>
      </c>
      <c r="G64" s="248"/>
      <c r="H64" s="248"/>
      <c r="I64" s="248"/>
      <c r="J64" s="248"/>
      <c r="K64" s="57"/>
      <c r="L64" s="59" t="s">
        <v>118</v>
      </c>
      <c r="M64" s="129"/>
      <c r="N64" s="129"/>
      <c r="O64" s="129"/>
      <c r="P64" s="129"/>
      <c r="Q64" s="129"/>
    </row>
    <row r="65" spans="1:17" s="37" customFormat="1" ht="14.45" customHeight="1" x14ac:dyDescent="0.25">
      <c r="A65" s="196" t="s">
        <v>119</v>
      </c>
      <c r="B65" s="196"/>
      <c r="C65" s="196"/>
      <c r="D65" s="196"/>
      <c r="E65" s="58" t="s">
        <v>114</v>
      </c>
      <c r="F65" s="196" t="s">
        <v>120</v>
      </c>
      <c r="G65" s="196"/>
      <c r="H65" s="196"/>
      <c r="I65" s="196"/>
      <c r="J65" s="196"/>
      <c r="K65" s="57"/>
      <c r="L65" s="197" t="s">
        <v>121</v>
      </c>
      <c r="M65" s="197"/>
      <c r="N65" s="197"/>
      <c r="O65" s="197"/>
      <c r="P65" s="197"/>
      <c r="Q65" s="197"/>
    </row>
    <row r="66" spans="1:17" s="37" customFormat="1" ht="14.45" customHeight="1" x14ac:dyDescent="0.25">
      <c r="A66" s="196" t="s">
        <v>122</v>
      </c>
      <c r="B66" s="196"/>
      <c r="C66" s="196"/>
      <c r="D66" s="196"/>
      <c r="E66" s="58" t="s">
        <v>114</v>
      </c>
      <c r="F66" s="196" t="s">
        <v>123</v>
      </c>
      <c r="G66" s="196"/>
      <c r="H66" s="196"/>
      <c r="I66" s="196"/>
      <c r="J66" s="196"/>
      <c r="K66" s="57"/>
      <c r="L66" s="197"/>
      <c r="M66" s="197"/>
      <c r="N66" s="197"/>
      <c r="O66" s="197"/>
      <c r="P66" s="197"/>
      <c r="Q66" s="197"/>
    </row>
    <row r="67" spans="1:17" s="117" customFormat="1" ht="14.45" customHeight="1" x14ac:dyDescent="0.25">
      <c r="A67" s="246" t="s">
        <v>277</v>
      </c>
      <c r="B67" s="246"/>
      <c r="C67" s="246"/>
      <c r="D67" s="246"/>
      <c r="E67" s="115" t="s">
        <v>114</v>
      </c>
      <c r="F67" s="246" t="s">
        <v>278</v>
      </c>
      <c r="G67" s="246"/>
      <c r="H67" s="246"/>
      <c r="I67" s="246"/>
      <c r="J67" s="246"/>
      <c r="K67" s="116"/>
      <c r="L67" s="247"/>
      <c r="M67" s="247"/>
      <c r="N67" s="247"/>
      <c r="O67" s="247"/>
      <c r="P67" s="247"/>
      <c r="Q67" s="247"/>
    </row>
    <row r="68" spans="1:17" s="37" customFormat="1" ht="14.45" customHeight="1" x14ac:dyDescent="0.25">
      <c r="A68" s="196" t="s">
        <v>124</v>
      </c>
      <c r="B68" s="196"/>
      <c r="C68" s="196"/>
      <c r="D68" s="196"/>
      <c r="E68" s="58" t="s">
        <v>114</v>
      </c>
      <c r="F68" s="196" t="s">
        <v>125</v>
      </c>
      <c r="G68" s="196"/>
      <c r="H68" s="196"/>
      <c r="I68" s="196"/>
      <c r="J68" s="196"/>
      <c r="K68" s="57"/>
      <c r="L68" s="197"/>
      <c r="M68" s="197"/>
      <c r="N68" s="197"/>
      <c r="O68" s="197"/>
      <c r="P68" s="197"/>
      <c r="Q68" s="197"/>
    </row>
    <row r="69" spans="1:17" s="37" customFormat="1" ht="14.45" customHeight="1" x14ac:dyDescent="0.25">
      <c r="A69" s="196" t="s">
        <v>126</v>
      </c>
      <c r="B69" s="196"/>
      <c r="C69" s="196"/>
      <c r="D69" s="201"/>
      <c r="E69" s="58" t="s">
        <v>127</v>
      </c>
      <c r="F69" s="128" t="s">
        <v>128</v>
      </c>
      <c r="G69" s="185" t="s">
        <v>129</v>
      </c>
      <c r="H69" s="185"/>
      <c r="I69" s="185"/>
      <c r="J69" s="185"/>
      <c r="K69" s="57"/>
      <c r="L69" s="197" t="s">
        <v>130</v>
      </c>
      <c r="M69" s="197"/>
      <c r="N69" s="197"/>
      <c r="O69" s="197"/>
      <c r="P69" s="197"/>
      <c r="Q69" s="197"/>
    </row>
    <row r="70" spans="1:17" s="37" customFormat="1" ht="14.45" customHeight="1" x14ac:dyDescent="0.25">
      <c r="A70" s="196" t="s">
        <v>126</v>
      </c>
      <c r="B70" s="196"/>
      <c r="C70" s="196"/>
      <c r="D70" s="196"/>
      <c r="E70" s="58" t="s">
        <v>127</v>
      </c>
      <c r="F70" s="128" t="s">
        <v>131</v>
      </c>
      <c r="G70" s="185" t="s">
        <v>132</v>
      </c>
      <c r="H70" s="185"/>
      <c r="I70" s="185"/>
      <c r="J70" s="185"/>
      <c r="K70" s="57"/>
      <c r="L70" s="197" t="s">
        <v>130</v>
      </c>
      <c r="M70" s="197"/>
      <c r="N70" s="197"/>
      <c r="O70" s="197"/>
      <c r="P70" s="197"/>
      <c r="Q70" s="197"/>
    </row>
    <row r="71" spans="1:17" s="37" customFormat="1" ht="37.5" customHeight="1" x14ac:dyDescent="0.25">
      <c r="A71" s="243" t="s">
        <v>311</v>
      </c>
      <c r="B71" s="244"/>
      <c r="C71" s="244"/>
      <c r="D71" s="245"/>
      <c r="E71" s="243" t="s">
        <v>312</v>
      </c>
      <c r="F71" s="244"/>
      <c r="G71" s="244"/>
      <c r="H71" s="244"/>
      <c r="I71" s="244"/>
      <c r="J71" s="245"/>
      <c r="K71" s="57"/>
      <c r="L71" s="197"/>
      <c r="M71" s="197"/>
      <c r="N71" s="197"/>
      <c r="O71" s="197"/>
      <c r="P71" s="197"/>
      <c r="Q71" s="197"/>
    </row>
    <row r="72" spans="1:17" s="37" customFormat="1" ht="14.45" customHeight="1" x14ac:dyDescent="0.25">
      <c r="A72" s="180" t="s">
        <v>133</v>
      </c>
      <c r="B72" s="180"/>
      <c r="C72" s="180"/>
      <c r="D72" s="180"/>
      <c r="E72" s="180"/>
      <c r="F72" s="180"/>
      <c r="G72" s="180"/>
      <c r="H72" s="180"/>
      <c r="I72" s="180"/>
      <c r="J72" s="180"/>
      <c r="K72" s="57"/>
      <c r="L72" s="129"/>
      <c r="M72" s="129"/>
    </row>
    <row r="73" spans="1:17" s="37" customFormat="1" ht="14.45" customHeight="1" x14ac:dyDescent="0.2">
      <c r="A73" s="60" t="s">
        <v>134</v>
      </c>
      <c r="B73" s="60" t="s">
        <v>135</v>
      </c>
      <c r="C73" s="60" t="s">
        <v>136</v>
      </c>
      <c r="D73" s="193" t="s">
        <v>137</v>
      </c>
      <c r="E73" s="194"/>
      <c r="F73" s="195"/>
      <c r="G73" s="61" t="s">
        <v>138</v>
      </c>
      <c r="H73" s="60" t="s">
        <v>139</v>
      </c>
      <c r="I73" s="61" t="s">
        <v>140</v>
      </c>
      <c r="J73" s="61" t="s">
        <v>141</v>
      </c>
      <c r="K73" s="57"/>
      <c r="L73" s="129"/>
      <c r="M73" s="129"/>
    </row>
    <row r="74" spans="1:17" s="37" customFormat="1" ht="14.45" customHeight="1" x14ac:dyDescent="0.2">
      <c r="A74" s="62" t="s">
        <v>142</v>
      </c>
      <c r="B74" s="62" t="s">
        <v>49</v>
      </c>
      <c r="C74" s="62" t="s">
        <v>143</v>
      </c>
      <c r="D74" s="187" t="s">
        <v>144</v>
      </c>
      <c r="E74" s="188"/>
      <c r="F74" s="189"/>
      <c r="G74" s="63">
        <v>50</v>
      </c>
      <c r="H74" s="62" t="s">
        <v>145</v>
      </c>
      <c r="I74" s="63">
        <v>150</v>
      </c>
      <c r="J74" s="63" t="s">
        <v>110</v>
      </c>
      <c r="K74" s="57"/>
      <c r="L74" s="129"/>
      <c r="M74" s="129"/>
    </row>
    <row r="75" spans="1:17" s="37" customFormat="1" ht="14.45" customHeight="1" x14ac:dyDescent="0.2">
      <c r="A75" s="62" t="s">
        <v>142</v>
      </c>
      <c r="B75" s="62" t="s">
        <v>146</v>
      </c>
      <c r="C75" s="62" t="s">
        <v>147</v>
      </c>
      <c r="D75" s="187" t="s">
        <v>148</v>
      </c>
      <c r="E75" s="188"/>
      <c r="F75" s="189"/>
      <c r="G75" s="63">
        <v>3</v>
      </c>
      <c r="H75" s="62" t="s">
        <v>149</v>
      </c>
      <c r="I75" s="63">
        <v>3</v>
      </c>
      <c r="J75" s="63" t="s">
        <v>110</v>
      </c>
      <c r="K75" s="57"/>
      <c r="L75" s="129"/>
      <c r="M75" s="129"/>
    </row>
    <row r="76" spans="1:17" s="37" customFormat="1" ht="14.45" customHeight="1" x14ac:dyDescent="0.2">
      <c r="A76" s="62" t="s">
        <v>150</v>
      </c>
      <c r="B76" s="62" t="s">
        <v>146</v>
      </c>
      <c r="C76" s="62" t="s">
        <v>147</v>
      </c>
      <c r="D76" s="187" t="s">
        <v>151</v>
      </c>
      <c r="E76" s="188"/>
      <c r="F76" s="189"/>
      <c r="G76" s="63">
        <v>3</v>
      </c>
      <c r="H76" s="62" t="s">
        <v>152</v>
      </c>
      <c r="I76" s="63">
        <v>3</v>
      </c>
      <c r="J76" s="63" t="s">
        <v>110</v>
      </c>
      <c r="K76" s="57"/>
      <c r="L76" s="129"/>
      <c r="M76" s="129"/>
    </row>
    <row r="77" spans="1:17" s="37" customFormat="1" ht="14.45" customHeight="1" x14ac:dyDescent="0.2">
      <c r="A77" s="124" t="s">
        <v>173</v>
      </c>
      <c r="B77" s="124" t="s">
        <v>49</v>
      </c>
      <c r="C77" s="124" t="s">
        <v>143</v>
      </c>
      <c r="D77" s="240" t="s">
        <v>313</v>
      </c>
      <c r="E77" s="241"/>
      <c r="F77" s="242"/>
      <c r="G77" s="125">
        <v>75</v>
      </c>
      <c r="H77" s="124" t="s">
        <v>145</v>
      </c>
      <c r="I77" s="125">
        <f>75*3</f>
        <v>225</v>
      </c>
      <c r="J77" s="125" t="s">
        <v>314</v>
      </c>
      <c r="K77" s="57"/>
      <c r="L77" s="129"/>
      <c r="M77" s="129"/>
    </row>
    <row r="78" spans="1:17" s="37" customFormat="1" ht="14.45" customHeight="1" x14ac:dyDescent="0.2">
      <c r="A78" s="62" t="s">
        <v>142</v>
      </c>
      <c r="B78" s="62" t="s">
        <v>49</v>
      </c>
      <c r="C78" s="62" t="s">
        <v>143</v>
      </c>
      <c r="D78" s="187" t="s">
        <v>279</v>
      </c>
      <c r="E78" s="188"/>
      <c r="F78" s="189"/>
      <c r="G78" s="63">
        <v>150</v>
      </c>
      <c r="H78" s="62" t="s">
        <v>280</v>
      </c>
      <c r="I78" s="63" t="s">
        <v>153</v>
      </c>
      <c r="J78" s="63" t="s">
        <v>110</v>
      </c>
      <c r="K78" s="57"/>
      <c r="L78" s="129"/>
      <c r="M78" s="129"/>
    </row>
    <row r="79" spans="1:17" s="37" customFormat="1" ht="14.45" customHeight="1" x14ac:dyDescent="0.2">
      <c r="A79" s="62" t="s">
        <v>154</v>
      </c>
      <c r="B79" s="62" t="s">
        <v>49</v>
      </c>
      <c r="C79" s="62" t="s">
        <v>143</v>
      </c>
      <c r="D79" s="187" t="s">
        <v>155</v>
      </c>
      <c r="E79" s="188"/>
      <c r="F79" s="189"/>
      <c r="G79" s="63">
        <v>250</v>
      </c>
      <c r="H79" s="62" t="s">
        <v>49</v>
      </c>
      <c r="I79" s="63" t="s">
        <v>153</v>
      </c>
      <c r="J79" s="63" t="s">
        <v>110</v>
      </c>
      <c r="K79" s="57"/>
      <c r="L79" s="129"/>
      <c r="M79" s="129"/>
    </row>
    <row r="80" spans="1:17" s="37" customFormat="1" ht="14.45" customHeight="1" x14ac:dyDescent="0.2">
      <c r="A80" s="65" t="s">
        <v>156</v>
      </c>
      <c r="B80" s="65" t="s">
        <v>49</v>
      </c>
      <c r="C80" s="65" t="s">
        <v>143</v>
      </c>
      <c r="D80" s="187" t="s">
        <v>157</v>
      </c>
      <c r="E80" s="188"/>
      <c r="F80" s="189"/>
      <c r="G80" s="63">
        <v>250</v>
      </c>
      <c r="H80" s="62" t="s">
        <v>49</v>
      </c>
      <c r="I80" s="63" t="s">
        <v>153</v>
      </c>
      <c r="J80" s="63" t="s">
        <v>110</v>
      </c>
      <c r="K80" s="57"/>
      <c r="L80" s="129"/>
      <c r="M80" s="129"/>
    </row>
    <row r="81" spans="1:13" s="37" customFormat="1" ht="14.45" customHeight="1" x14ac:dyDescent="0.2">
      <c r="A81" s="62" t="s">
        <v>142</v>
      </c>
      <c r="B81" s="62" t="s">
        <v>49</v>
      </c>
      <c r="C81" s="62" t="s">
        <v>143</v>
      </c>
      <c r="D81" s="187" t="s">
        <v>281</v>
      </c>
      <c r="E81" s="188"/>
      <c r="F81" s="189"/>
      <c r="G81" s="63">
        <v>200</v>
      </c>
      <c r="H81" s="62" t="s">
        <v>280</v>
      </c>
      <c r="I81" s="63" t="s">
        <v>153</v>
      </c>
      <c r="J81" s="63" t="s">
        <v>110</v>
      </c>
      <c r="K81" s="57"/>
      <c r="L81" s="129"/>
      <c r="M81" s="129"/>
    </row>
    <row r="82" spans="1:13" s="37" customFormat="1" ht="14.45" customHeight="1" x14ac:dyDescent="0.2">
      <c r="A82" s="62" t="s">
        <v>142</v>
      </c>
      <c r="B82" s="62" t="s">
        <v>49</v>
      </c>
      <c r="C82" s="62" t="s">
        <v>143</v>
      </c>
      <c r="D82" s="187" t="s">
        <v>158</v>
      </c>
      <c r="E82" s="188"/>
      <c r="F82" s="189"/>
      <c r="G82" s="66">
        <v>150</v>
      </c>
      <c r="H82" s="62" t="s">
        <v>49</v>
      </c>
      <c r="I82" s="66" t="s">
        <v>153</v>
      </c>
      <c r="J82" s="63" t="s">
        <v>110</v>
      </c>
      <c r="K82" s="57"/>
      <c r="L82" s="129"/>
      <c r="M82" s="129"/>
    </row>
    <row r="83" spans="1:13" s="37" customFormat="1" ht="14.45" customHeight="1" x14ac:dyDescent="0.2">
      <c r="A83" s="62" t="s">
        <v>150</v>
      </c>
      <c r="B83" s="67" t="s">
        <v>49</v>
      </c>
      <c r="C83" s="62" t="s">
        <v>143</v>
      </c>
      <c r="D83" s="187" t="s">
        <v>159</v>
      </c>
      <c r="E83" s="188"/>
      <c r="F83" s="189"/>
      <c r="G83" s="68">
        <v>180</v>
      </c>
      <c r="H83" s="67" t="s">
        <v>49</v>
      </c>
      <c r="I83" s="68" t="s">
        <v>153</v>
      </c>
      <c r="J83" s="63" t="s">
        <v>110</v>
      </c>
      <c r="K83" s="57"/>
      <c r="L83" s="129"/>
      <c r="M83" s="129"/>
    </row>
    <row r="84" spans="1:13" s="37" customFormat="1" ht="14.45" customHeight="1" x14ac:dyDescent="0.2">
      <c r="A84" s="62" t="s">
        <v>160</v>
      </c>
      <c r="B84" s="67" t="s">
        <v>49</v>
      </c>
      <c r="C84" s="62" t="s">
        <v>143</v>
      </c>
      <c r="D84" s="187" t="s">
        <v>161</v>
      </c>
      <c r="E84" s="188"/>
      <c r="F84" s="189"/>
      <c r="G84" s="69">
        <v>47.9</v>
      </c>
      <c r="H84" s="67" t="s">
        <v>24</v>
      </c>
      <c r="I84" s="69">
        <v>47.9</v>
      </c>
      <c r="J84" s="63" t="s">
        <v>110</v>
      </c>
      <c r="K84" s="57"/>
      <c r="L84" s="129"/>
      <c r="M84" s="129"/>
    </row>
    <row r="85" spans="1:13" s="37" customFormat="1" ht="14.45" customHeight="1" x14ac:dyDescent="0.2">
      <c r="A85" s="62" t="s">
        <v>160</v>
      </c>
      <c r="B85" s="67" t="s">
        <v>49</v>
      </c>
      <c r="C85" s="62" t="s">
        <v>143</v>
      </c>
      <c r="D85" s="187" t="s">
        <v>161</v>
      </c>
      <c r="E85" s="188"/>
      <c r="F85" s="189"/>
      <c r="G85" s="69">
        <v>65.400000000000006</v>
      </c>
      <c r="H85" s="67" t="s">
        <v>162</v>
      </c>
      <c r="I85" s="69">
        <v>65.400000000000006</v>
      </c>
      <c r="J85" s="63" t="s">
        <v>110</v>
      </c>
      <c r="K85" s="57"/>
      <c r="L85" s="129"/>
      <c r="M85" s="129"/>
    </row>
    <row r="86" spans="1:13" s="37" customFormat="1" ht="14.1" customHeight="1" x14ac:dyDescent="0.2">
      <c r="A86" s="62" t="s">
        <v>163</v>
      </c>
      <c r="B86" s="67" t="s">
        <v>49</v>
      </c>
      <c r="C86" s="62" t="s">
        <v>143</v>
      </c>
      <c r="D86" s="187" t="s">
        <v>164</v>
      </c>
      <c r="E86" s="188"/>
      <c r="F86" s="189"/>
      <c r="G86" s="69">
        <v>48</v>
      </c>
      <c r="H86" s="67" t="s">
        <v>49</v>
      </c>
      <c r="I86" s="69">
        <v>48</v>
      </c>
      <c r="J86" s="63" t="s">
        <v>110</v>
      </c>
      <c r="K86" s="57"/>
      <c r="L86" s="129"/>
      <c r="M86" s="129"/>
    </row>
    <row r="87" spans="1:13" s="37" customFormat="1" ht="14.45" customHeight="1" x14ac:dyDescent="0.2">
      <c r="A87" s="62" t="s">
        <v>163</v>
      </c>
      <c r="B87" s="67" t="s">
        <v>49</v>
      </c>
      <c r="C87" s="62" t="s">
        <v>143</v>
      </c>
      <c r="D87" s="187" t="s">
        <v>165</v>
      </c>
      <c r="E87" s="188"/>
      <c r="F87" s="189"/>
      <c r="G87" s="69">
        <v>18</v>
      </c>
      <c r="H87" s="67" t="s">
        <v>49</v>
      </c>
      <c r="I87" s="69">
        <v>18</v>
      </c>
      <c r="J87" s="63" t="s">
        <v>110</v>
      </c>
      <c r="K87" s="57"/>
      <c r="L87" s="129"/>
      <c r="M87" s="129"/>
    </row>
    <row r="88" spans="1:13" s="37" customFormat="1" ht="14.45" customHeight="1" x14ac:dyDescent="0.2">
      <c r="A88" s="62" t="s">
        <v>163</v>
      </c>
      <c r="B88" s="67" t="s">
        <v>49</v>
      </c>
      <c r="C88" s="62" t="s">
        <v>143</v>
      </c>
      <c r="D88" s="187" t="s">
        <v>166</v>
      </c>
      <c r="E88" s="188"/>
      <c r="F88" s="189"/>
      <c r="G88" s="69">
        <v>42</v>
      </c>
      <c r="H88" s="67" t="s">
        <v>49</v>
      </c>
      <c r="I88" s="69">
        <v>42</v>
      </c>
      <c r="J88" s="63" t="s">
        <v>110</v>
      </c>
      <c r="K88" s="57"/>
      <c r="L88" s="129"/>
      <c r="M88" s="129"/>
    </row>
    <row r="89" spans="1:13" s="37" customFormat="1" ht="14.45" customHeight="1" x14ac:dyDescent="0.2">
      <c r="A89" s="62" t="s">
        <v>167</v>
      </c>
      <c r="B89" s="62" t="s">
        <v>49</v>
      </c>
      <c r="C89" s="62" t="s">
        <v>143</v>
      </c>
      <c r="D89" s="187" t="s">
        <v>168</v>
      </c>
      <c r="E89" s="188"/>
      <c r="F89" s="189"/>
      <c r="G89" s="66">
        <v>54</v>
      </c>
      <c r="H89" s="62" t="s">
        <v>49</v>
      </c>
      <c r="I89" s="66">
        <v>54</v>
      </c>
      <c r="J89" s="63" t="s">
        <v>110</v>
      </c>
      <c r="K89" s="57"/>
      <c r="L89" s="129"/>
      <c r="M89" s="129"/>
    </row>
    <row r="90" spans="1:13" s="37" customFormat="1" ht="14.45" customHeight="1" x14ac:dyDescent="0.2">
      <c r="A90" s="67" t="s">
        <v>169</v>
      </c>
      <c r="B90" s="67" t="s">
        <v>49</v>
      </c>
      <c r="C90" s="67" t="s">
        <v>147</v>
      </c>
      <c r="D90" s="187" t="s">
        <v>170</v>
      </c>
      <c r="E90" s="188"/>
      <c r="F90" s="189"/>
      <c r="G90" s="70">
        <v>35</v>
      </c>
      <c r="H90" s="70" t="s">
        <v>280</v>
      </c>
      <c r="I90" s="70">
        <v>35</v>
      </c>
      <c r="J90" s="63" t="s">
        <v>110</v>
      </c>
      <c r="K90" s="57"/>
      <c r="L90" s="129"/>
      <c r="M90" s="129"/>
    </row>
    <row r="91" spans="1:13" s="37" customFormat="1" ht="14.45" customHeight="1" x14ac:dyDescent="0.2">
      <c r="A91" s="62" t="s">
        <v>142</v>
      </c>
      <c r="B91" s="62" t="s">
        <v>49</v>
      </c>
      <c r="C91" s="62" t="s">
        <v>143</v>
      </c>
      <c r="D91" s="187" t="s">
        <v>171</v>
      </c>
      <c r="E91" s="188"/>
      <c r="F91" s="189"/>
      <c r="G91" s="63">
        <v>85</v>
      </c>
      <c r="H91" s="62" t="s">
        <v>172</v>
      </c>
      <c r="I91" s="63" t="s">
        <v>153</v>
      </c>
      <c r="J91" s="63" t="s">
        <v>110</v>
      </c>
      <c r="K91" s="57"/>
      <c r="L91" s="129"/>
      <c r="M91" s="129"/>
    </row>
    <row r="92" spans="1:13" s="37" customFormat="1" ht="14.45" customHeight="1" x14ac:dyDescent="0.2">
      <c r="A92" s="62" t="s">
        <v>173</v>
      </c>
      <c r="B92" s="62" t="s">
        <v>146</v>
      </c>
      <c r="C92" s="62" t="s">
        <v>147</v>
      </c>
      <c r="D92" s="187" t="s">
        <v>174</v>
      </c>
      <c r="E92" s="188"/>
      <c r="F92" s="189"/>
      <c r="G92" s="63">
        <v>4</v>
      </c>
      <c r="H92" s="62" t="s">
        <v>149</v>
      </c>
      <c r="I92" s="63">
        <v>4</v>
      </c>
      <c r="J92" s="63" t="s">
        <v>110</v>
      </c>
      <c r="K92" s="57"/>
      <c r="L92" s="129"/>
      <c r="M92" s="129"/>
    </row>
    <row r="93" spans="1:13" s="37" customFormat="1" ht="14.45" customHeight="1" x14ac:dyDescent="0.2">
      <c r="A93" s="62" t="s">
        <v>173</v>
      </c>
      <c r="B93" s="62" t="s">
        <v>49</v>
      </c>
      <c r="C93" s="62" t="s">
        <v>143</v>
      </c>
      <c r="D93" s="187" t="s">
        <v>175</v>
      </c>
      <c r="E93" s="188"/>
      <c r="F93" s="189"/>
      <c r="G93" s="71" t="s">
        <v>210</v>
      </c>
      <c r="H93" s="62" t="s">
        <v>24</v>
      </c>
      <c r="I93" s="66" t="s">
        <v>153</v>
      </c>
      <c r="J93" s="63" t="s">
        <v>282</v>
      </c>
      <c r="K93" s="57"/>
      <c r="L93" s="129"/>
      <c r="M93" s="129"/>
    </row>
    <row r="94" spans="1:13" s="37" customFormat="1" ht="14.45" customHeight="1" x14ac:dyDescent="0.2">
      <c r="A94" s="62" t="s">
        <v>173</v>
      </c>
      <c r="B94" s="62" t="s">
        <v>49</v>
      </c>
      <c r="C94" s="62" t="s">
        <v>143</v>
      </c>
      <c r="D94" s="187" t="s">
        <v>176</v>
      </c>
      <c r="E94" s="188"/>
      <c r="F94" s="189"/>
      <c r="G94" s="66" t="s">
        <v>210</v>
      </c>
      <c r="H94" s="62" t="s">
        <v>162</v>
      </c>
      <c r="I94" s="66" t="s">
        <v>153</v>
      </c>
      <c r="J94" s="63" t="s">
        <v>282</v>
      </c>
      <c r="K94" s="57"/>
      <c r="L94" s="129"/>
      <c r="M94" s="129"/>
    </row>
    <row r="95" spans="1:13" s="37" customFormat="1" ht="14.45" customHeight="1" x14ac:dyDescent="0.2">
      <c r="A95" s="62" t="s">
        <v>173</v>
      </c>
      <c r="B95" s="62" t="s">
        <v>146</v>
      </c>
      <c r="C95" s="62" t="s">
        <v>147</v>
      </c>
      <c r="D95" s="187" t="s">
        <v>177</v>
      </c>
      <c r="E95" s="188"/>
      <c r="F95" s="189"/>
      <c r="G95" s="63">
        <v>2</v>
      </c>
      <c r="H95" s="62" t="s">
        <v>149</v>
      </c>
      <c r="I95" s="63">
        <v>2</v>
      </c>
      <c r="J95" s="63" t="s">
        <v>110</v>
      </c>
      <c r="K95" s="57"/>
      <c r="L95" s="129"/>
      <c r="M95" s="129"/>
    </row>
    <row r="96" spans="1:13" s="37" customFormat="1" ht="14.45" customHeight="1" x14ac:dyDescent="0.2">
      <c r="A96" s="62" t="s">
        <v>173</v>
      </c>
      <c r="B96" s="62" t="s">
        <v>146</v>
      </c>
      <c r="C96" s="62" t="s">
        <v>283</v>
      </c>
      <c r="D96" s="187" t="s">
        <v>284</v>
      </c>
      <c r="E96" s="188"/>
      <c r="F96" s="189"/>
      <c r="G96" s="63">
        <v>10</v>
      </c>
      <c r="H96" s="62" t="s">
        <v>285</v>
      </c>
      <c r="I96" s="63" t="s">
        <v>153</v>
      </c>
      <c r="J96" s="63" t="s">
        <v>110</v>
      </c>
      <c r="K96" s="57"/>
      <c r="L96" s="129"/>
      <c r="M96" s="129"/>
    </row>
    <row r="97" spans="1:16" s="37" customFormat="1" ht="14.45" customHeight="1" x14ac:dyDescent="0.2">
      <c r="A97" s="62" t="s">
        <v>142</v>
      </c>
      <c r="B97" s="62" t="s">
        <v>49</v>
      </c>
      <c r="C97" s="62" t="s">
        <v>143</v>
      </c>
      <c r="D97" s="187" t="s">
        <v>178</v>
      </c>
      <c r="E97" s="188"/>
      <c r="F97" s="189"/>
      <c r="G97" s="63">
        <v>50</v>
      </c>
      <c r="H97" s="62" t="s">
        <v>145</v>
      </c>
      <c r="I97" s="63" t="s">
        <v>153</v>
      </c>
      <c r="J97" s="63" t="s">
        <v>110</v>
      </c>
      <c r="K97" s="57"/>
      <c r="L97" s="129"/>
      <c r="M97" s="129"/>
    </row>
    <row r="98" spans="1:16" s="37" customFormat="1" ht="14.45" customHeight="1" x14ac:dyDescent="0.2">
      <c r="A98" s="62" t="s">
        <v>173</v>
      </c>
      <c r="B98" s="62" t="s">
        <v>49</v>
      </c>
      <c r="C98" s="62" t="s">
        <v>143</v>
      </c>
      <c r="D98" s="187" t="s">
        <v>179</v>
      </c>
      <c r="E98" s="188"/>
      <c r="F98" s="189"/>
      <c r="G98" s="63">
        <v>175</v>
      </c>
      <c r="H98" s="62" t="s">
        <v>49</v>
      </c>
      <c r="I98" s="63" t="s">
        <v>153</v>
      </c>
      <c r="J98" s="63" t="s">
        <v>110</v>
      </c>
      <c r="K98" s="57"/>
      <c r="L98" s="129"/>
      <c r="M98" s="129"/>
    </row>
    <row r="99" spans="1:16" s="37" customFormat="1" ht="14.45" customHeight="1" x14ac:dyDescent="0.2">
      <c r="A99" s="62" t="s">
        <v>142</v>
      </c>
      <c r="B99" s="62" t="s">
        <v>49</v>
      </c>
      <c r="C99" s="62" t="s">
        <v>147</v>
      </c>
      <c r="D99" s="187" t="s">
        <v>180</v>
      </c>
      <c r="E99" s="188"/>
      <c r="F99" s="189"/>
      <c r="G99" s="63">
        <v>40</v>
      </c>
      <c r="H99" s="62" t="s">
        <v>181</v>
      </c>
      <c r="I99" s="63" t="s">
        <v>153</v>
      </c>
      <c r="J99" s="63" t="s">
        <v>110</v>
      </c>
      <c r="K99" s="57"/>
      <c r="L99" s="129"/>
      <c r="M99" s="129"/>
    </row>
    <row r="100" spans="1:16" s="37" customFormat="1" ht="14.45" customHeight="1" x14ac:dyDescent="0.2">
      <c r="A100" s="62" t="s">
        <v>173</v>
      </c>
      <c r="B100" s="62" t="s">
        <v>146</v>
      </c>
      <c r="C100" s="62" t="s">
        <v>147</v>
      </c>
      <c r="D100" s="187" t="s">
        <v>182</v>
      </c>
      <c r="E100" s="188"/>
      <c r="F100" s="189"/>
      <c r="G100" s="63">
        <v>7.5</v>
      </c>
      <c r="H100" s="62" t="s">
        <v>152</v>
      </c>
      <c r="I100" s="63">
        <v>75</v>
      </c>
      <c r="J100" s="63" t="s">
        <v>110</v>
      </c>
      <c r="K100" s="57"/>
      <c r="L100" s="129"/>
      <c r="M100" s="129"/>
    </row>
    <row r="101" spans="1:16" s="37" customFormat="1" ht="14.45" customHeight="1" x14ac:dyDescent="0.2">
      <c r="A101" s="62" t="s">
        <v>142</v>
      </c>
      <c r="B101" s="62" t="s">
        <v>146</v>
      </c>
      <c r="C101" s="62" t="s">
        <v>147</v>
      </c>
      <c r="D101" s="187" t="s">
        <v>183</v>
      </c>
      <c r="E101" s="188"/>
      <c r="F101" s="189"/>
      <c r="G101" s="63">
        <v>20</v>
      </c>
      <c r="H101" s="62" t="s">
        <v>184</v>
      </c>
      <c r="I101" s="63" t="s">
        <v>153</v>
      </c>
      <c r="J101" s="63" t="s">
        <v>110</v>
      </c>
      <c r="K101" s="57"/>
      <c r="L101" s="129"/>
      <c r="M101" s="129"/>
    </row>
    <row r="102" spans="1:16" s="37" customFormat="1" ht="14.45" customHeight="1" x14ac:dyDescent="0.2">
      <c r="A102" s="62" t="s">
        <v>142</v>
      </c>
      <c r="B102" s="62" t="s">
        <v>146</v>
      </c>
      <c r="C102" s="62" t="s">
        <v>147</v>
      </c>
      <c r="D102" s="187" t="s">
        <v>185</v>
      </c>
      <c r="E102" s="188"/>
      <c r="F102" s="189"/>
      <c r="G102" s="63">
        <v>25</v>
      </c>
      <c r="H102" s="62" t="s">
        <v>184</v>
      </c>
      <c r="I102" s="63" t="s">
        <v>153</v>
      </c>
      <c r="J102" s="63" t="s">
        <v>110</v>
      </c>
      <c r="K102" s="57"/>
      <c r="L102" s="129"/>
      <c r="M102" s="129"/>
    </row>
    <row r="103" spans="1:16" s="37" customFormat="1" ht="14.45" customHeight="1" x14ac:dyDescent="0.2">
      <c r="A103" s="62" t="s">
        <v>142</v>
      </c>
      <c r="B103" s="62" t="s">
        <v>142</v>
      </c>
      <c r="C103" s="62" t="s">
        <v>147</v>
      </c>
      <c r="D103" s="187" t="s">
        <v>186</v>
      </c>
      <c r="E103" s="188"/>
      <c r="F103" s="189"/>
      <c r="G103" s="68">
        <v>75</v>
      </c>
      <c r="H103" s="62" t="s">
        <v>181</v>
      </c>
      <c r="I103" s="63" t="s">
        <v>153</v>
      </c>
      <c r="J103" s="63" t="s">
        <v>110</v>
      </c>
      <c r="K103" s="57"/>
      <c r="L103" s="129"/>
      <c r="M103" s="129"/>
    </row>
    <row r="104" spans="1:16" s="37" customFormat="1" ht="14.45" customHeight="1" x14ac:dyDescent="0.2">
      <c r="A104" s="62" t="s">
        <v>142</v>
      </c>
      <c r="B104" s="62" t="s">
        <v>142</v>
      </c>
      <c r="C104" s="62" t="s">
        <v>147</v>
      </c>
      <c r="D104" s="187" t="s">
        <v>187</v>
      </c>
      <c r="E104" s="188"/>
      <c r="F104" s="189"/>
      <c r="G104" s="63">
        <v>35</v>
      </c>
      <c r="H104" s="62" t="s">
        <v>181</v>
      </c>
      <c r="I104" s="63" t="s">
        <v>153</v>
      </c>
      <c r="J104" s="63" t="s">
        <v>110</v>
      </c>
      <c r="K104" s="57"/>
      <c r="L104" s="129"/>
      <c r="M104" s="129"/>
    </row>
    <row r="105" spans="1:16" s="37" customFormat="1" ht="14.45" customHeight="1" x14ac:dyDescent="0.2">
      <c r="A105" s="62" t="s">
        <v>142</v>
      </c>
      <c r="B105" s="62" t="s">
        <v>146</v>
      </c>
      <c r="C105" s="62" t="s">
        <v>143</v>
      </c>
      <c r="D105" s="187" t="s">
        <v>188</v>
      </c>
      <c r="E105" s="188"/>
      <c r="F105" s="189"/>
      <c r="G105" s="63">
        <v>100</v>
      </c>
      <c r="H105" s="62" t="s">
        <v>181</v>
      </c>
      <c r="I105" s="63" t="s">
        <v>153</v>
      </c>
      <c r="J105" s="63" t="s">
        <v>110</v>
      </c>
      <c r="K105" s="57"/>
      <c r="L105" s="129"/>
      <c r="M105" s="129"/>
    </row>
    <row r="106" spans="1:16" s="37" customFormat="1" ht="14.45" customHeight="1" x14ac:dyDescent="0.2">
      <c r="A106" s="62" t="s">
        <v>142</v>
      </c>
      <c r="B106" s="62" t="s">
        <v>146</v>
      </c>
      <c r="C106" s="62" t="s">
        <v>143</v>
      </c>
      <c r="D106" s="187" t="s">
        <v>189</v>
      </c>
      <c r="E106" s="188"/>
      <c r="F106" s="189"/>
      <c r="G106" s="63">
        <v>100</v>
      </c>
      <c r="H106" s="62" t="s">
        <v>190</v>
      </c>
      <c r="I106" s="63" t="s">
        <v>153</v>
      </c>
      <c r="J106" s="63" t="s">
        <v>110</v>
      </c>
      <c r="K106" s="57"/>
      <c r="O106" s="38"/>
      <c r="P106" s="38"/>
    </row>
    <row r="107" spans="1:16" s="37" customFormat="1" ht="14.45" customHeight="1" x14ac:dyDescent="0.2">
      <c r="A107" s="62" t="s">
        <v>142</v>
      </c>
      <c r="B107" s="62" t="s">
        <v>146</v>
      </c>
      <c r="C107" s="62" t="s">
        <v>143</v>
      </c>
      <c r="D107" s="187" t="s">
        <v>191</v>
      </c>
      <c r="E107" s="188"/>
      <c r="F107" s="189"/>
      <c r="G107" s="63">
        <v>100</v>
      </c>
      <c r="H107" s="62" t="s">
        <v>181</v>
      </c>
      <c r="I107" s="63" t="s">
        <v>153</v>
      </c>
      <c r="J107" s="63" t="s">
        <v>110</v>
      </c>
      <c r="K107" s="57"/>
      <c r="O107" s="39"/>
      <c r="P107" s="39"/>
    </row>
    <row r="108" spans="1:16" s="37" customFormat="1" ht="14.45" customHeight="1" x14ac:dyDescent="0.2">
      <c r="A108" s="62" t="s">
        <v>173</v>
      </c>
      <c r="B108" s="62" t="s">
        <v>146</v>
      </c>
      <c r="C108" s="62" t="s">
        <v>143</v>
      </c>
      <c r="D108" s="187" t="s">
        <v>189</v>
      </c>
      <c r="E108" s="188"/>
      <c r="F108" s="189"/>
      <c r="G108" s="63">
        <v>50</v>
      </c>
      <c r="H108" s="62" t="s">
        <v>192</v>
      </c>
      <c r="I108" s="63" t="s">
        <v>153</v>
      </c>
      <c r="J108" s="63" t="s">
        <v>110</v>
      </c>
      <c r="K108" s="57"/>
      <c r="O108" s="39"/>
      <c r="P108" s="39"/>
    </row>
    <row r="109" spans="1:16" s="37" customFormat="1" ht="14.45" customHeight="1" x14ac:dyDescent="0.2">
      <c r="A109" s="62" t="s">
        <v>173</v>
      </c>
      <c r="B109" s="62" t="s">
        <v>146</v>
      </c>
      <c r="C109" s="62" t="s">
        <v>143</v>
      </c>
      <c r="D109" s="187" t="s">
        <v>191</v>
      </c>
      <c r="E109" s="188"/>
      <c r="F109" s="189"/>
      <c r="G109" s="63">
        <v>50</v>
      </c>
      <c r="H109" s="62" t="s">
        <v>181</v>
      </c>
      <c r="I109" s="63" t="s">
        <v>153</v>
      </c>
      <c r="J109" s="63" t="s">
        <v>110</v>
      </c>
      <c r="K109" s="57"/>
      <c r="O109" s="38"/>
      <c r="P109" s="38"/>
    </row>
    <row r="110" spans="1:16" s="37" customFormat="1" ht="14.45" customHeight="1" x14ac:dyDescent="0.25">
      <c r="A110" s="62" t="s">
        <v>142</v>
      </c>
      <c r="B110" s="62" t="s">
        <v>146</v>
      </c>
      <c r="C110" s="62" t="s">
        <v>143</v>
      </c>
      <c r="D110" s="187" t="s">
        <v>193</v>
      </c>
      <c r="E110" s="188"/>
      <c r="F110" s="189"/>
      <c r="G110" s="63">
        <v>85</v>
      </c>
      <c r="H110" s="62" t="s">
        <v>194</v>
      </c>
      <c r="I110" s="63" t="s">
        <v>153</v>
      </c>
      <c r="J110" s="63" t="s">
        <v>110</v>
      </c>
      <c r="K110" s="57"/>
      <c r="O110" s="36"/>
      <c r="P110" s="36"/>
    </row>
    <row r="111" spans="1:16" s="37" customFormat="1" ht="14.45" customHeight="1" x14ac:dyDescent="0.25">
      <c r="A111" s="62" t="s">
        <v>173</v>
      </c>
      <c r="B111" s="62" t="s">
        <v>146</v>
      </c>
      <c r="C111" s="62" t="s">
        <v>195</v>
      </c>
      <c r="D111" s="187" t="s">
        <v>196</v>
      </c>
      <c r="E111" s="188"/>
      <c r="F111" s="189"/>
      <c r="G111" s="63">
        <v>0.1</v>
      </c>
      <c r="H111" s="62" t="s">
        <v>197</v>
      </c>
      <c r="I111" s="63">
        <v>150</v>
      </c>
      <c r="J111" s="63" t="s">
        <v>110</v>
      </c>
      <c r="K111" s="57"/>
      <c r="O111" s="36"/>
      <c r="P111" s="36"/>
    </row>
    <row r="112" spans="1:16" s="37" customFormat="1" ht="14.45" customHeight="1" x14ac:dyDescent="0.25">
      <c r="A112" s="62" t="s">
        <v>142</v>
      </c>
      <c r="B112" s="62" t="s">
        <v>49</v>
      </c>
      <c r="C112" s="62" t="s">
        <v>198</v>
      </c>
      <c r="D112" s="187" t="s">
        <v>199</v>
      </c>
      <c r="E112" s="188"/>
      <c r="F112" s="189"/>
      <c r="G112" s="63">
        <v>35</v>
      </c>
      <c r="H112" s="62" t="s">
        <v>181</v>
      </c>
      <c r="I112" s="63" t="s">
        <v>153</v>
      </c>
      <c r="J112" s="63" t="s">
        <v>110</v>
      </c>
      <c r="K112" s="57"/>
      <c r="O112" s="36"/>
      <c r="P112" s="36"/>
    </row>
    <row r="113" spans="1:29" s="37" customFormat="1" ht="14.45" customHeight="1" x14ac:dyDescent="0.25">
      <c r="A113" s="62" t="s">
        <v>142</v>
      </c>
      <c r="B113" s="62" t="s">
        <v>146</v>
      </c>
      <c r="C113" s="62" t="s">
        <v>198</v>
      </c>
      <c r="D113" s="187" t="s">
        <v>200</v>
      </c>
      <c r="E113" s="188"/>
      <c r="F113" s="189"/>
      <c r="G113" s="63">
        <v>7</v>
      </c>
      <c r="H113" s="62" t="s">
        <v>152</v>
      </c>
      <c r="I113" s="63">
        <v>7</v>
      </c>
      <c r="J113" s="63" t="s">
        <v>110</v>
      </c>
      <c r="K113" s="57"/>
      <c r="O113" s="36"/>
      <c r="P113" s="36"/>
    </row>
    <row r="114" spans="1:29" s="37" customFormat="1" ht="14.1" customHeight="1" x14ac:dyDescent="0.25">
      <c r="A114" s="62" t="s">
        <v>142</v>
      </c>
      <c r="B114" s="62" t="s">
        <v>142</v>
      </c>
      <c r="C114" s="62" t="s">
        <v>201</v>
      </c>
      <c r="D114" s="187" t="s">
        <v>202</v>
      </c>
      <c r="E114" s="188"/>
      <c r="F114" s="189"/>
      <c r="G114" s="63">
        <v>40</v>
      </c>
      <c r="H114" s="62" t="s">
        <v>203</v>
      </c>
      <c r="I114" s="63" t="s">
        <v>153</v>
      </c>
      <c r="J114" s="63" t="s">
        <v>110</v>
      </c>
      <c r="K114" s="57"/>
      <c r="O114" s="36"/>
      <c r="P114" s="36"/>
    </row>
    <row r="115" spans="1:29" s="37" customFormat="1" ht="14.1" customHeight="1" x14ac:dyDescent="0.25">
      <c r="A115" s="62" t="s">
        <v>142</v>
      </c>
      <c r="B115" s="62" t="s">
        <v>49</v>
      </c>
      <c r="C115" s="62" t="s">
        <v>143</v>
      </c>
      <c r="D115" s="187" t="s">
        <v>204</v>
      </c>
      <c r="E115" s="188"/>
      <c r="F115" s="189"/>
      <c r="G115" s="63">
        <v>50</v>
      </c>
      <c r="H115" s="62" t="s">
        <v>49</v>
      </c>
      <c r="I115" s="63" t="s">
        <v>153</v>
      </c>
      <c r="J115" s="63" t="s">
        <v>110</v>
      </c>
      <c r="K115" s="57"/>
      <c r="L115" s="38"/>
      <c r="M115" s="38"/>
      <c r="N115" s="38"/>
      <c r="O115" s="36"/>
      <c r="P115" s="36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 spans="1:29" s="39" customFormat="1" ht="14.1" customHeight="1" x14ac:dyDescent="0.25">
      <c r="A116" s="62" t="s">
        <v>142</v>
      </c>
      <c r="B116" s="62" t="s">
        <v>49</v>
      </c>
      <c r="C116" s="62" t="s">
        <v>143</v>
      </c>
      <c r="D116" s="187" t="s">
        <v>205</v>
      </c>
      <c r="E116" s="188"/>
      <c r="F116" s="189"/>
      <c r="G116" s="63">
        <v>200</v>
      </c>
      <c r="H116" s="62" t="s">
        <v>206</v>
      </c>
      <c r="I116" s="63" t="s">
        <v>153</v>
      </c>
      <c r="J116" s="63" t="s">
        <v>110</v>
      </c>
      <c r="K116" s="57"/>
      <c r="O116" s="36"/>
      <c r="P116" s="36"/>
    </row>
    <row r="117" spans="1:29" s="39" customFormat="1" ht="14.1" customHeight="1" x14ac:dyDescent="0.25">
      <c r="A117" s="62" t="s">
        <v>142</v>
      </c>
      <c r="B117" s="62" t="s">
        <v>49</v>
      </c>
      <c r="C117" s="62" t="s">
        <v>143</v>
      </c>
      <c r="D117" s="187" t="s">
        <v>207</v>
      </c>
      <c r="E117" s="188"/>
      <c r="F117" s="189"/>
      <c r="G117" s="63">
        <v>250</v>
      </c>
      <c r="H117" s="62" t="s">
        <v>208</v>
      </c>
      <c r="I117" s="63">
        <v>100</v>
      </c>
      <c r="J117" s="63" t="s">
        <v>110</v>
      </c>
      <c r="K117" s="57"/>
      <c r="L117" s="38"/>
      <c r="M117" s="38"/>
      <c r="N117" s="38"/>
      <c r="O117" s="36"/>
      <c r="P117" s="36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 spans="1:29" s="38" customFormat="1" ht="14.1" customHeight="1" x14ac:dyDescent="0.25">
      <c r="A118" s="62" t="s">
        <v>142</v>
      </c>
      <c r="B118" s="62" t="s">
        <v>49</v>
      </c>
      <c r="C118" s="62" t="s">
        <v>201</v>
      </c>
      <c r="D118" s="187" t="s">
        <v>209</v>
      </c>
      <c r="E118" s="188"/>
      <c r="F118" s="189"/>
      <c r="G118" s="63" t="s">
        <v>210</v>
      </c>
      <c r="H118" s="62"/>
      <c r="I118" s="63" t="s">
        <v>153</v>
      </c>
      <c r="J118" s="63" t="s">
        <v>110</v>
      </c>
      <c r="K118" s="57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:29" s="36" customFormat="1" x14ac:dyDescent="0.25">
      <c r="A119" s="62" t="s">
        <v>142</v>
      </c>
      <c r="B119" s="62" t="s">
        <v>49</v>
      </c>
      <c r="C119" s="62" t="s">
        <v>201</v>
      </c>
      <c r="D119" s="187" t="s">
        <v>211</v>
      </c>
      <c r="E119" s="188"/>
      <c r="F119" s="189"/>
      <c r="G119" s="63" t="s">
        <v>212</v>
      </c>
      <c r="H119" s="62"/>
      <c r="I119" s="63" t="s">
        <v>153</v>
      </c>
      <c r="J119" s="63" t="s">
        <v>110</v>
      </c>
      <c r="K119" s="72"/>
    </row>
    <row r="120" spans="1:29" s="36" customFormat="1" x14ac:dyDescent="0.25">
      <c r="A120" s="62" t="s">
        <v>213</v>
      </c>
      <c r="B120" s="62" t="s">
        <v>49</v>
      </c>
      <c r="C120" s="62" t="s">
        <v>214</v>
      </c>
      <c r="D120" s="187" t="s">
        <v>215</v>
      </c>
      <c r="E120" s="188"/>
      <c r="F120" s="189"/>
      <c r="G120" s="63">
        <v>100</v>
      </c>
      <c r="H120" s="62" t="s">
        <v>49</v>
      </c>
      <c r="I120" s="63">
        <v>100</v>
      </c>
      <c r="J120" s="63" t="s">
        <v>110</v>
      </c>
      <c r="K120" s="72"/>
    </row>
    <row r="121" spans="1:29" s="36" customFormat="1" x14ac:dyDescent="0.25">
      <c r="A121" s="62" t="s">
        <v>213</v>
      </c>
      <c r="B121" s="62" t="s">
        <v>216</v>
      </c>
      <c r="C121" s="62" t="s">
        <v>147</v>
      </c>
      <c r="D121" s="187" t="s">
        <v>217</v>
      </c>
      <c r="E121" s="188"/>
      <c r="F121" s="189"/>
      <c r="G121" s="63">
        <v>50</v>
      </c>
      <c r="H121" s="62"/>
      <c r="I121" s="63">
        <v>50</v>
      </c>
      <c r="J121" s="63" t="s">
        <v>110</v>
      </c>
      <c r="K121" s="72"/>
    </row>
    <row r="122" spans="1:29" s="36" customFormat="1" x14ac:dyDescent="0.25">
      <c r="A122" s="62" t="s">
        <v>150</v>
      </c>
      <c r="B122" s="62" t="s">
        <v>49</v>
      </c>
      <c r="C122" s="62" t="s">
        <v>218</v>
      </c>
      <c r="D122" s="187" t="s">
        <v>219</v>
      </c>
      <c r="E122" s="188"/>
      <c r="F122" s="189"/>
      <c r="G122" s="69" t="s">
        <v>220</v>
      </c>
      <c r="H122" s="67" t="s">
        <v>49</v>
      </c>
      <c r="I122" s="69" t="s">
        <v>153</v>
      </c>
      <c r="J122" s="63" t="s">
        <v>110</v>
      </c>
      <c r="K122" s="72"/>
    </row>
    <row r="123" spans="1:29" s="36" customFormat="1" x14ac:dyDescent="0.25">
      <c r="A123" s="62" t="s">
        <v>221</v>
      </c>
      <c r="B123" s="62" t="s">
        <v>49</v>
      </c>
      <c r="C123" s="62" t="s">
        <v>201</v>
      </c>
      <c r="D123" s="187" t="s">
        <v>222</v>
      </c>
      <c r="E123" s="188"/>
      <c r="F123" s="189"/>
      <c r="G123" s="69" t="s">
        <v>220</v>
      </c>
      <c r="H123" s="67" t="s">
        <v>49</v>
      </c>
      <c r="I123" s="69" t="s">
        <v>153</v>
      </c>
      <c r="J123" s="63" t="s">
        <v>110</v>
      </c>
      <c r="K123" s="72"/>
    </row>
    <row r="124" spans="1:29" s="36" customFormat="1" x14ac:dyDescent="0.25">
      <c r="A124" s="62" t="s">
        <v>142</v>
      </c>
      <c r="B124" s="62" t="s">
        <v>49</v>
      </c>
      <c r="C124" s="62" t="s">
        <v>223</v>
      </c>
      <c r="D124" s="187" t="s">
        <v>224</v>
      </c>
      <c r="E124" s="188"/>
      <c r="F124" s="189"/>
      <c r="G124" s="63" t="s">
        <v>225</v>
      </c>
      <c r="H124" s="62"/>
      <c r="I124" s="63" t="s">
        <v>153</v>
      </c>
      <c r="J124" s="63" t="s">
        <v>110</v>
      </c>
      <c r="K124" s="72"/>
    </row>
    <row r="125" spans="1:29" s="36" customFormat="1" x14ac:dyDescent="0.25">
      <c r="A125" s="62" t="s">
        <v>142</v>
      </c>
      <c r="B125" s="62" t="s">
        <v>49</v>
      </c>
      <c r="C125" s="62" t="s">
        <v>226</v>
      </c>
      <c r="D125" s="187" t="s">
        <v>227</v>
      </c>
      <c r="E125" s="188"/>
      <c r="F125" s="189"/>
      <c r="G125" s="66">
        <v>150</v>
      </c>
      <c r="H125" s="62" t="s">
        <v>49</v>
      </c>
      <c r="I125" s="66">
        <v>150</v>
      </c>
      <c r="J125" s="63" t="s">
        <v>110</v>
      </c>
      <c r="K125" s="72"/>
    </row>
    <row r="126" spans="1:29" s="36" customFormat="1" x14ac:dyDescent="0.25">
      <c r="A126" s="62" t="s">
        <v>142</v>
      </c>
      <c r="B126" s="62" t="s">
        <v>49</v>
      </c>
      <c r="C126" s="62" t="s">
        <v>228</v>
      </c>
      <c r="D126" s="187" t="s">
        <v>229</v>
      </c>
      <c r="E126" s="188"/>
      <c r="F126" s="189"/>
      <c r="G126" s="66">
        <v>25</v>
      </c>
      <c r="H126" s="62" t="s">
        <v>230</v>
      </c>
      <c r="I126" s="66">
        <v>25</v>
      </c>
      <c r="J126" s="63" t="s">
        <v>110</v>
      </c>
      <c r="K126" s="72"/>
    </row>
    <row r="127" spans="1:29" s="36" customFormat="1" x14ac:dyDescent="0.25">
      <c r="A127" s="62" t="s">
        <v>142</v>
      </c>
      <c r="B127" s="62" t="s">
        <v>146</v>
      </c>
      <c r="C127" s="62" t="s">
        <v>198</v>
      </c>
      <c r="D127" s="187" t="s">
        <v>231</v>
      </c>
      <c r="E127" s="188"/>
      <c r="F127" s="189"/>
      <c r="G127" s="66" t="s">
        <v>232</v>
      </c>
      <c r="H127" s="62" t="s">
        <v>149</v>
      </c>
      <c r="I127" s="66" t="s">
        <v>153</v>
      </c>
      <c r="J127" s="63" t="s">
        <v>110</v>
      </c>
      <c r="K127" s="72"/>
    </row>
    <row r="128" spans="1:29" s="36" customFormat="1" x14ac:dyDescent="0.25">
      <c r="A128" s="62" t="s">
        <v>173</v>
      </c>
      <c r="B128" s="62" t="s">
        <v>146</v>
      </c>
      <c r="C128" s="62" t="s">
        <v>233</v>
      </c>
      <c r="D128" s="187" t="s">
        <v>234</v>
      </c>
      <c r="E128" s="188"/>
      <c r="F128" s="189"/>
      <c r="G128" s="66">
        <v>0.5</v>
      </c>
      <c r="H128" s="62" t="s">
        <v>235</v>
      </c>
      <c r="I128" s="66">
        <v>50</v>
      </c>
      <c r="J128" s="63" t="s">
        <v>110</v>
      </c>
      <c r="K128" s="72"/>
    </row>
    <row r="129" spans="1:11" s="36" customFormat="1" x14ac:dyDescent="0.25">
      <c r="A129" s="64" t="s">
        <v>173</v>
      </c>
      <c r="B129" s="64" t="s">
        <v>146</v>
      </c>
      <c r="C129" s="64" t="s">
        <v>233</v>
      </c>
      <c r="D129" s="187" t="s">
        <v>236</v>
      </c>
      <c r="E129" s="188"/>
      <c r="F129" s="189"/>
      <c r="G129" s="73">
        <v>0.5</v>
      </c>
      <c r="H129" s="64" t="s">
        <v>235</v>
      </c>
      <c r="I129" s="73">
        <v>50</v>
      </c>
      <c r="J129" s="63" t="s">
        <v>110</v>
      </c>
      <c r="K129" s="72"/>
    </row>
    <row r="130" spans="1:11" s="36" customFormat="1" x14ac:dyDescent="0.25">
      <c r="A130" s="62" t="s">
        <v>173</v>
      </c>
      <c r="B130" s="62" t="s">
        <v>146</v>
      </c>
      <c r="C130" s="62" t="s">
        <v>201</v>
      </c>
      <c r="D130" s="187" t="s">
        <v>237</v>
      </c>
      <c r="E130" s="188"/>
      <c r="F130" s="189"/>
      <c r="G130" s="66" t="s">
        <v>238</v>
      </c>
      <c r="H130" s="62" t="s">
        <v>235</v>
      </c>
      <c r="I130" s="66">
        <v>50</v>
      </c>
      <c r="J130" s="63" t="s">
        <v>110</v>
      </c>
      <c r="K130" s="72"/>
    </row>
    <row r="131" spans="1:11" s="36" customFormat="1" x14ac:dyDescent="0.25">
      <c r="A131" s="62" t="s">
        <v>239</v>
      </c>
      <c r="B131" s="62" t="s">
        <v>49</v>
      </c>
      <c r="C131" s="62" t="s">
        <v>143</v>
      </c>
      <c r="D131" s="187" t="s">
        <v>240</v>
      </c>
      <c r="E131" s="188"/>
      <c r="F131" s="189"/>
      <c r="G131" s="69" t="s">
        <v>220</v>
      </c>
      <c r="H131" s="67" t="s">
        <v>49</v>
      </c>
      <c r="I131" s="69" t="s">
        <v>153</v>
      </c>
      <c r="J131" s="63" t="s">
        <v>110</v>
      </c>
      <c r="K131" s="72"/>
    </row>
    <row r="132" spans="1:11" s="36" customFormat="1" x14ac:dyDescent="0.25">
      <c r="A132" s="62" t="s">
        <v>142</v>
      </c>
      <c r="B132" s="62" t="s">
        <v>142</v>
      </c>
      <c r="C132" s="62" t="s">
        <v>147</v>
      </c>
      <c r="D132" s="187" t="s">
        <v>241</v>
      </c>
      <c r="E132" s="188"/>
      <c r="F132" s="189"/>
      <c r="G132" s="66" t="s">
        <v>242</v>
      </c>
      <c r="H132" s="62"/>
      <c r="I132" s="66">
        <v>15</v>
      </c>
      <c r="J132" s="63" t="s">
        <v>110</v>
      </c>
      <c r="K132" s="72"/>
    </row>
    <row r="133" spans="1:11" s="36" customFormat="1" x14ac:dyDescent="0.25">
      <c r="A133" s="62" t="s">
        <v>243</v>
      </c>
      <c r="B133" s="62" t="s">
        <v>49</v>
      </c>
      <c r="C133" s="62" t="s">
        <v>143</v>
      </c>
      <c r="D133" s="187" t="s">
        <v>244</v>
      </c>
      <c r="E133" s="188"/>
      <c r="F133" s="189"/>
      <c r="G133" s="66">
        <v>200</v>
      </c>
      <c r="H133" s="62" t="s">
        <v>49</v>
      </c>
      <c r="I133" s="63">
        <v>200</v>
      </c>
      <c r="J133" s="63" t="s">
        <v>110</v>
      </c>
      <c r="K133" s="72"/>
    </row>
    <row r="134" spans="1:11" s="36" customFormat="1" x14ac:dyDescent="0.25">
      <c r="A134" s="62" t="s">
        <v>245</v>
      </c>
      <c r="B134" s="62" t="s">
        <v>49</v>
      </c>
      <c r="C134" s="62" t="s">
        <v>143</v>
      </c>
      <c r="D134" s="187" t="s">
        <v>246</v>
      </c>
      <c r="E134" s="188"/>
      <c r="F134" s="189"/>
      <c r="G134" s="66">
        <v>250</v>
      </c>
      <c r="H134" s="62" t="s">
        <v>49</v>
      </c>
      <c r="I134" s="63">
        <v>100</v>
      </c>
      <c r="J134" s="63" t="s">
        <v>110</v>
      </c>
      <c r="K134" s="72"/>
    </row>
    <row r="135" spans="1:11" s="36" customFormat="1" x14ac:dyDescent="0.25">
      <c r="A135" s="62" t="s">
        <v>247</v>
      </c>
      <c r="B135" s="62" t="s">
        <v>49</v>
      </c>
      <c r="C135" s="62" t="s">
        <v>143</v>
      </c>
      <c r="D135" s="187" t="s">
        <v>248</v>
      </c>
      <c r="E135" s="188"/>
      <c r="F135" s="189"/>
      <c r="G135" s="63">
        <v>250</v>
      </c>
      <c r="H135" s="62" t="s">
        <v>49</v>
      </c>
      <c r="I135" s="63">
        <v>200</v>
      </c>
      <c r="J135" s="63" t="s">
        <v>110</v>
      </c>
      <c r="K135" s="72"/>
    </row>
    <row r="136" spans="1:11" s="36" customFormat="1" x14ac:dyDescent="0.25">
      <c r="A136" s="62" t="s">
        <v>142</v>
      </c>
      <c r="B136" s="62" t="s">
        <v>49</v>
      </c>
      <c r="C136" s="62" t="s">
        <v>143</v>
      </c>
      <c r="D136" s="187" t="s">
        <v>249</v>
      </c>
      <c r="E136" s="188"/>
      <c r="F136" s="189"/>
      <c r="G136" s="63"/>
      <c r="H136" s="62" t="s">
        <v>49</v>
      </c>
      <c r="I136" s="63" t="s">
        <v>153</v>
      </c>
      <c r="J136" s="63" t="s">
        <v>110</v>
      </c>
      <c r="K136" s="72"/>
    </row>
    <row r="137" spans="1:11" s="36" customFormat="1" x14ac:dyDescent="0.25">
      <c r="A137" s="62" t="s">
        <v>250</v>
      </c>
      <c r="B137" s="62" t="s">
        <v>49</v>
      </c>
      <c r="C137" s="62" t="s">
        <v>143</v>
      </c>
      <c r="D137" s="187" t="s">
        <v>251</v>
      </c>
      <c r="E137" s="188"/>
      <c r="F137" s="189"/>
      <c r="G137" s="66">
        <v>350</v>
      </c>
      <c r="H137" s="62" t="s">
        <v>49</v>
      </c>
      <c r="I137" s="63">
        <v>350</v>
      </c>
      <c r="J137" s="63" t="s">
        <v>110</v>
      </c>
      <c r="K137" s="72"/>
    </row>
    <row r="138" spans="1:11" s="36" customFormat="1" x14ac:dyDescent="0.25">
      <c r="A138" s="118"/>
      <c r="B138" s="118"/>
      <c r="C138" s="118"/>
      <c r="D138" s="119"/>
      <c r="E138" s="119"/>
      <c r="F138" s="119"/>
      <c r="G138" s="120"/>
      <c r="H138" s="118"/>
      <c r="I138" s="121"/>
      <c r="J138" s="121"/>
      <c r="K138" s="72"/>
    </row>
    <row r="139" spans="1:11" s="36" customFormat="1" x14ac:dyDescent="0.25">
      <c r="A139" s="180" t="s">
        <v>72</v>
      </c>
      <c r="B139" s="180"/>
      <c r="C139" s="180"/>
      <c r="D139" s="180"/>
      <c r="E139" s="180"/>
      <c r="F139" s="180"/>
      <c r="G139" s="180"/>
      <c r="H139" s="180"/>
      <c r="I139" s="180"/>
      <c r="J139" s="180"/>
      <c r="K139" s="72"/>
    </row>
    <row r="140" spans="1:11" s="36" customFormat="1" x14ac:dyDescent="0.25">
      <c r="A140" s="186" t="s">
        <v>67</v>
      </c>
      <c r="B140" s="186"/>
      <c r="C140" s="186"/>
      <c r="D140" s="186"/>
      <c r="E140" s="186" t="s">
        <v>68</v>
      </c>
      <c r="F140" s="186"/>
      <c r="G140" s="186"/>
      <c r="H140" s="186"/>
      <c r="I140" s="186"/>
      <c r="J140" s="186"/>
      <c r="K140" s="72"/>
    </row>
    <row r="141" spans="1:11" s="36" customFormat="1" x14ac:dyDescent="0.25">
      <c r="A141" s="185" t="s">
        <v>73</v>
      </c>
      <c r="B141" s="185"/>
      <c r="C141" s="185"/>
      <c r="D141" s="185"/>
      <c r="E141" s="185" t="s">
        <v>254</v>
      </c>
      <c r="F141" s="185"/>
      <c r="G141" s="185"/>
      <c r="H141" s="185"/>
      <c r="I141" s="185"/>
      <c r="J141" s="185"/>
      <c r="K141" s="72"/>
    </row>
    <row r="142" spans="1:11" s="36" customFormat="1" ht="15" customHeight="1" x14ac:dyDescent="0.25">
      <c r="A142" s="185" t="s">
        <v>252</v>
      </c>
      <c r="B142" s="185"/>
      <c r="C142" s="185"/>
      <c r="D142" s="185"/>
      <c r="E142" s="185" t="s">
        <v>253</v>
      </c>
      <c r="F142" s="185"/>
      <c r="G142" s="185"/>
      <c r="H142" s="185"/>
      <c r="I142" s="185"/>
      <c r="J142" s="185"/>
      <c r="K142" s="72"/>
    </row>
    <row r="143" spans="1:11" s="36" customFormat="1" ht="15" customHeight="1" x14ac:dyDescent="0.25">
      <c r="A143" s="185" t="s">
        <v>74</v>
      </c>
      <c r="B143" s="185"/>
      <c r="C143" s="185"/>
      <c r="D143" s="185"/>
      <c r="E143" s="185" t="s">
        <v>75</v>
      </c>
      <c r="F143" s="185"/>
      <c r="G143" s="185"/>
      <c r="H143" s="185"/>
      <c r="I143" s="185"/>
      <c r="J143" s="185"/>
      <c r="K143" s="72"/>
    </row>
    <row r="144" spans="1:11" s="36" customFormat="1" x14ac:dyDescent="0.25">
      <c r="A144" s="185" t="s">
        <v>76</v>
      </c>
      <c r="B144" s="185"/>
      <c r="C144" s="185"/>
      <c r="D144" s="185"/>
      <c r="E144" s="185" t="s">
        <v>77</v>
      </c>
      <c r="F144" s="185"/>
      <c r="G144" s="185"/>
      <c r="H144" s="185"/>
      <c r="I144" s="185"/>
      <c r="J144" s="185"/>
      <c r="K144" s="72"/>
    </row>
    <row r="145" spans="1:11" s="36" customFormat="1" ht="15" customHeight="1" x14ac:dyDescent="0.25">
      <c r="A145" s="185" t="s">
        <v>78</v>
      </c>
      <c r="B145" s="185"/>
      <c r="C145" s="185"/>
      <c r="D145" s="185"/>
      <c r="E145" s="185" t="s">
        <v>79</v>
      </c>
      <c r="F145" s="185"/>
      <c r="G145" s="185"/>
      <c r="H145" s="185"/>
      <c r="I145" s="185"/>
      <c r="J145" s="185"/>
      <c r="K145" s="72"/>
    </row>
    <row r="146" spans="1:11" s="36" customFormat="1" ht="15" customHeight="1" x14ac:dyDescent="0.25">
      <c r="A146" s="180" t="s">
        <v>89</v>
      </c>
      <c r="B146" s="180"/>
      <c r="C146" s="180"/>
      <c r="D146" s="180"/>
      <c r="E146" s="180"/>
      <c r="F146" s="180"/>
      <c r="G146" s="180"/>
      <c r="H146" s="180"/>
      <c r="I146" s="180"/>
      <c r="J146" s="180"/>
      <c r="K146" s="72"/>
    </row>
    <row r="147" spans="1:11" s="36" customFormat="1" x14ac:dyDescent="0.25">
      <c r="A147" s="181" t="s">
        <v>80</v>
      </c>
      <c r="B147" s="181"/>
      <c r="C147" s="181"/>
      <c r="D147" s="181"/>
      <c r="E147" s="181"/>
      <c r="F147" s="181"/>
      <c r="G147" s="181"/>
      <c r="H147" s="181"/>
      <c r="I147" s="181"/>
      <c r="J147" s="181"/>
      <c r="K147" s="72"/>
    </row>
    <row r="148" spans="1:11" s="36" customFormat="1" ht="15" customHeight="1" x14ac:dyDescent="0.25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72"/>
    </row>
    <row r="149" spans="1:11" s="36" customFormat="1" x14ac:dyDescent="0.25">
      <c r="A149" s="182" t="s">
        <v>90</v>
      </c>
      <c r="B149" s="182"/>
      <c r="C149" s="182"/>
      <c r="D149" s="182"/>
      <c r="E149" s="182"/>
      <c r="F149" s="182"/>
      <c r="G149" s="182"/>
      <c r="H149" s="182"/>
      <c r="I149" s="182"/>
      <c r="J149" s="182"/>
      <c r="K149" s="72"/>
    </row>
    <row r="150" spans="1:11" s="36" customFormat="1" ht="15" customHeight="1" x14ac:dyDescent="0.25">
      <c r="A150" s="182"/>
      <c r="B150" s="182"/>
      <c r="C150" s="182"/>
      <c r="D150" s="182"/>
      <c r="E150" s="182"/>
      <c r="F150" s="182"/>
      <c r="G150" s="182"/>
      <c r="H150" s="182"/>
      <c r="I150" s="182"/>
      <c r="J150" s="182"/>
      <c r="K150" s="72"/>
    </row>
    <row r="151" spans="1:11" s="42" customFormat="1" ht="13.9" customHeight="1" x14ac:dyDescent="0.25">
      <c r="A151" s="183" t="s">
        <v>307</v>
      </c>
      <c r="B151" s="183"/>
      <c r="C151" s="183"/>
      <c r="D151" s="183"/>
      <c r="E151" s="183"/>
      <c r="F151" s="183"/>
      <c r="G151" s="183"/>
      <c r="H151" s="183"/>
      <c r="I151" s="183"/>
      <c r="J151" s="48"/>
    </row>
    <row r="152" spans="1:11" s="49" customFormat="1" ht="13.9" customHeight="1" x14ac:dyDescent="0.25">
      <c r="A152" s="184" t="s">
        <v>105</v>
      </c>
      <c r="B152" s="184"/>
      <c r="C152" s="184"/>
      <c r="D152" s="184"/>
      <c r="E152" s="184"/>
      <c r="F152" s="184"/>
      <c r="G152" s="184"/>
      <c r="H152" s="184"/>
      <c r="I152" s="184"/>
      <c r="J152" s="48"/>
    </row>
    <row r="153" spans="1:11" x14ac:dyDescent="0.25">
      <c r="J153" s="48"/>
    </row>
    <row r="154" spans="1:11" x14ac:dyDescent="0.25">
      <c r="J154" s="48"/>
    </row>
    <row r="155" spans="1:11" x14ac:dyDescent="0.25">
      <c r="J155" s="48"/>
    </row>
  </sheetData>
  <protectedRanges>
    <protectedRange algorithmName="SHA-512" hashValue="VF6HSW3Iy4xJ9rvYE/9xGHEoimGCygSu8D4FeqmdsD954MzAHwkkxLcwSP9Q5ui8KTGpWBzFAFpp2yGVfuii3Q==" saltValue="Ht0jMOW+8eakbuvlYpVr7Q==" spinCount="100000" sqref="G49:J54 G13:J27 G35:J40 G55:J55 G29:J30 G32:J33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1:J41 G43:J45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7:J47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mergeCells count="147">
    <mergeCell ref="A149:J150"/>
    <mergeCell ref="A151:I151"/>
    <mergeCell ref="A152:I152"/>
    <mergeCell ref="A144:D144"/>
    <mergeCell ref="E144:J144"/>
    <mergeCell ref="A145:D145"/>
    <mergeCell ref="E145:J145"/>
    <mergeCell ref="A146:J146"/>
    <mergeCell ref="A147:J148"/>
    <mergeCell ref="A141:D141"/>
    <mergeCell ref="E141:J141"/>
    <mergeCell ref="A142:D142"/>
    <mergeCell ref="E142:J142"/>
    <mergeCell ref="A143:D143"/>
    <mergeCell ref="E143:J143"/>
    <mergeCell ref="D135:F135"/>
    <mergeCell ref="D136:F136"/>
    <mergeCell ref="D137:F137"/>
    <mergeCell ref="A139:J139"/>
    <mergeCell ref="A140:D140"/>
    <mergeCell ref="E140:J140"/>
    <mergeCell ref="D129:F129"/>
    <mergeCell ref="D130:F130"/>
    <mergeCell ref="D131:F131"/>
    <mergeCell ref="D132:F132"/>
    <mergeCell ref="D133:F133"/>
    <mergeCell ref="D134:F134"/>
    <mergeCell ref="D123:F123"/>
    <mergeCell ref="D124:F124"/>
    <mergeCell ref="D125:F125"/>
    <mergeCell ref="D126:F126"/>
    <mergeCell ref="D127:F127"/>
    <mergeCell ref="D128:F128"/>
    <mergeCell ref="D117:F117"/>
    <mergeCell ref="D118:F118"/>
    <mergeCell ref="D119:F119"/>
    <mergeCell ref="D120:F120"/>
    <mergeCell ref="D121:F121"/>
    <mergeCell ref="D122:F122"/>
    <mergeCell ref="D111:F111"/>
    <mergeCell ref="D112:F112"/>
    <mergeCell ref="D113:F113"/>
    <mergeCell ref="D114:F114"/>
    <mergeCell ref="D115:F115"/>
    <mergeCell ref="D116:F116"/>
    <mergeCell ref="D105:F105"/>
    <mergeCell ref="D106:F106"/>
    <mergeCell ref="D107:F107"/>
    <mergeCell ref="D108:F108"/>
    <mergeCell ref="D109:F109"/>
    <mergeCell ref="D110:F110"/>
    <mergeCell ref="D99:F99"/>
    <mergeCell ref="D100:F100"/>
    <mergeCell ref="D101:F101"/>
    <mergeCell ref="D102:F102"/>
    <mergeCell ref="D103:F103"/>
    <mergeCell ref="D104:F104"/>
    <mergeCell ref="D93:F93"/>
    <mergeCell ref="D94:F94"/>
    <mergeCell ref="D95:F95"/>
    <mergeCell ref="D96:F96"/>
    <mergeCell ref="D97:F97"/>
    <mergeCell ref="D98:F98"/>
    <mergeCell ref="D87:F87"/>
    <mergeCell ref="D88:F88"/>
    <mergeCell ref="D89:F89"/>
    <mergeCell ref="D90:F90"/>
    <mergeCell ref="D91:F91"/>
    <mergeCell ref="D92:F92"/>
    <mergeCell ref="D81:F81"/>
    <mergeCell ref="D82:F82"/>
    <mergeCell ref="D83:F83"/>
    <mergeCell ref="D84:F84"/>
    <mergeCell ref="D85:F85"/>
    <mergeCell ref="D86:F86"/>
    <mergeCell ref="D75:F75"/>
    <mergeCell ref="D76:F76"/>
    <mergeCell ref="D77:F77"/>
    <mergeCell ref="D78:F78"/>
    <mergeCell ref="D79:F79"/>
    <mergeCell ref="D80:F80"/>
    <mergeCell ref="A71:D71"/>
    <mergeCell ref="E71:J71"/>
    <mergeCell ref="L71:Q71"/>
    <mergeCell ref="A72:J72"/>
    <mergeCell ref="D73:F73"/>
    <mergeCell ref="D74:F74"/>
    <mergeCell ref="A69:D69"/>
    <mergeCell ref="G69:J69"/>
    <mergeCell ref="L69:Q69"/>
    <mergeCell ref="A70:D70"/>
    <mergeCell ref="G70:J70"/>
    <mergeCell ref="L70:Q70"/>
    <mergeCell ref="A67:D67"/>
    <mergeCell ref="F67:J67"/>
    <mergeCell ref="L67:Q67"/>
    <mergeCell ref="A68:D68"/>
    <mergeCell ref="F68:J68"/>
    <mergeCell ref="L68:Q68"/>
    <mergeCell ref="A65:D65"/>
    <mergeCell ref="F65:J65"/>
    <mergeCell ref="L65:Q65"/>
    <mergeCell ref="A66:D66"/>
    <mergeCell ref="F66:J66"/>
    <mergeCell ref="L66:Q66"/>
    <mergeCell ref="A62:D62"/>
    <mergeCell ref="F62:J62"/>
    <mergeCell ref="A63:D63"/>
    <mergeCell ref="F63:J63"/>
    <mergeCell ref="A64:D64"/>
    <mergeCell ref="F64:J64"/>
    <mergeCell ref="A60:D60"/>
    <mergeCell ref="F60:J60"/>
    <mergeCell ref="L60:Q60"/>
    <mergeCell ref="A61:D61"/>
    <mergeCell ref="F61:J61"/>
    <mergeCell ref="L61:Q61"/>
    <mergeCell ref="A55:J55"/>
    <mergeCell ref="A57:J57"/>
    <mergeCell ref="A58:J58"/>
    <mergeCell ref="A59:D59"/>
    <mergeCell ref="E59:J59"/>
    <mergeCell ref="L59:Q59"/>
    <mergeCell ref="E31:F31"/>
    <mergeCell ref="E34:F34"/>
    <mergeCell ref="E42:F42"/>
    <mergeCell ref="E46:F46"/>
    <mergeCell ref="E48:F48"/>
    <mergeCell ref="Y10:AB10"/>
    <mergeCell ref="E11:F11"/>
    <mergeCell ref="E12:F12"/>
    <mergeCell ref="E28:F28"/>
    <mergeCell ref="B6:C6"/>
    <mergeCell ref="G6:I6"/>
    <mergeCell ref="A7:J7"/>
    <mergeCell ref="E8:I8"/>
    <mergeCell ref="B9:I9"/>
    <mergeCell ref="A10:J10"/>
    <mergeCell ref="A1:B1"/>
    <mergeCell ref="C2:G2"/>
    <mergeCell ref="B3:H3"/>
    <mergeCell ref="B4:C4"/>
    <mergeCell ref="G4:I4"/>
    <mergeCell ref="B5:C5"/>
    <mergeCell ref="G5:I5"/>
    <mergeCell ref="N10:R10"/>
    <mergeCell ref="S10:X10"/>
  </mergeCells>
  <hyperlinks>
    <hyperlink ref="G6" r:id="rId1" xr:uid="{1D9B308E-5D5B-4AC6-A8C2-429B34F1F3EE}"/>
    <hyperlink ref="G4" r:id="rId2" xr:uid="{25A0D6D7-C2E7-4CB1-BDDF-AFB68404CB51}"/>
  </hyperlinks>
  <pageMargins left="0.35" right="0.35" top="0.35" bottom="0.35" header="0.3" footer="0.3"/>
  <pageSetup scale="53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BE8AB5-83B4-490F-93AA-9C8AF8CA6D37}">
          <x14:formula1>
            <xm:f>'C:\Users\twang\AppData\Local\Microsoft\Windows\Temporary Internet Files\Content.Outlook\U7WJNCNV\[QUOTE TEMPLATE 05-01-21.xltx]Sheet1'!#REF!</xm:f>
          </x14:formula1>
          <xm:sqref>E65:E66 E68:E70 E60:E63 E32:E33 E29:E30 E13:E27 E35:E41 E49:E54 E43:E45</xm:sqref>
        </x14:dataValidation>
        <x14:dataValidation type="list" allowBlank="1" showInputMessage="1" showErrorMessage="1" xr:uid="{85DB0724-84C3-461D-8670-4566477FE86A}">
          <x14:formula1>
            <xm:f>'C:\Users\twang\AppData\Local\Microsoft\Windows\Temporary Internet Files\Content.Outlook\U7WJNCNV\[QUOTE TEMPLATE 05-01-21.xltx]Sheet1'!#REF!</xm:f>
          </x14:formula1>
          <xm:sqref>Q13:Q14 C32:C33 C49:C54 C29:C30 C13:C27 C35:C41 C43:C45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935D-B9AD-405D-AB57-274B563FCEE2}">
  <sheetPr>
    <pageSetUpPr fitToPage="1"/>
  </sheetPr>
  <dimension ref="A1:AC157"/>
  <sheetViews>
    <sheetView zoomScale="90" zoomScaleNormal="90" zoomScaleSheetLayoutView="82" workbookViewId="0">
      <pane xSplit="4" topLeftCell="E1" activePane="topRight" state="frozen"/>
      <selection activeCell="A19" sqref="A19"/>
      <selection pane="topRight" activeCell="F45" sqref="F45"/>
    </sheetView>
  </sheetViews>
  <sheetFormatPr defaultColWidth="8.85546875" defaultRowHeight="15" x14ac:dyDescent="0.25"/>
  <cols>
    <col min="1" max="1" width="27.5703125" style="50" customWidth="1"/>
    <col min="2" max="2" width="50.42578125" style="50" bestFit="1" customWidth="1"/>
    <col min="3" max="3" width="10.85546875" style="50" customWidth="1"/>
    <col min="4" max="4" width="22.5703125" style="50" bestFit="1" customWidth="1"/>
    <col min="5" max="5" width="16.7109375" style="50" customWidth="1"/>
    <col min="6" max="6" width="15.42578125" style="50" customWidth="1"/>
    <col min="7" max="10" width="14" style="50" customWidth="1"/>
    <col min="11" max="11" width="3.28515625" style="50" customWidth="1"/>
    <col min="12" max="12" width="9.5703125" style="50" customWidth="1"/>
    <col min="13" max="13" width="11.140625" style="50" customWidth="1"/>
    <col min="14" max="14" width="11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36</v>
      </c>
      <c r="B4" s="213" t="s">
        <v>37</v>
      </c>
      <c r="C4" s="213"/>
      <c r="D4" s="127"/>
      <c r="F4" s="41" t="s">
        <v>36</v>
      </c>
      <c r="G4" s="214" t="s">
        <v>305</v>
      </c>
      <c r="H4" s="213"/>
      <c r="I4" s="213"/>
      <c r="J4" s="4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J5" s="4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305</v>
      </c>
      <c r="H6" s="213"/>
      <c r="I6" s="213"/>
      <c r="J6" s="4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239"/>
      <c r="B7" s="239"/>
      <c r="C7" s="239"/>
      <c r="D7" s="239"/>
      <c r="E7" s="239"/>
      <c r="F7" s="239"/>
      <c r="G7" s="239"/>
      <c r="H7" s="239"/>
      <c r="I7" s="239"/>
      <c r="J7" s="239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44562</v>
      </c>
      <c r="C8" s="45" t="s">
        <v>91</v>
      </c>
      <c r="D8" s="44">
        <v>44575</v>
      </c>
      <c r="E8" s="213" t="s">
        <v>92</v>
      </c>
      <c r="F8" s="213"/>
      <c r="G8" s="213"/>
      <c r="H8" s="213"/>
      <c r="I8" s="213"/>
      <c r="J8" s="4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213" t="s">
        <v>40</v>
      </c>
      <c r="C9" s="213"/>
      <c r="D9" s="213"/>
      <c r="E9" s="213"/>
      <c r="F9" s="213"/>
      <c r="G9" s="213"/>
      <c r="H9" s="213"/>
      <c r="I9" s="213"/>
      <c r="J9" s="43"/>
      <c r="K9" s="12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 t="s">
        <v>257</v>
      </c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88" t="s">
        <v>82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  <c r="L12" s="89" t="s">
        <v>48</v>
      </c>
      <c r="M12" s="89" t="s">
        <v>261</v>
      </c>
      <c r="N12" s="90" t="s">
        <v>51</v>
      </c>
      <c r="O12" s="91" t="s">
        <v>50</v>
      </c>
      <c r="P12" s="91" t="s">
        <v>262</v>
      </c>
      <c r="Q12" s="91" t="s">
        <v>263</v>
      </c>
      <c r="R12" s="91" t="s">
        <v>264</v>
      </c>
      <c r="S12" s="92" t="s">
        <v>52</v>
      </c>
      <c r="T12" s="92" t="s">
        <v>53</v>
      </c>
      <c r="U12" s="92" t="s">
        <v>265</v>
      </c>
      <c r="V12" s="92" t="s">
        <v>266</v>
      </c>
      <c r="W12" s="92" t="s">
        <v>267</v>
      </c>
      <c r="X12" s="92" t="s">
        <v>268</v>
      </c>
      <c r="Y12" s="92" t="s">
        <v>52</v>
      </c>
      <c r="Z12" s="92" t="s">
        <v>53</v>
      </c>
      <c r="AA12" s="92" t="s">
        <v>265</v>
      </c>
      <c r="AB12" s="92" t="s">
        <v>266</v>
      </c>
      <c r="AC12" s="93" t="s">
        <v>269</v>
      </c>
    </row>
    <row r="13" spans="1:29" s="40" customFormat="1" ht="18.75" x14ac:dyDescent="0.25">
      <c r="A13" s="51" t="s">
        <v>81</v>
      </c>
      <c r="B13" s="51" t="s">
        <v>16</v>
      </c>
      <c r="C13" s="94" t="s">
        <v>54</v>
      </c>
      <c r="D13" s="95" t="s">
        <v>308</v>
      </c>
      <c r="E13" s="96" t="s">
        <v>114</v>
      </c>
      <c r="F13" s="97" t="s">
        <v>270</v>
      </c>
      <c r="G13" s="98" t="e">
        <f t="shared" ref="G13:G27" si="0">CEILING(S13+W13+X13+O13+N13+Y13,10)</f>
        <v>#N/A</v>
      </c>
      <c r="H13" s="99" t="e">
        <f t="shared" ref="H13:H27" si="1">CEILING(T13+W13+X13+O13+N13+Z13,10)</f>
        <v>#N/A</v>
      </c>
      <c r="I13" s="99" t="e">
        <f t="shared" ref="I13:I27" si="2">CEILING(U13+W13+X13+O13+N13+AA13,10)</f>
        <v>#N/A</v>
      </c>
      <c r="J13" s="99" t="e">
        <f t="shared" ref="J13:J27" si="3">CEILING(V13+W13+X13+O13+N13+AB13,10)</f>
        <v>#N/A</v>
      </c>
      <c r="K13" s="57"/>
      <c r="L13" s="100" t="s">
        <v>272</v>
      </c>
      <c r="M13" s="52" t="s">
        <v>292</v>
      </c>
      <c r="N13" s="40">
        <v>0</v>
      </c>
      <c r="O13" s="53" t="e">
        <f>VLOOKUP(B13,DRAYAGE!$A$1:$C$6,3,FALSE)</f>
        <v>#N/A</v>
      </c>
      <c r="P13" s="40" t="s">
        <v>298</v>
      </c>
      <c r="S13" s="101">
        <f t="shared" ref="S13:S27" si="4">0.9*T13</f>
        <v>16200</v>
      </c>
      <c r="T13" s="54">
        <v>18000</v>
      </c>
      <c r="U13" s="103">
        <f>T13</f>
        <v>18000</v>
      </c>
      <c r="V13" s="104">
        <f t="shared" ref="V13:V27" si="5">U13*1.266</f>
        <v>22788</v>
      </c>
      <c r="X13" s="40">
        <v>0</v>
      </c>
    </row>
    <row r="14" spans="1:29" s="40" customFormat="1" ht="14.45" customHeight="1" x14ac:dyDescent="0.25">
      <c r="A14" s="51" t="s">
        <v>55</v>
      </c>
      <c r="B14" s="51" t="s">
        <v>16</v>
      </c>
      <c r="C14" s="94" t="s">
        <v>54</v>
      </c>
      <c r="D14" s="95" t="s">
        <v>308</v>
      </c>
      <c r="E14" s="96" t="s">
        <v>114</v>
      </c>
      <c r="F14" s="97" t="s">
        <v>270</v>
      </c>
      <c r="G14" s="98" t="e">
        <f t="shared" si="0"/>
        <v>#N/A</v>
      </c>
      <c r="H14" s="99" t="e">
        <f t="shared" si="1"/>
        <v>#N/A</v>
      </c>
      <c r="I14" s="99" t="e">
        <f t="shared" si="2"/>
        <v>#N/A</v>
      </c>
      <c r="J14" s="99" t="e">
        <f t="shared" si="3"/>
        <v>#N/A</v>
      </c>
      <c r="K14" s="57"/>
      <c r="L14" s="100" t="s">
        <v>272</v>
      </c>
      <c r="M14" s="52" t="s">
        <v>292</v>
      </c>
      <c r="N14" s="40">
        <v>0</v>
      </c>
      <c r="O14" s="53" t="e">
        <f>VLOOKUP(B14,DRAYAGE!$A$1:$C$6,3,FALSE)</f>
        <v>#N/A</v>
      </c>
      <c r="P14" s="40" t="s">
        <v>298</v>
      </c>
      <c r="S14" s="101">
        <f t="shared" si="4"/>
        <v>17100</v>
      </c>
      <c r="T14" s="54">
        <v>19000</v>
      </c>
      <c r="U14" s="103">
        <f t="shared" ref="U14:U54" si="6">T14</f>
        <v>19000</v>
      </c>
      <c r="V14" s="104">
        <f t="shared" si="5"/>
        <v>24054</v>
      </c>
      <c r="X14" s="40">
        <v>0</v>
      </c>
    </row>
    <row r="15" spans="1:29" s="40" customFormat="1" ht="14.45" customHeight="1" x14ac:dyDescent="0.25">
      <c r="A15" s="51" t="s">
        <v>56</v>
      </c>
      <c r="B15" s="51" t="s">
        <v>16</v>
      </c>
      <c r="C15" s="94" t="s">
        <v>54</v>
      </c>
      <c r="D15" s="95" t="s">
        <v>308</v>
      </c>
      <c r="E15" s="96" t="s">
        <v>114</v>
      </c>
      <c r="F15" s="97" t="s">
        <v>270</v>
      </c>
      <c r="G15" s="98" t="e">
        <f t="shared" si="0"/>
        <v>#N/A</v>
      </c>
      <c r="H15" s="99" t="e">
        <f t="shared" si="1"/>
        <v>#N/A</v>
      </c>
      <c r="I15" s="99" t="e">
        <f t="shared" si="2"/>
        <v>#N/A</v>
      </c>
      <c r="J15" s="99" t="e">
        <f t="shared" si="3"/>
        <v>#N/A</v>
      </c>
      <c r="K15" s="57"/>
      <c r="L15" s="100" t="s">
        <v>272</v>
      </c>
      <c r="M15" s="52" t="s">
        <v>292</v>
      </c>
      <c r="N15" s="40">
        <v>0</v>
      </c>
      <c r="O15" s="53" t="e">
        <f>VLOOKUP(B15,DRAYAGE!$A$1:$C$6,3,FALSE)</f>
        <v>#N/A</v>
      </c>
      <c r="P15" s="40" t="s">
        <v>298</v>
      </c>
      <c r="S15" s="101">
        <f t="shared" si="4"/>
        <v>20700</v>
      </c>
      <c r="T15" s="54">
        <v>23000</v>
      </c>
      <c r="U15" s="103">
        <f t="shared" si="6"/>
        <v>23000</v>
      </c>
      <c r="V15" s="104">
        <f t="shared" si="5"/>
        <v>29118</v>
      </c>
      <c r="X15" s="40">
        <v>0</v>
      </c>
    </row>
    <row r="16" spans="1:29" s="40" customFormat="1" ht="14.45" customHeight="1" x14ac:dyDescent="0.25">
      <c r="A16" s="51" t="s">
        <v>57</v>
      </c>
      <c r="B16" s="51" t="s">
        <v>16</v>
      </c>
      <c r="C16" s="94" t="s">
        <v>54</v>
      </c>
      <c r="D16" s="95" t="s">
        <v>308</v>
      </c>
      <c r="E16" s="96" t="s">
        <v>114</v>
      </c>
      <c r="F16" s="97" t="s">
        <v>270</v>
      </c>
      <c r="G16" s="98" t="e">
        <f t="shared" si="0"/>
        <v>#N/A</v>
      </c>
      <c r="H16" s="99" t="e">
        <f t="shared" si="1"/>
        <v>#N/A</v>
      </c>
      <c r="I16" s="99" t="e">
        <f t="shared" si="2"/>
        <v>#N/A</v>
      </c>
      <c r="J16" s="99" t="e">
        <f t="shared" si="3"/>
        <v>#N/A</v>
      </c>
      <c r="K16" s="57"/>
      <c r="L16" s="100" t="s">
        <v>272</v>
      </c>
      <c r="M16" s="52" t="s">
        <v>292</v>
      </c>
      <c r="N16" s="40">
        <v>0</v>
      </c>
      <c r="O16" s="53" t="e">
        <f>VLOOKUP(B16,DRAYAGE!$A$1:$C$6,3,FALSE)</f>
        <v>#N/A</v>
      </c>
      <c r="P16" s="40" t="s">
        <v>298</v>
      </c>
      <c r="S16" s="101">
        <f t="shared" si="4"/>
        <v>18000</v>
      </c>
      <c r="T16" s="54">
        <v>20000</v>
      </c>
      <c r="U16" s="103">
        <f t="shared" si="6"/>
        <v>20000</v>
      </c>
      <c r="V16" s="104">
        <f t="shared" si="5"/>
        <v>25320</v>
      </c>
      <c r="X16" s="40">
        <v>0</v>
      </c>
    </row>
    <row r="17" spans="1:29" s="40" customFormat="1" ht="14.45" customHeight="1" x14ac:dyDescent="0.25">
      <c r="A17" s="51" t="s">
        <v>59</v>
      </c>
      <c r="B17" s="51" t="s">
        <v>16</v>
      </c>
      <c r="C17" s="94" t="s">
        <v>54</v>
      </c>
      <c r="D17" s="95" t="s">
        <v>308</v>
      </c>
      <c r="E17" s="96" t="s">
        <v>114</v>
      </c>
      <c r="F17" s="97" t="s">
        <v>270</v>
      </c>
      <c r="G17" s="98" t="e">
        <f t="shared" si="0"/>
        <v>#N/A</v>
      </c>
      <c r="H17" s="99" t="e">
        <f t="shared" si="1"/>
        <v>#N/A</v>
      </c>
      <c r="I17" s="99" t="e">
        <f t="shared" si="2"/>
        <v>#N/A</v>
      </c>
      <c r="J17" s="99" t="e">
        <f t="shared" si="3"/>
        <v>#N/A</v>
      </c>
      <c r="K17" s="57"/>
      <c r="L17" s="100" t="s">
        <v>272</v>
      </c>
      <c r="M17" s="52" t="s">
        <v>292</v>
      </c>
      <c r="N17" s="40">
        <v>0</v>
      </c>
      <c r="O17" s="53" t="e">
        <f>VLOOKUP(B17,DRAYAGE!$A$1:$C$6,3,FALSE)</f>
        <v>#N/A</v>
      </c>
      <c r="P17" s="40" t="s">
        <v>298</v>
      </c>
      <c r="S17" s="101">
        <f t="shared" si="4"/>
        <v>18000</v>
      </c>
      <c r="T17" s="54">
        <v>20000</v>
      </c>
      <c r="U17" s="103">
        <f t="shared" si="6"/>
        <v>20000</v>
      </c>
      <c r="V17" s="104">
        <f t="shared" si="5"/>
        <v>25320</v>
      </c>
      <c r="X17" s="40">
        <v>0</v>
      </c>
    </row>
    <row r="18" spans="1:29" s="40" customFormat="1" ht="18.75" x14ac:dyDescent="0.25">
      <c r="A18" s="51" t="s">
        <v>60</v>
      </c>
      <c r="B18" s="51" t="s">
        <v>16</v>
      </c>
      <c r="C18" s="94" t="s">
        <v>54</v>
      </c>
      <c r="D18" s="95" t="s">
        <v>308</v>
      </c>
      <c r="E18" s="96" t="s">
        <v>114</v>
      </c>
      <c r="F18" s="97" t="s">
        <v>270</v>
      </c>
      <c r="G18" s="98" t="e">
        <f t="shared" si="0"/>
        <v>#N/A</v>
      </c>
      <c r="H18" s="99" t="e">
        <f t="shared" si="1"/>
        <v>#N/A</v>
      </c>
      <c r="I18" s="99" t="e">
        <f t="shared" si="2"/>
        <v>#N/A</v>
      </c>
      <c r="J18" s="99" t="e">
        <f t="shared" si="3"/>
        <v>#N/A</v>
      </c>
      <c r="K18" s="57"/>
      <c r="L18" s="100" t="s">
        <v>272</v>
      </c>
      <c r="M18" s="52" t="s">
        <v>292</v>
      </c>
      <c r="N18" s="40">
        <v>0</v>
      </c>
      <c r="O18" s="53" t="e">
        <f>VLOOKUP(B18,DRAYAGE!$A$1:$C$6,3,FALSE)</f>
        <v>#N/A</v>
      </c>
      <c r="P18" s="40" t="s">
        <v>298</v>
      </c>
      <c r="S18" s="101">
        <f t="shared" si="4"/>
        <v>16200</v>
      </c>
      <c r="T18" s="54">
        <v>18000</v>
      </c>
      <c r="U18" s="103">
        <f t="shared" si="6"/>
        <v>18000</v>
      </c>
      <c r="V18" s="104">
        <f t="shared" si="5"/>
        <v>22788</v>
      </c>
      <c r="X18" s="40">
        <v>0</v>
      </c>
    </row>
    <row r="19" spans="1:29" s="40" customFormat="1" ht="14.45" customHeight="1" x14ac:dyDescent="0.25">
      <c r="A19" s="51" t="s">
        <v>61</v>
      </c>
      <c r="B19" s="51" t="s">
        <v>16</v>
      </c>
      <c r="C19" s="94" t="s">
        <v>54</v>
      </c>
      <c r="D19" s="95" t="s">
        <v>308</v>
      </c>
      <c r="E19" s="96" t="s">
        <v>114</v>
      </c>
      <c r="F19" s="97" t="s">
        <v>270</v>
      </c>
      <c r="G19" s="98" t="e">
        <f t="shared" si="0"/>
        <v>#N/A</v>
      </c>
      <c r="H19" s="99" t="e">
        <f t="shared" si="1"/>
        <v>#N/A</v>
      </c>
      <c r="I19" s="99" t="e">
        <f t="shared" si="2"/>
        <v>#N/A</v>
      </c>
      <c r="J19" s="99" t="e">
        <f t="shared" si="3"/>
        <v>#N/A</v>
      </c>
      <c r="K19" s="57"/>
      <c r="L19" s="100" t="s">
        <v>272</v>
      </c>
      <c r="M19" s="52" t="s">
        <v>292</v>
      </c>
      <c r="N19" s="40">
        <v>0</v>
      </c>
      <c r="O19" s="53" t="e">
        <f>VLOOKUP(B19,DRAYAGE!$A$1:$C$6,3,FALSE)</f>
        <v>#N/A</v>
      </c>
      <c r="P19" s="40" t="s">
        <v>298</v>
      </c>
      <c r="S19" s="101">
        <f t="shared" si="4"/>
        <v>16200</v>
      </c>
      <c r="T19" s="54">
        <v>18000</v>
      </c>
      <c r="U19" s="103">
        <f t="shared" si="6"/>
        <v>18000</v>
      </c>
      <c r="V19" s="104">
        <f t="shared" si="5"/>
        <v>22788</v>
      </c>
      <c r="X19" s="40">
        <v>0</v>
      </c>
    </row>
    <row r="20" spans="1:29" s="45" customFormat="1" ht="14.45" customHeight="1" x14ac:dyDescent="0.25">
      <c r="A20" s="51" t="s">
        <v>276</v>
      </c>
      <c r="B20" s="51" t="s">
        <v>16</v>
      </c>
      <c r="C20" s="106" t="s">
        <v>54</v>
      </c>
      <c r="D20" s="95" t="s">
        <v>308</v>
      </c>
      <c r="E20" s="107" t="s">
        <v>114</v>
      </c>
      <c r="F20" s="108" t="s">
        <v>270</v>
      </c>
      <c r="G20" s="109" t="e">
        <f t="shared" si="0"/>
        <v>#N/A</v>
      </c>
      <c r="H20" s="110" t="e">
        <f t="shared" si="1"/>
        <v>#N/A</v>
      </c>
      <c r="I20" s="110" t="e">
        <f t="shared" si="2"/>
        <v>#N/A</v>
      </c>
      <c r="J20" s="110" t="e">
        <f t="shared" si="3"/>
        <v>#N/A</v>
      </c>
      <c r="K20" s="111"/>
      <c r="L20" s="112" t="s">
        <v>272</v>
      </c>
      <c r="M20" s="52" t="s">
        <v>292</v>
      </c>
      <c r="N20" s="45">
        <v>0</v>
      </c>
      <c r="O20" s="53" t="e">
        <f>VLOOKUP(B20,DRAYAGE!$A$1:$C$6,3,FALSE)</f>
        <v>#N/A</v>
      </c>
      <c r="P20" s="40" t="s">
        <v>298</v>
      </c>
      <c r="S20" s="113">
        <f t="shared" si="4"/>
        <v>16200</v>
      </c>
      <c r="T20" s="54">
        <v>18000</v>
      </c>
      <c r="U20" s="103">
        <f t="shared" si="6"/>
        <v>18000</v>
      </c>
      <c r="V20" s="114">
        <f t="shared" si="5"/>
        <v>22788</v>
      </c>
      <c r="X20" s="45">
        <v>0</v>
      </c>
      <c r="Y20" s="40">
        <f t="shared" ref="Y20:Y27" si="7">0.9*Z20</f>
        <v>135</v>
      </c>
      <c r="Z20" s="45">
        <v>150</v>
      </c>
      <c r="AA20" s="40">
        <f t="shared" ref="AA20:AA27" si="8">Z20</f>
        <v>150</v>
      </c>
      <c r="AB20" s="40">
        <f t="shared" ref="AB20:AB27" si="9">Z20*1.266</f>
        <v>189.9</v>
      </c>
    </row>
    <row r="21" spans="1:29" s="40" customFormat="1" ht="14.45" customHeight="1" x14ac:dyDescent="0.25">
      <c r="A21" s="51" t="s">
        <v>108</v>
      </c>
      <c r="B21" s="51" t="s">
        <v>16</v>
      </c>
      <c r="C21" s="94" t="s">
        <v>54</v>
      </c>
      <c r="D21" s="95" t="s">
        <v>308</v>
      </c>
      <c r="E21" s="96" t="s">
        <v>114</v>
      </c>
      <c r="F21" s="97" t="s">
        <v>270</v>
      </c>
      <c r="G21" s="98" t="e">
        <f t="shared" si="0"/>
        <v>#N/A</v>
      </c>
      <c r="H21" s="99" t="e">
        <f t="shared" si="1"/>
        <v>#N/A</v>
      </c>
      <c r="I21" s="99" t="e">
        <f t="shared" si="2"/>
        <v>#N/A</v>
      </c>
      <c r="J21" s="99" t="e">
        <f t="shared" si="3"/>
        <v>#N/A</v>
      </c>
      <c r="K21" s="57"/>
      <c r="L21" s="100" t="s">
        <v>272</v>
      </c>
      <c r="M21" s="52" t="s">
        <v>292</v>
      </c>
      <c r="N21" s="40">
        <v>0</v>
      </c>
      <c r="O21" s="53" t="e">
        <f>VLOOKUP(B21,DRAYAGE!$A$1:$C$6,3,FALSE)</f>
        <v>#N/A</v>
      </c>
      <c r="P21" s="40" t="s">
        <v>298</v>
      </c>
      <c r="S21" s="101">
        <f t="shared" si="4"/>
        <v>18000</v>
      </c>
      <c r="T21" s="54">
        <v>20000</v>
      </c>
      <c r="U21" s="103">
        <f t="shared" si="6"/>
        <v>20000</v>
      </c>
      <c r="V21" s="104">
        <f t="shared" si="5"/>
        <v>25320</v>
      </c>
      <c r="X21" s="40">
        <v>0</v>
      </c>
    </row>
    <row r="22" spans="1:29" s="40" customFormat="1" ht="14.45" customHeight="1" x14ac:dyDescent="0.25">
      <c r="A22" s="51" t="s">
        <v>62</v>
      </c>
      <c r="B22" s="51" t="s">
        <v>16</v>
      </c>
      <c r="C22" s="94" t="s">
        <v>54</v>
      </c>
      <c r="D22" s="95" t="s">
        <v>308</v>
      </c>
      <c r="E22" s="96" t="s">
        <v>114</v>
      </c>
      <c r="F22" s="97" t="s">
        <v>270</v>
      </c>
      <c r="G22" s="98" t="e">
        <f t="shared" si="0"/>
        <v>#N/A</v>
      </c>
      <c r="H22" s="99" t="e">
        <f t="shared" si="1"/>
        <v>#N/A</v>
      </c>
      <c r="I22" s="99" t="e">
        <f t="shared" si="2"/>
        <v>#N/A</v>
      </c>
      <c r="J22" s="99" t="e">
        <f t="shared" si="3"/>
        <v>#N/A</v>
      </c>
      <c r="K22" s="57"/>
      <c r="L22" s="100" t="s">
        <v>272</v>
      </c>
      <c r="M22" s="52" t="s">
        <v>292</v>
      </c>
      <c r="N22" s="40">
        <v>0</v>
      </c>
      <c r="O22" s="53" t="e">
        <f>VLOOKUP(B22,DRAYAGE!$A$1:$C$6,3,FALSE)</f>
        <v>#N/A</v>
      </c>
      <c r="P22" s="40" t="s">
        <v>298</v>
      </c>
      <c r="S22" s="101">
        <f t="shared" si="4"/>
        <v>17100</v>
      </c>
      <c r="T22" s="54">
        <v>19000</v>
      </c>
      <c r="U22" s="103">
        <f t="shared" si="6"/>
        <v>19000</v>
      </c>
      <c r="V22" s="104">
        <f t="shared" si="5"/>
        <v>24054</v>
      </c>
      <c r="X22" s="40">
        <v>0</v>
      </c>
      <c r="Y22" s="40">
        <f t="shared" si="7"/>
        <v>180</v>
      </c>
      <c r="Z22" s="40">
        <v>200</v>
      </c>
      <c r="AA22" s="40">
        <f t="shared" si="8"/>
        <v>200</v>
      </c>
      <c r="AB22" s="40">
        <f t="shared" si="9"/>
        <v>253.2</v>
      </c>
    </row>
    <row r="23" spans="1:29" s="40" customFormat="1" ht="18.75" x14ac:dyDescent="0.25">
      <c r="A23" s="51" t="s">
        <v>64</v>
      </c>
      <c r="B23" s="51" t="s">
        <v>16</v>
      </c>
      <c r="C23" s="94" t="s">
        <v>54</v>
      </c>
      <c r="D23" s="95" t="s">
        <v>308</v>
      </c>
      <c r="E23" s="96" t="s">
        <v>114</v>
      </c>
      <c r="F23" s="97" t="s">
        <v>270</v>
      </c>
      <c r="G23" s="98" t="e">
        <f t="shared" si="0"/>
        <v>#N/A</v>
      </c>
      <c r="H23" s="99" t="e">
        <f t="shared" si="1"/>
        <v>#N/A</v>
      </c>
      <c r="I23" s="99" t="e">
        <f t="shared" si="2"/>
        <v>#N/A</v>
      </c>
      <c r="J23" s="99" t="e">
        <f t="shared" si="3"/>
        <v>#N/A</v>
      </c>
      <c r="K23" s="57"/>
      <c r="L23" s="100" t="s">
        <v>272</v>
      </c>
      <c r="M23" s="52" t="s">
        <v>292</v>
      </c>
      <c r="N23" s="40">
        <v>0</v>
      </c>
      <c r="O23" s="53" t="e">
        <f>VLOOKUP(B23,DRAYAGE!$A$1:$C$6,3,FALSE)</f>
        <v>#N/A</v>
      </c>
      <c r="P23" s="40" t="s">
        <v>298</v>
      </c>
      <c r="S23" s="101">
        <f t="shared" si="4"/>
        <v>17100</v>
      </c>
      <c r="T23" s="54">
        <v>19000</v>
      </c>
      <c r="U23" s="103">
        <f t="shared" si="6"/>
        <v>19000</v>
      </c>
      <c r="V23" s="104">
        <f t="shared" si="5"/>
        <v>24054</v>
      </c>
      <c r="X23" s="40">
        <v>0</v>
      </c>
    </row>
    <row r="24" spans="1:29" s="40" customFormat="1" ht="14.45" customHeight="1" x14ac:dyDescent="0.25">
      <c r="A24" s="51" t="s">
        <v>66</v>
      </c>
      <c r="B24" s="51" t="s">
        <v>16</v>
      </c>
      <c r="C24" s="94" t="s">
        <v>54</v>
      </c>
      <c r="D24" s="95" t="s">
        <v>308</v>
      </c>
      <c r="E24" s="96" t="s">
        <v>114</v>
      </c>
      <c r="F24" s="97" t="s">
        <v>270</v>
      </c>
      <c r="G24" s="98" t="e">
        <f t="shared" si="0"/>
        <v>#N/A</v>
      </c>
      <c r="H24" s="99" t="e">
        <f t="shared" si="1"/>
        <v>#N/A</v>
      </c>
      <c r="I24" s="99" t="e">
        <f t="shared" si="2"/>
        <v>#N/A</v>
      </c>
      <c r="J24" s="99" t="e">
        <f t="shared" si="3"/>
        <v>#N/A</v>
      </c>
      <c r="K24" s="57"/>
      <c r="L24" s="100" t="s">
        <v>272</v>
      </c>
      <c r="M24" s="52" t="s">
        <v>292</v>
      </c>
      <c r="N24" s="40">
        <v>0</v>
      </c>
      <c r="O24" s="53" t="e">
        <f>VLOOKUP(B24,DRAYAGE!$A$1:$C$6,3,FALSE)</f>
        <v>#N/A</v>
      </c>
      <c r="P24" s="40" t="s">
        <v>298</v>
      </c>
      <c r="S24" s="101">
        <f t="shared" si="4"/>
        <v>17100</v>
      </c>
      <c r="T24" s="54">
        <v>19000</v>
      </c>
      <c r="U24" s="103">
        <f t="shared" si="6"/>
        <v>19000</v>
      </c>
      <c r="V24" s="104">
        <f t="shared" si="5"/>
        <v>24054</v>
      </c>
      <c r="X24" s="40">
        <v>0</v>
      </c>
    </row>
    <row r="25" spans="1:29" s="40" customFormat="1" ht="14.45" customHeight="1" x14ac:dyDescent="0.25">
      <c r="A25" s="51" t="s">
        <v>65</v>
      </c>
      <c r="B25" s="51" t="s">
        <v>16</v>
      </c>
      <c r="C25" s="94" t="s">
        <v>54</v>
      </c>
      <c r="D25" s="95" t="s">
        <v>308</v>
      </c>
      <c r="E25" s="96" t="s">
        <v>114</v>
      </c>
      <c r="F25" s="97" t="s">
        <v>270</v>
      </c>
      <c r="G25" s="98" t="e">
        <f t="shared" si="0"/>
        <v>#N/A</v>
      </c>
      <c r="H25" s="99" t="e">
        <f t="shared" si="1"/>
        <v>#N/A</v>
      </c>
      <c r="I25" s="99" t="e">
        <f t="shared" si="2"/>
        <v>#N/A</v>
      </c>
      <c r="J25" s="99" t="e">
        <f t="shared" si="3"/>
        <v>#N/A</v>
      </c>
      <c r="K25" s="57"/>
      <c r="L25" s="100" t="s">
        <v>272</v>
      </c>
      <c r="M25" s="52" t="s">
        <v>292</v>
      </c>
      <c r="N25" s="40">
        <v>0</v>
      </c>
      <c r="O25" s="53" t="e">
        <f>VLOOKUP(B25,DRAYAGE!$A$1:$C$6,3,FALSE)</f>
        <v>#N/A</v>
      </c>
      <c r="P25" s="40" t="s">
        <v>298</v>
      </c>
      <c r="S25" s="101">
        <f t="shared" si="4"/>
        <v>17100</v>
      </c>
      <c r="T25" s="54">
        <v>19000</v>
      </c>
      <c r="U25" s="103">
        <f t="shared" si="6"/>
        <v>19000</v>
      </c>
      <c r="V25" s="104">
        <f t="shared" si="5"/>
        <v>24054</v>
      </c>
      <c r="X25" s="40">
        <v>0</v>
      </c>
      <c r="Y25" s="40">
        <f t="shared" si="7"/>
        <v>360</v>
      </c>
      <c r="Z25" s="40">
        <v>400</v>
      </c>
      <c r="AA25" s="40">
        <f t="shared" si="8"/>
        <v>400</v>
      </c>
      <c r="AB25" s="40">
        <f t="shared" si="9"/>
        <v>506.4</v>
      </c>
    </row>
    <row r="26" spans="1:29" s="40" customFormat="1" ht="14.45" customHeight="1" x14ac:dyDescent="0.25">
      <c r="A26" s="51" t="s">
        <v>63</v>
      </c>
      <c r="B26" s="51" t="s">
        <v>16</v>
      </c>
      <c r="C26" s="94" t="s">
        <v>54</v>
      </c>
      <c r="D26" s="95" t="s">
        <v>308</v>
      </c>
      <c r="E26" s="96" t="s">
        <v>114</v>
      </c>
      <c r="F26" s="97" t="s">
        <v>270</v>
      </c>
      <c r="G26" s="98" t="e">
        <f t="shared" si="0"/>
        <v>#N/A</v>
      </c>
      <c r="H26" s="99" t="e">
        <f t="shared" si="1"/>
        <v>#N/A</v>
      </c>
      <c r="I26" s="99" t="e">
        <f t="shared" si="2"/>
        <v>#N/A</v>
      </c>
      <c r="J26" s="99" t="e">
        <f t="shared" si="3"/>
        <v>#N/A</v>
      </c>
      <c r="K26" s="57"/>
      <c r="L26" s="100" t="s">
        <v>272</v>
      </c>
      <c r="M26" s="52" t="s">
        <v>292</v>
      </c>
      <c r="N26" s="40">
        <v>0</v>
      </c>
      <c r="O26" s="53" t="e">
        <f>VLOOKUP(B26,DRAYAGE!$A$1:$C$6,3,FALSE)</f>
        <v>#N/A</v>
      </c>
      <c r="P26" s="40" t="s">
        <v>298</v>
      </c>
      <c r="S26" s="101">
        <f t="shared" si="4"/>
        <v>17100</v>
      </c>
      <c r="T26" s="54">
        <v>19000</v>
      </c>
      <c r="U26" s="103">
        <f t="shared" si="6"/>
        <v>19000</v>
      </c>
      <c r="V26" s="104">
        <f t="shared" si="5"/>
        <v>24054</v>
      </c>
      <c r="X26" s="40">
        <v>0</v>
      </c>
      <c r="Y26" s="40">
        <f t="shared" si="7"/>
        <v>135</v>
      </c>
      <c r="Z26" s="40">
        <v>150</v>
      </c>
      <c r="AA26" s="40">
        <f t="shared" si="8"/>
        <v>150</v>
      </c>
      <c r="AB26" s="40">
        <f t="shared" si="9"/>
        <v>189.9</v>
      </c>
    </row>
    <row r="27" spans="1:29" s="45" customFormat="1" ht="14.45" customHeight="1" x14ac:dyDescent="0.25">
      <c r="A27" s="51" t="s">
        <v>275</v>
      </c>
      <c r="B27" s="51" t="s">
        <v>16</v>
      </c>
      <c r="C27" s="106" t="s">
        <v>54</v>
      </c>
      <c r="D27" s="95" t="s">
        <v>308</v>
      </c>
      <c r="E27" s="107" t="s">
        <v>114</v>
      </c>
      <c r="F27" s="108" t="s">
        <v>270</v>
      </c>
      <c r="G27" s="98" t="e">
        <f t="shared" si="0"/>
        <v>#N/A</v>
      </c>
      <c r="H27" s="99" t="e">
        <f t="shared" si="1"/>
        <v>#N/A</v>
      </c>
      <c r="I27" s="99" t="e">
        <f t="shared" si="2"/>
        <v>#N/A</v>
      </c>
      <c r="J27" s="99" t="e">
        <f t="shared" si="3"/>
        <v>#N/A</v>
      </c>
      <c r="K27" s="111"/>
      <c r="L27" s="112" t="s">
        <v>272</v>
      </c>
      <c r="M27" s="52" t="s">
        <v>292</v>
      </c>
      <c r="N27" s="45">
        <v>0</v>
      </c>
      <c r="O27" s="53" t="e">
        <f>VLOOKUP(B27,DRAYAGE!$A$1:$C$6,3,FALSE)</f>
        <v>#N/A</v>
      </c>
      <c r="P27" s="40" t="s">
        <v>298</v>
      </c>
      <c r="R27" s="105"/>
      <c r="S27" s="113">
        <f t="shared" si="4"/>
        <v>17100</v>
      </c>
      <c r="T27" s="54">
        <v>19000</v>
      </c>
      <c r="U27" s="103">
        <f t="shared" si="6"/>
        <v>19000</v>
      </c>
      <c r="V27" s="114">
        <f t="shared" si="5"/>
        <v>24054</v>
      </c>
      <c r="X27" s="45">
        <v>0</v>
      </c>
      <c r="Y27" s="40">
        <f t="shared" si="7"/>
        <v>450</v>
      </c>
      <c r="Z27" s="45">
        <v>500</v>
      </c>
      <c r="AA27" s="40">
        <f t="shared" si="8"/>
        <v>500</v>
      </c>
      <c r="AB27" s="40">
        <f t="shared" si="9"/>
        <v>633</v>
      </c>
    </row>
    <row r="28" spans="1:29" s="40" customFormat="1" ht="14.45" customHeight="1" x14ac:dyDescent="0.25">
      <c r="A28" s="46" t="s">
        <v>83</v>
      </c>
      <c r="B28" s="88"/>
      <c r="C28" s="88"/>
      <c r="D28" s="88"/>
      <c r="E28" s="210"/>
      <c r="F28" s="211"/>
      <c r="G28" s="88"/>
      <c r="H28" s="88"/>
      <c r="I28" s="88"/>
      <c r="J28" s="88"/>
      <c r="K28" s="57"/>
      <c r="L28" s="89" t="s">
        <v>48</v>
      </c>
      <c r="M28" s="89" t="s">
        <v>261</v>
      </c>
      <c r="N28" s="90" t="s">
        <v>51</v>
      </c>
      <c r="O28" s="91" t="s">
        <v>50</v>
      </c>
      <c r="P28" s="91" t="s">
        <v>262</v>
      </c>
      <c r="Q28" s="91" t="s">
        <v>263</v>
      </c>
      <c r="R28" s="91" t="s">
        <v>264</v>
      </c>
      <c r="S28" s="92" t="s">
        <v>52</v>
      </c>
      <c r="T28" s="92">
        <v>0</v>
      </c>
      <c r="U28" s="92" t="s">
        <v>265</v>
      </c>
      <c r="V28" s="92" t="s">
        <v>266</v>
      </c>
      <c r="W28" s="92" t="s">
        <v>267</v>
      </c>
      <c r="X28" s="92" t="s">
        <v>268</v>
      </c>
      <c r="Y28" s="92" t="s">
        <v>52</v>
      </c>
      <c r="Z28" s="92" t="s">
        <v>53</v>
      </c>
      <c r="AA28" s="92" t="s">
        <v>265</v>
      </c>
      <c r="AB28" s="92" t="s">
        <v>266</v>
      </c>
      <c r="AC28" s="93" t="s">
        <v>269</v>
      </c>
    </row>
    <row r="29" spans="1:29" s="40" customFormat="1" ht="14.45" customHeight="1" x14ac:dyDescent="0.25">
      <c r="A29" s="51" t="s">
        <v>58</v>
      </c>
      <c r="B29" s="51" t="s">
        <v>21</v>
      </c>
      <c r="C29" s="94" t="s">
        <v>54</v>
      </c>
      <c r="D29" s="95" t="s">
        <v>308</v>
      </c>
      <c r="E29" s="96" t="s">
        <v>114</v>
      </c>
      <c r="F29" s="97" t="s">
        <v>270</v>
      </c>
      <c r="G29" s="98" t="e">
        <f>CEILING(S29+W29+X29+O29+N29+Y29,10)</f>
        <v>#N/A</v>
      </c>
      <c r="H29" s="99" t="e">
        <f>CEILING(T29+W29+X29+O29+N29+Z29,10)</f>
        <v>#N/A</v>
      </c>
      <c r="I29" s="99" t="e">
        <f>CEILING(U29+W29+X29+O29+N29+AA29,10)</f>
        <v>#N/A</v>
      </c>
      <c r="J29" s="99" t="e">
        <f>CEILING(V29+W29+X29+O29+N29+AB29,10)</f>
        <v>#N/A</v>
      </c>
      <c r="K29" s="57"/>
      <c r="L29" s="100" t="s">
        <v>272</v>
      </c>
      <c r="M29" s="52" t="s">
        <v>293</v>
      </c>
      <c r="N29" s="40">
        <v>0</v>
      </c>
      <c r="O29" s="53" t="e">
        <f>VLOOKUP(B29,DRAYAGE!$A$1:$C$6,3,FALSE)</f>
        <v>#N/A</v>
      </c>
      <c r="P29" s="40" t="s">
        <v>299</v>
      </c>
      <c r="S29" s="101">
        <f>0.9*T29</f>
        <v>22950</v>
      </c>
      <c r="T29" s="54">
        <v>25500</v>
      </c>
      <c r="U29" s="103">
        <f t="shared" si="6"/>
        <v>25500</v>
      </c>
      <c r="V29" s="104">
        <f>U29*1.266</f>
        <v>32283</v>
      </c>
    </row>
    <row r="30" spans="1:29" s="40" customFormat="1" ht="14.45" customHeight="1" x14ac:dyDescent="0.25">
      <c r="A30" s="51" t="s">
        <v>320</v>
      </c>
      <c r="B30" s="51" t="s">
        <v>21</v>
      </c>
      <c r="C30" s="94" t="s">
        <v>54</v>
      </c>
      <c r="D30" s="126" t="s">
        <v>290</v>
      </c>
      <c r="E30" s="96" t="s">
        <v>114</v>
      </c>
      <c r="F30" s="97" t="s">
        <v>270</v>
      </c>
      <c r="G30" s="98" t="e">
        <f>CEILING(S30+W30+X30+O30+N30+Y30,10)</f>
        <v>#N/A</v>
      </c>
      <c r="H30" s="99" t="e">
        <f>CEILING(T30+W30+X30+O30+N30+Z30,10)</f>
        <v>#N/A</v>
      </c>
      <c r="I30" s="99" t="e">
        <f>CEILING(U30+W30+X30+O30+N30+AA30,10)</f>
        <v>#N/A</v>
      </c>
      <c r="J30" s="99" t="e">
        <f>CEILING(V30+W30+X30+O30+N30+AB30,10)</f>
        <v>#N/A</v>
      </c>
      <c r="K30" s="57"/>
      <c r="L30" s="100" t="s">
        <v>272</v>
      </c>
      <c r="M30" s="52" t="s">
        <v>293</v>
      </c>
      <c r="N30" s="40">
        <v>0</v>
      </c>
      <c r="O30" s="53" t="e">
        <f>VLOOKUP(B30,DRAYAGE!$A$1:$C$6,3,FALSE)</f>
        <v>#N/A</v>
      </c>
      <c r="P30" s="40" t="s">
        <v>299</v>
      </c>
      <c r="S30" s="101">
        <f>0.9*T30</f>
        <v>22950</v>
      </c>
      <c r="T30" s="54">
        <v>25500</v>
      </c>
      <c r="U30" s="103">
        <f>T30</f>
        <v>25500</v>
      </c>
      <c r="V30" s="104">
        <f>U30*1.266</f>
        <v>32283</v>
      </c>
    </row>
    <row r="31" spans="1:29" s="40" customFormat="1" ht="14.45" customHeight="1" x14ac:dyDescent="0.25">
      <c r="A31" s="46" t="s">
        <v>84</v>
      </c>
      <c r="B31" s="88"/>
      <c r="C31" s="88"/>
      <c r="D31" s="88"/>
      <c r="E31" s="210"/>
      <c r="F31" s="211"/>
      <c r="G31" s="88"/>
      <c r="H31" s="88"/>
      <c r="I31" s="88"/>
      <c r="J31" s="88"/>
      <c r="K31" s="57"/>
      <c r="L31" s="89" t="s">
        <v>48</v>
      </c>
      <c r="M31" s="89" t="s">
        <v>261</v>
      </c>
      <c r="N31" s="90" t="s">
        <v>51</v>
      </c>
      <c r="O31" s="91" t="s">
        <v>50</v>
      </c>
      <c r="P31" s="91" t="s">
        <v>262</v>
      </c>
      <c r="Q31" s="91" t="s">
        <v>263</v>
      </c>
      <c r="R31" s="91" t="s">
        <v>264</v>
      </c>
      <c r="S31" s="92" t="s">
        <v>52</v>
      </c>
      <c r="T31" s="92" t="s">
        <v>53</v>
      </c>
      <c r="U31" s="92" t="s">
        <v>265</v>
      </c>
      <c r="V31" s="92" t="s">
        <v>266</v>
      </c>
      <c r="W31" s="92" t="s">
        <v>267</v>
      </c>
      <c r="X31" s="92" t="s">
        <v>268</v>
      </c>
      <c r="Y31" s="92" t="s">
        <v>52</v>
      </c>
      <c r="Z31" s="92" t="s">
        <v>53</v>
      </c>
      <c r="AA31" s="92" t="s">
        <v>265</v>
      </c>
      <c r="AB31" s="92" t="s">
        <v>266</v>
      </c>
      <c r="AC31" s="93" t="s">
        <v>269</v>
      </c>
    </row>
    <row r="32" spans="1:29" s="40" customFormat="1" ht="14.45" customHeight="1" x14ac:dyDescent="0.25">
      <c r="A32" s="51" t="s">
        <v>58</v>
      </c>
      <c r="B32" s="51" t="s">
        <v>22</v>
      </c>
      <c r="C32" s="94" t="s">
        <v>54</v>
      </c>
      <c r="D32" s="95" t="s">
        <v>308</v>
      </c>
      <c r="E32" s="96" t="s">
        <v>114</v>
      </c>
      <c r="F32" s="97" t="s">
        <v>270</v>
      </c>
      <c r="G32" s="98" t="e">
        <f>CEILING(S32+W32+X32+O32+N32+Y32,10)</f>
        <v>#N/A</v>
      </c>
      <c r="H32" s="99" t="e">
        <f>CEILING(T32+W32+X32+O32+N32+Z32,10)</f>
        <v>#N/A</v>
      </c>
      <c r="I32" s="99" t="e">
        <f>CEILING(U32+W32+X32+O32+N32+AA32,10)</f>
        <v>#N/A</v>
      </c>
      <c r="J32" s="99" t="e">
        <f>CEILING(V32+W32+X32+O32+N32+AB32,10)</f>
        <v>#N/A</v>
      </c>
      <c r="K32" s="57"/>
      <c r="L32" s="100" t="s">
        <v>272</v>
      </c>
      <c r="M32" s="52" t="s">
        <v>293</v>
      </c>
      <c r="N32" s="40">
        <v>0</v>
      </c>
      <c r="O32" s="53" t="e">
        <f>VLOOKUP(B32,DRAYAGE!$A$1:$C$6,3,FALSE)</f>
        <v>#N/A</v>
      </c>
      <c r="P32" s="40" t="s">
        <v>299</v>
      </c>
      <c r="S32" s="101">
        <f>0.9*T32</f>
        <v>22950</v>
      </c>
      <c r="T32" s="54">
        <v>25500</v>
      </c>
      <c r="U32" s="103">
        <f t="shared" si="6"/>
        <v>25500</v>
      </c>
      <c r="V32" s="104">
        <f>U32*1.266</f>
        <v>32283</v>
      </c>
      <c r="X32" s="40">
        <v>0</v>
      </c>
    </row>
    <row r="33" spans="1:29" s="40" customFormat="1" ht="14.45" customHeight="1" x14ac:dyDescent="0.25">
      <c r="A33" s="51" t="s">
        <v>320</v>
      </c>
      <c r="B33" s="51" t="s">
        <v>22</v>
      </c>
      <c r="C33" s="94" t="s">
        <v>54</v>
      </c>
      <c r="D33" s="126" t="s">
        <v>290</v>
      </c>
      <c r="E33" s="96" t="s">
        <v>114</v>
      </c>
      <c r="F33" s="97" t="s">
        <v>270</v>
      </c>
      <c r="G33" s="98" t="e">
        <f>CEILING(S33+W33+X33+O33+N33+Y33,10)</f>
        <v>#N/A</v>
      </c>
      <c r="H33" s="99" t="e">
        <f>CEILING(T33+W33+X33+O33+N33+Z33,10)</f>
        <v>#N/A</v>
      </c>
      <c r="I33" s="99" t="e">
        <f>CEILING(U33+W33+X33+O33+N33+AA33,10)</f>
        <v>#N/A</v>
      </c>
      <c r="J33" s="99" t="e">
        <f>CEILING(V33+W33+X33+O33+N33+AB33,10)</f>
        <v>#N/A</v>
      </c>
      <c r="K33" s="57"/>
      <c r="L33" s="100" t="s">
        <v>272</v>
      </c>
      <c r="M33" s="52" t="s">
        <v>293</v>
      </c>
      <c r="N33" s="40">
        <v>0</v>
      </c>
      <c r="O33" s="53" t="e">
        <f>VLOOKUP(B33,DRAYAGE!$A$1:$C$6,3,FALSE)</f>
        <v>#N/A</v>
      </c>
      <c r="P33" s="40" t="s">
        <v>299</v>
      </c>
      <c r="S33" s="101">
        <f>0.9*T33</f>
        <v>22950</v>
      </c>
      <c r="T33" s="54">
        <v>25500</v>
      </c>
      <c r="U33" s="103">
        <f>T33</f>
        <v>25500</v>
      </c>
      <c r="V33" s="104">
        <f>U33*1.266</f>
        <v>32283</v>
      </c>
      <c r="X33" s="40">
        <v>0</v>
      </c>
    </row>
    <row r="34" spans="1:29" s="40" customFormat="1" ht="14.45" customHeight="1" x14ac:dyDescent="0.25">
      <c r="A34" s="47" t="s">
        <v>85</v>
      </c>
      <c r="B34" s="88"/>
      <c r="C34" s="88"/>
      <c r="D34" s="88"/>
      <c r="E34" s="210"/>
      <c r="F34" s="211"/>
      <c r="G34" s="88"/>
      <c r="H34" s="88"/>
      <c r="I34" s="88"/>
      <c r="J34" s="88"/>
      <c r="K34" s="57"/>
      <c r="L34" s="89" t="s">
        <v>48</v>
      </c>
      <c r="M34" s="89" t="s">
        <v>261</v>
      </c>
      <c r="N34" s="90" t="s">
        <v>51</v>
      </c>
      <c r="O34" s="91" t="s">
        <v>50</v>
      </c>
      <c r="P34" s="91" t="s">
        <v>262</v>
      </c>
      <c r="Q34" s="91" t="s">
        <v>263</v>
      </c>
      <c r="R34" s="91" t="s">
        <v>264</v>
      </c>
      <c r="S34" s="92" t="s">
        <v>52</v>
      </c>
      <c r="T34" s="92" t="s">
        <v>53</v>
      </c>
      <c r="U34" s="92" t="s">
        <v>265</v>
      </c>
      <c r="V34" s="92" t="s">
        <v>266</v>
      </c>
      <c r="W34" s="92" t="s">
        <v>267</v>
      </c>
      <c r="X34" s="92" t="s">
        <v>268</v>
      </c>
      <c r="Y34" s="92" t="s">
        <v>52</v>
      </c>
      <c r="Z34" s="92" t="s">
        <v>53</v>
      </c>
      <c r="AA34" s="92" t="s">
        <v>265</v>
      </c>
      <c r="AB34" s="92" t="s">
        <v>266</v>
      </c>
      <c r="AC34" s="93" t="s">
        <v>269</v>
      </c>
    </row>
    <row r="35" spans="1:29" s="40" customFormat="1" ht="18.75" x14ac:dyDescent="0.25">
      <c r="A35" s="51" t="s">
        <v>81</v>
      </c>
      <c r="B35" s="51" t="s">
        <v>17</v>
      </c>
      <c r="C35" s="94" t="s">
        <v>54</v>
      </c>
      <c r="D35" s="95" t="s">
        <v>308</v>
      </c>
      <c r="E35" s="96" t="s">
        <v>114</v>
      </c>
      <c r="F35" s="97" t="s">
        <v>270</v>
      </c>
      <c r="G35" s="98" t="e">
        <f t="shared" ref="G35:G41" si="10">CEILING(S35+W35+X35+O35+N35+Y35,10)</f>
        <v>#N/A</v>
      </c>
      <c r="H35" s="99" t="e">
        <f t="shared" ref="H35:H41" si="11">CEILING(T35+W35+X35+O35+N35+Z35,10)</f>
        <v>#N/A</v>
      </c>
      <c r="I35" s="99" t="e">
        <f t="shared" ref="I35:I41" si="12">CEILING(U35+W35+X35+O35+N35+AA35,10)</f>
        <v>#N/A</v>
      </c>
      <c r="J35" s="99" t="e">
        <f t="shared" ref="J35:J41" si="13">CEILING(V35+W35+X35+O35+N35+AB35,10)</f>
        <v>#N/A</v>
      </c>
      <c r="K35" s="57"/>
      <c r="L35" s="100" t="s">
        <v>272</v>
      </c>
      <c r="M35" s="52" t="s">
        <v>294</v>
      </c>
      <c r="N35" s="40">
        <v>0</v>
      </c>
      <c r="O35" s="53" t="e">
        <f>VLOOKUP(B35,DRAYAGE!$A$1:$C$6,3,FALSE)</f>
        <v>#N/A</v>
      </c>
      <c r="P35" s="40" t="s">
        <v>300</v>
      </c>
      <c r="S35" s="101">
        <f t="shared" ref="S35:S41" si="14">0.9*T35</f>
        <v>20700</v>
      </c>
      <c r="T35" s="54">
        <v>23000</v>
      </c>
      <c r="U35" s="103">
        <f t="shared" si="6"/>
        <v>23000</v>
      </c>
      <c r="V35" s="104">
        <f t="shared" ref="V35:V41" si="15">U35*1.266</f>
        <v>29118</v>
      </c>
      <c r="X35" s="40">
        <v>0</v>
      </c>
    </row>
    <row r="36" spans="1:29" s="40" customFormat="1" ht="14.45" customHeight="1" x14ac:dyDescent="0.25">
      <c r="A36" s="51" t="s">
        <v>55</v>
      </c>
      <c r="B36" s="51" t="s">
        <v>17</v>
      </c>
      <c r="C36" s="94" t="s">
        <v>54</v>
      </c>
      <c r="D36" s="95" t="s">
        <v>308</v>
      </c>
      <c r="E36" s="96" t="s">
        <v>114</v>
      </c>
      <c r="F36" s="97" t="s">
        <v>270</v>
      </c>
      <c r="G36" s="98" t="e">
        <f t="shared" si="10"/>
        <v>#N/A</v>
      </c>
      <c r="H36" s="99" t="e">
        <f t="shared" si="11"/>
        <v>#N/A</v>
      </c>
      <c r="I36" s="99" t="e">
        <f t="shared" si="12"/>
        <v>#N/A</v>
      </c>
      <c r="J36" s="99" t="e">
        <f t="shared" si="13"/>
        <v>#N/A</v>
      </c>
      <c r="K36" s="57"/>
      <c r="L36" s="100" t="s">
        <v>272</v>
      </c>
      <c r="M36" s="52" t="s">
        <v>294</v>
      </c>
      <c r="N36" s="40">
        <v>0</v>
      </c>
      <c r="O36" s="53" t="e">
        <f>VLOOKUP(B36,DRAYAGE!$A$1:$C$6,3,FALSE)</f>
        <v>#N/A</v>
      </c>
      <c r="P36" s="40" t="s">
        <v>300</v>
      </c>
      <c r="S36" s="101">
        <f t="shared" si="14"/>
        <v>21600</v>
      </c>
      <c r="T36" s="54">
        <v>24000</v>
      </c>
      <c r="U36" s="103">
        <f t="shared" si="6"/>
        <v>24000</v>
      </c>
      <c r="V36" s="104">
        <f t="shared" si="15"/>
        <v>30384</v>
      </c>
      <c r="X36" s="40">
        <v>0</v>
      </c>
    </row>
    <row r="37" spans="1:29" s="40" customFormat="1" ht="14.45" customHeight="1" x14ac:dyDescent="0.25">
      <c r="A37" s="51" t="s">
        <v>59</v>
      </c>
      <c r="B37" s="51" t="s">
        <v>17</v>
      </c>
      <c r="C37" s="94" t="s">
        <v>54</v>
      </c>
      <c r="D37" s="95" t="s">
        <v>308</v>
      </c>
      <c r="E37" s="96" t="s">
        <v>114</v>
      </c>
      <c r="F37" s="97" t="s">
        <v>270</v>
      </c>
      <c r="G37" s="98" t="e">
        <f t="shared" si="10"/>
        <v>#N/A</v>
      </c>
      <c r="H37" s="99" t="e">
        <f t="shared" si="11"/>
        <v>#N/A</v>
      </c>
      <c r="I37" s="99" t="e">
        <f t="shared" si="12"/>
        <v>#N/A</v>
      </c>
      <c r="J37" s="99" t="e">
        <f t="shared" si="13"/>
        <v>#N/A</v>
      </c>
      <c r="K37" s="57"/>
      <c r="L37" s="100" t="s">
        <v>272</v>
      </c>
      <c r="M37" s="52" t="s">
        <v>294</v>
      </c>
      <c r="N37" s="40">
        <v>0</v>
      </c>
      <c r="O37" s="53" t="e">
        <f>VLOOKUP(B37,DRAYAGE!$A$1:$C$6,3,FALSE)</f>
        <v>#N/A</v>
      </c>
      <c r="P37" s="40" t="s">
        <v>300</v>
      </c>
      <c r="S37" s="101">
        <f t="shared" si="14"/>
        <v>21600</v>
      </c>
      <c r="T37" s="54">
        <v>24000</v>
      </c>
      <c r="U37" s="103">
        <f t="shared" si="6"/>
        <v>24000</v>
      </c>
      <c r="V37" s="104">
        <f t="shared" si="15"/>
        <v>30384</v>
      </c>
      <c r="X37" s="40">
        <v>0</v>
      </c>
    </row>
    <row r="38" spans="1:29" s="40" customFormat="1" ht="18.75" x14ac:dyDescent="0.25">
      <c r="A38" s="51" t="s">
        <v>60</v>
      </c>
      <c r="B38" s="51" t="s">
        <v>17</v>
      </c>
      <c r="C38" s="94" t="s">
        <v>54</v>
      </c>
      <c r="D38" s="95" t="s">
        <v>308</v>
      </c>
      <c r="E38" s="96" t="s">
        <v>114</v>
      </c>
      <c r="F38" s="97" t="s">
        <v>270</v>
      </c>
      <c r="G38" s="98" t="e">
        <f t="shared" si="10"/>
        <v>#N/A</v>
      </c>
      <c r="H38" s="99" t="e">
        <f t="shared" si="11"/>
        <v>#N/A</v>
      </c>
      <c r="I38" s="99" t="e">
        <f t="shared" si="12"/>
        <v>#N/A</v>
      </c>
      <c r="J38" s="99" t="e">
        <f t="shared" si="13"/>
        <v>#N/A</v>
      </c>
      <c r="K38" s="57"/>
      <c r="L38" s="100" t="s">
        <v>272</v>
      </c>
      <c r="M38" s="52" t="s">
        <v>294</v>
      </c>
      <c r="N38" s="40">
        <v>0</v>
      </c>
      <c r="O38" s="53" t="e">
        <f>VLOOKUP(B38,DRAYAGE!$A$1:$C$6,3,FALSE)</f>
        <v>#N/A</v>
      </c>
      <c r="P38" s="40" t="s">
        <v>300</v>
      </c>
      <c r="S38" s="101">
        <f t="shared" si="14"/>
        <v>21600</v>
      </c>
      <c r="T38" s="54">
        <v>24000</v>
      </c>
      <c r="U38" s="103">
        <f t="shared" si="6"/>
        <v>24000</v>
      </c>
      <c r="V38" s="104">
        <f t="shared" si="15"/>
        <v>30384</v>
      </c>
      <c r="X38" s="40">
        <v>0</v>
      </c>
    </row>
    <row r="39" spans="1:29" s="45" customFormat="1" ht="14.45" customHeight="1" x14ac:dyDescent="0.25">
      <c r="A39" s="51" t="s">
        <v>61</v>
      </c>
      <c r="B39" s="51" t="s">
        <v>17</v>
      </c>
      <c r="C39" s="106" t="s">
        <v>54</v>
      </c>
      <c r="D39" s="95" t="s">
        <v>308</v>
      </c>
      <c r="E39" s="107" t="s">
        <v>114</v>
      </c>
      <c r="F39" s="108" t="s">
        <v>270</v>
      </c>
      <c r="G39" s="109" t="e">
        <f t="shared" si="10"/>
        <v>#N/A</v>
      </c>
      <c r="H39" s="110" t="e">
        <f t="shared" si="11"/>
        <v>#N/A</v>
      </c>
      <c r="I39" s="110" t="e">
        <f t="shared" si="12"/>
        <v>#N/A</v>
      </c>
      <c r="J39" s="110" t="e">
        <f t="shared" si="13"/>
        <v>#N/A</v>
      </c>
      <c r="K39" s="111"/>
      <c r="L39" s="112" t="s">
        <v>272</v>
      </c>
      <c r="M39" s="52" t="s">
        <v>294</v>
      </c>
      <c r="N39" s="45">
        <v>0</v>
      </c>
      <c r="O39" s="53" t="e">
        <f>VLOOKUP(B39,DRAYAGE!$A$1:$C$6,3,FALSE)</f>
        <v>#N/A</v>
      </c>
      <c r="P39" s="40" t="s">
        <v>300</v>
      </c>
      <c r="R39" s="40"/>
      <c r="S39" s="113">
        <f t="shared" si="14"/>
        <v>20700</v>
      </c>
      <c r="T39" s="54">
        <v>23000</v>
      </c>
      <c r="U39" s="103">
        <f t="shared" si="6"/>
        <v>23000</v>
      </c>
      <c r="V39" s="114">
        <f t="shared" si="15"/>
        <v>29118</v>
      </c>
      <c r="X39" s="45">
        <v>0</v>
      </c>
      <c r="Y39" s="40"/>
      <c r="Z39" s="40"/>
      <c r="AA39" s="40"/>
      <c r="AB39" s="40"/>
    </row>
    <row r="40" spans="1:29" s="40" customFormat="1" ht="18.75" x14ac:dyDescent="0.25">
      <c r="A40" s="51" t="s">
        <v>273</v>
      </c>
      <c r="B40" s="51" t="s">
        <v>17</v>
      </c>
      <c r="C40" s="94" t="s">
        <v>54</v>
      </c>
      <c r="D40" s="95" t="s">
        <v>308</v>
      </c>
      <c r="E40" s="96" t="s">
        <v>114</v>
      </c>
      <c r="F40" s="97" t="s">
        <v>270</v>
      </c>
      <c r="G40" s="98" t="e">
        <f t="shared" si="10"/>
        <v>#N/A</v>
      </c>
      <c r="H40" s="99" t="e">
        <f t="shared" si="11"/>
        <v>#N/A</v>
      </c>
      <c r="I40" s="99" t="e">
        <f t="shared" si="12"/>
        <v>#N/A</v>
      </c>
      <c r="J40" s="99" t="e">
        <f t="shared" si="13"/>
        <v>#N/A</v>
      </c>
      <c r="K40" s="57"/>
      <c r="L40" s="100" t="s">
        <v>272</v>
      </c>
      <c r="M40" s="52" t="s">
        <v>294</v>
      </c>
      <c r="N40" s="40">
        <v>0</v>
      </c>
      <c r="O40" s="53" t="e">
        <f>VLOOKUP(B40,DRAYAGE!$A$1:$C$6,3,FALSE)</f>
        <v>#N/A</v>
      </c>
      <c r="P40" s="40" t="s">
        <v>300</v>
      </c>
      <c r="S40" s="101">
        <f t="shared" si="14"/>
        <v>21600</v>
      </c>
      <c r="T40" s="54">
        <v>24000</v>
      </c>
      <c r="U40" s="103">
        <f t="shared" si="6"/>
        <v>24000</v>
      </c>
      <c r="V40" s="104">
        <f t="shared" si="15"/>
        <v>30384</v>
      </c>
      <c r="X40" s="40">
        <v>0</v>
      </c>
    </row>
    <row r="41" spans="1:29" s="40" customFormat="1" ht="14.45" customHeight="1" x14ac:dyDescent="0.25">
      <c r="A41" s="51" t="s">
        <v>58</v>
      </c>
      <c r="B41" s="51" t="s">
        <v>17</v>
      </c>
      <c r="C41" s="94" t="s">
        <v>54</v>
      </c>
      <c r="D41" s="126" t="s">
        <v>290</v>
      </c>
      <c r="E41" s="96" t="s">
        <v>114</v>
      </c>
      <c r="F41" s="97" t="s">
        <v>270</v>
      </c>
      <c r="G41" s="98" t="e">
        <f t="shared" si="10"/>
        <v>#N/A</v>
      </c>
      <c r="H41" s="99" t="e">
        <f t="shared" si="11"/>
        <v>#N/A</v>
      </c>
      <c r="I41" s="99" t="e">
        <f t="shared" si="12"/>
        <v>#N/A</v>
      </c>
      <c r="J41" s="99" t="e">
        <f t="shared" si="13"/>
        <v>#N/A</v>
      </c>
      <c r="K41" s="57"/>
      <c r="L41" s="100" t="s">
        <v>272</v>
      </c>
      <c r="M41" s="52" t="s">
        <v>294</v>
      </c>
      <c r="N41" s="40">
        <v>0</v>
      </c>
      <c r="O41" s="53" t="e">
        <f>VLOOKUP(B41,DRAYAGE!$A$1:$C$6,3,FALSE)</f>
        <v>#N/A</v>
      </c>
      <c r="P41" s="40" t="s">
        <v>298</v>
      </c>
      <c r="S41" s="101">
        <f t="shared" si="14"/>
        <v>22950</v>
      </c>
      <c r="T41" s="54">
        <v>25500</v>
      </c>
      <c r="U41" s="103">
        <f t="shared" si="6"/>
        <v>25500</v>
      </c>
      <c r="V41" s="104">
        <f t="shared" si="15"/>
        <v>32283</v>
      </c>
      <c r="X41" s="40">
        <v>0</v>
      </c>
    </row>
    <row r="42" spans="1:29" s="40" customFormat="1" ht="14.45" customHeight="1" x14ac:dyDescent="0.25">
      <c r="A42" s="46" t="s">
        <v>98</v>
      </c>
      <c r="B42" s="88"/>
      <c r="C42" s="88"/>
      <c r="D42" s="88"/>
      <c r="E42" s="210"/>
      <c r="F42" s="211"/>
      <c r="G42" s="88"/>
      <c r="H42" s="88"/>
      <c r="I42" s="88"/>
      <c r="J42" s="88"/>
      <c r="K42" s="57"/>
      <c r="L42" s="89" t="s">
        <v>48</v>
      </c>
      <c r="M42" s="89" t="s">
        <v>261</v>
      </c>
      <c r="N42" s="90" t="s">
        <v>51</v>
      </c>
      <c r="O42" s="91" t="s">
        <v>50</v>
      </c>
      <c r="P42" s="91" t="s">
        <v>262</v>
      </c>
      <c r="Q42" s="91" t="s">
        <v>263</v>
      </c>
      <c r="R42" s="92" t="s">
        <v>52</v>
      </c>
      <c r="S42" s="92" t="s">
        <v>52</v>
      </c>
      <c r="T42" s="92" t="s">
        <v>53</v>
      </c>
      <c r="U42" s="92" t="s">
        <v>265</v>
      </c>
      <c r="V42" s="92" t="s">
        <v>266</v>
      </c>
      <c r="W42" s="92" t="s">
        <v>267</v>
      </c>
      <c r="X42" s="92" t="s">
        <v>268</v>
      </c>
      <c r="Y42" s="92" t="s">
        <v>52</v>
      </c>
      <c r="Z42" s="92" t="s">
        <v>53</v>
      </c>
      <c r="AA42" s="92" t="s">
        <v>265</v>
      </c>
      <c r="AB42" s="92" t="s">
        <v>266</v>
      </c>
      <c r="AC42" s="93" t="s">
        <v>269</v>
      </c>
    </row>
    <row r="43" spans="1:29" s="40" customFormat="1" ht="14.45" customHeight="1" x14ac:dyDescent="0.25">
      <c r="A43" s="51" t="s">
        <v>316</v>
      </c>
      <c r="B43" s="51" t="s">
        <v>106</v>
      </c>
      <c r="C43" s="94" t="s">
        <v>54</v>
      </c>
      <c r="D43" s="95" t="s">
        <v>308</v>
      </c>
      <c r="E43" s="96" t="s">
        <v>114</v>
      </c>
      <c r="F43" s="97" t="s">
        <v>270</v>
      </c>
      <c r="G43" s="98">
        <f>CEILING(S43+W43+X43+O43+N43+Y43,10)</f>
        <v>20380</v>
      </c>
      <c r="H43" s="99">
        <f>CEILING(T43+W43+X43+O43+N43+Z43,10)</f>
        <v>22480</v>
      </c>
      <c r="I43" s="99">
        <f>CEILING(U43+W43+X43+O43+N43+AA43,10)</f>
        <v>22480</v>
      </c>
      <c r="J43" s="99">
        <f>CEILING(V43+W43+X43+O43+N43+AB43,10)</f>
        <v>28070</v>
      </c>
      <c r="K43" s="57"/>
      <c r="L43" s="100" t="s">
        <v>272</v>
      </c>
      <c r="M43" s="52" t="s">
        <v>293</v>
      </c>
      <c r="N43" s="40">
        <v>0</v>
      </c>
      <c r="O43" s="53">
        <v>1476.4</v>
      </c>
      <c r="P43" s="40" t="s">
        <v>302</v>
      </c>
      <c r="R43" s="101">
        <v>19800</v>
      </c>
      <c r="S43" s="101">
        <f>0.9*T43</f>
        <v>18900</v>
      </c>
      <c r="T43" s="54">
        <v>21000</v>
      </c>
      <c r="U43" s="103">
        <f>T43</f>
        <v>21000</v>
      </c>
      <c r="V43" s="104">
        <f>U43*1.266</f>
        <v>26586</v>
      </c>
      <c r="W43" s="40">
        <v>0</v>
      </c>
    </row>
    <row r="44" spans="1:29" s="40" customFormat="1" ht="14.45" customHeight="1" x14ac:dyDescent="0.25">
      <c r="A44" s="51" t="s">
        <v>322</v>
      </c>
      <c r="B44" s="51" t="s">
        <v>106</v>
      </c>
      <c r="C44" s="94" t="s">
        <v>54</v>
      </c>
      <c r="D44" s="126" t="s">
        <v>315</v>
      </c>
      <c r="E44" s="96" t="s">
        <v>114</v>
      </c>
      <c r="F44" s="97" t="s">
        <v>270</v>
      </c>
      <c r="G44" s="98">
        <f>CEILING(S44+W44+X44+O44+N44+Y44,10)</f>
        <v>24430</v>
      </c>
      <c r="H44" s="99">
        <f>CEILING(T44+W44+X44+O44+N44+Z44,10)</f>
        <v>26980</v>
      </c>
      <c r="I44" s="99">
        <f>CEILING(U44+W44+X44+O44+N44+AA44,10)</f>
        <v>26980</v>
      </c>
      <c r="J44" s="99">
        <f>CEILING(V44+W44+X44+O44+N44+AB44,10)</f>
        <v>33760</v>
      </c>
      <c r="K44" s="57"/>
      <c r="L44" s="100" t="s">
        <v>272</v>
      </c>
      <c r="M44" s="52" t="s">
        <v>293</v>
      </c>
      <c r="N44" s="40">
        <v>0</v>
      </c>
      <c r="O44" s="53">
        <v>1476.4</v>
      </c>
      <c r="P44" s="40" t="s">
        <v>302</v>
      </c>
      <c r="R44" s="101">
        <v>19800</v>
      </c>
      <c r="S44" s="101">
        <f>0.9*T44</f>
        <v>22950</v>
      </c>
      <c r="T44" s="54">
        <v>25500</v>
      </c>
      <c r="U44" s="103">
        <f>T44</f>
        <v>25500</v>
      </c>
      <c r="V44" s="104">
        <f>U44*1.266</f>
        <v>32283</v>
      </c>
      <c r="W44" s="40">
        <v>0</v>
      </c>
    </row>
    <row r="45" spans="1:29" s="40" customFormat="1" ht="14.45" customHeight="1" x14ac:dyDescent="0.25">
      <c r="A45" s="51" t="s">
        <v>321</v>
      </c>
      <c r="B45" s="51" t="s">
        <v>106</v>
      </c>
      <c r="C45" s="94" t="s">
        <v>54</v>
      </c>
      <c r="D45" s="126" t="s">
        <v>315</v>
      </c>
      <c r="E45" s="96" t="s">
        <v>114</v>
      </c>
      <c r="F45" s="97" t="s">
        <v>270</v>
      </c>
      <c r="G45" s="98">
        <f>CEILING(S45+W45+X45+O45+N45+Y45,10)</f>
        <v>23080</v>
      </c>
      <c r="H45" s="99">
        <f>CEILING(T45+W45+X45+O45+N45+Z45,10)</f>
        <v>25480</v>
      </c>
      <c r="I45" s="99">
        <f>CEILING(U45+W45+X45+O45+N45+AA45,10)</f>
        <v>25480</v>
      </c>
      <c r="J45" s="99">
        <f>CEILING(V45+W45+X45+O45+N45+AB45,10)</f>
        <v>31870</v>
      </c>
      <c r="K45" s="57"/>
      <c r="L45" s="100" t="s">
        <v>272</v>
      </c>
      <c r="M45" s="52" t="s">
        <v>293</v>
      </c>
      <c r="N45" s="40">
        <v>0</v>
      </c>
      <c r="O45" s="53">
        <v>1476.4</v>
      </c>
      <c r="P45" s="40" t="s">
        <v>302</v>
      </c>
      <c r="R45" s="101">
        <v>19800</v>
      </c>
      <c r="S45" s="101">
        <f>0.9*T45</f>
        <v>21600</v>
      </c>
      <c r="T45" s="54">
        <v>24000</v>
      </c>
      <c r="U45" s="103">
        <f>T45</f>
        <v>24000</v>
      </c>
      <c r="V45" s="104">
        <f>U45*1.266</f>
        <v>30384</v>
      </c>
      <c r="W45" s="40">
        <v>0</v>
      </c>
    </row>
    <row r="46" spans="1:29" s="40" customFormat="1" ht="14.45" customHeight="1" x14ac:dyDescent="0.25">
      <c r="A46" s="47" t="s">
        <v>323</v>
      </c>
      <c r="B46" s="88"/>
      <c r="C46" s="88"/>
      <c r="D46" s="88"/>
      <c r="E46" s="210"/>
      <c r="F46" s="211"/>
      <c r="G46" s="88"/>
      <c r="H46" s="88"/>
      <c r="I46" s="88"/>
      <c r="J46" s="88"/>
      <c r="K46" s="57"/>
      <c r="L46" s="89" t="s">
        <v>324</v>
      </c>
      <c r="M46" s="89" t="s">
        <v>261</v>
      </c>
      <c r="N46" s="90" t="s">
        <v>51</v>
      </c>
      <c r="O46" s="91" t="s">
        <v>50</v>
      </c>
      <c r="P46" s="91" t="s">
        <v>262</v>
      </c>
      <c r="Q46" s="91" t="s">
        <v>263</v>
      </c>
      <c r="R46" s="92" t="s">
        <v>52</v>
      </c>
      <c r="S46" s="92" t="s">
        <v>52</v>
      </c>
      <c r="T46" s="92" t="s">
        <v>53</v>
      </c>
      <c r="U46" s="92" t="s">
        <v>265</v>
      </c>
      <c r="V46" s="92" t="s">
        <v>266</v>
      </c>
      <c r="W46" s="92" t="s">
        <v>267</v>
      </c>
      <c r="X46" s="92" t="s">
        <v>268</v>
      </c>
      <c r="Y46" s="92" t="s">
        <v>52</v>
      </c>
      <c r="Z46" s="92" t="s">
        <v>53</v>
      </c>
      <c r="AA46" s="92" t="s">
        <v>265</v>
      </c>
      <c r="AB46" s="92" t="s">
        <v>266</v>
      </c>
      <c r="AC46" s="93" t="s">
        <v>269</v>
      </c>
    </row>
    <row r="47" spans="1:29" s="40" customFormat="1" ht="14.45" customHeight="1" x14ac:dyDescent="0.25">
      <c r="A47" s="51" t="s">
        <v>320</v>
      </c>
      <c r="B47" s="56" t="s">
        <v>103</v>
      </c>
      <c r="C47" s="94" t="s">
        <v>54</v>
      </c>
      <c r="D47" s="126" t="s">
        <v>290</v>
      </c>
      <c r="E47" s="96" t="s">
        <v>114</v>
      </c>
      <c r="F47" s="97" t="s">
        <v>270</v>
      </c>
      <c r="G47" s="98">
        <v>18510</v>
      </c>
      <c r="H47" s="99">
        <v>20510</v>
      </c>
      <c r="I47" s="99">
        <v>20510</v>
      </c>
      <c r="J47" s="99">
        <v>25830</v>
      </c>
      <c r="K47" s="57"/>
      <c r="L47" s="100" t="s">
        <v>272</v>
      </c>
      <c r="M47" s="52" t="s">
        <v>295</v>
      </c>
      <c r="N47" s="40">
        <v>0</v>
      </c>
      <c r="O47" s="53">
        <v>504</v>
      </c>
      <c r="P47" s="40" t="s">
        <v>325</v>
      </c>
      <c r="R47" s="101">
        <v>18000</v>
      </c>
      <c r="S47" s="101">
        <f>0.9*T47</f>
        <v>23850</v>
      </c>
      <c r="T47" s="54">
        <v>26500</v>
      </c>
      <c r="U47" s="103">
        <f>T47</f>
        <v>26500</v>
      </c>
      <c r="V47" s="104">
        <f>U47*1.266</f>
        <v>33549</v>
      </c>
      <c r="W47" s="40">
        <v>0</v>
      </c>
    </row>
    <row r="48" spans="1:29" s="40" customFormat="1" ht="14.45" customHeight="1" x14ac:dyDescent="0.25">
      <c r="A48" s="47" t="s">
        <v>86</v>
      </c>
      <c r="B48" s="88"/>
      <c r="C48" s="88"/>
      <c r="D48" s="88"/>
      <c r="E48" s="210"/>
      <c r="F48" s="211"/>
      <c r="G48" s="88"/>
      <c r="H48" s="88"/>
      <c r="I48" s="88"/>
      <c r="J48" s="88"/>
      <c r="K48" s="57"/>
      <c r="L48" s="89" t="s">
        <v>48</v>
      </c>
      <c r="M48" s="89" t="s">
        <v>261</v>
      </c>
      <c r="N48" s="90" t="s">
        <v>51</v>
      </c>
      <c r="O48" s="91" t="s">
        <v>50</v>
      </c>
      <c r="P48" s="91" t="s">
        <v>262</v>
      </c>
      <c r="Q48" s="91" t="s">
        <v>263</v>
      </c>
      <c r="R48" s="91" t="s">
        <v>264</v>
      </c>
      <c r="S48" s="92" t="s">
        <v>52</v>
      </c>
      <c r="T48" s="92" t="s">
        <v>53</v>
      </c>
      <c r="U48" s="92" t="s">
        <v>265</v>
      </c>
      <c r="V48" s="92" t="s">
        <v>266</v>
      </c>
      <c r="W48" s="92" t="s">
        <v>267</v>
      </c>
      <c r="X48" s="92" t="s">
        <v>268</v>
      </c>
      <c r="Y48" s="92" t="s">
        <v>52</v>
      </c>
      <c r="Z48" s="92" t="s">
        <v>53</v>
      </c>
      <c r="AA48" s="92" t="s">
        <v>265</v>
      </c>
      <c r="AB48" s="92" t="s">
        <v>266</v>
      </c>
      <c r="AC48" s="93" t="s">
        <v>269</v>
      </c>
    </row>
    <row r="49" spans="1:29" s="40" customFormat="1" ht="18.75" x14ac:dyDescent="0.25">
      <c r="A49" s="51" t="s">
        <v>81</v>
      </c>
      <c r="B49" s="56" t="s">
        <v>19</v>
      </c>
      <c r="C49" s="94" t="s">
        <v>54</v>
      </c>
      <c r="D49" s="95" t="s">
        <v>308</v>
      </c>
      <c r="E49" s="96" t="s">
        <v>114</v>
      </c>
      <c r="F49" s="97" t="s">
        <v>270</v>
      </c>
      <c r="G49" s="98" t="e">
        <f t="shared" ref="G49:G54" si="16">CEILING(S49+W49+X49+O49+N49+Y49,10)</f>
        <v>#N/A</v>
      </c>
      <c r="H49" s="99" t="e">
        <f t="shared" ref="H49:H54" si="17">CEILING(T49+W49+X49+O49+N49+Z49,10)</f>
        <v>#N/A</v>
      </c>
      <c r="I49" s="99" t="e">
        <f t="shared" ref="I49:I54" si="18">CEILING(U49+W49+X49+O49+N49+AA49,10)</f>
        <v>#N/A</v>
      </c>
      <c r="J49" s="99" t="e">
        <f t="shared" ref="J49:J54" si="19">CEILING(V49+W49+X49+O49+N49+AB49,10)</f>
        <v>#N/A</v>
      </c>
      <c r="K49" s="57"/>
      <c r="L49" s="100" t="s">
        <v>272</v>
      </c>
      <c r="M49" s="52" t="s">
        <v>294</v>
      </c>
      <c r="N49" s="40">
        <v>0</v>
      </c>
      <c r="O49" s="53" t="e">
        <f>VLOOKUP(B49,DRAYAGE!$A$1:$C$6,3,FALSE)</f>
        <v>#N/A</v>
      </c>
      <c r="P49" s="40" t="s">
        <v>301</v>
      </c>
      <c r="S49" s="101">
        <f t="shared" ref="S49:S54" si="20">0.9*T49</f>
        <v>20700</v>
      </c>
      <c r="T49" s="54">
        <f t="shared" ref="T49:T54" si="21">T35</f>
        <v>23000</v>
      </c>
      <c r="U49" s="103">
        <f t="shared" si="6"/>
        <v>23000</v>
      </c>
      <c r="V49" s="104">
        <f t="shared" ref="V49:V54" si="22">U49*1.266</f>
        <v>29118</v>
      </c>
      <c r="X49" s="40">
        <v>0</v>
      </c>
    </row>
    <row r="50" spans="1:29" s="40" customFormat="1" ht="14.45" customHeight="1" x14ac:dyDescent="0.25">
      <c r="A50" s="51" t="s">
        <v>55</v>
      </c>
      <c r="B50" s="56" t="s">
        <v>19</v>
      </c>
      <c r="C50" s="94" t="s">
        <v>54</v>
      </c>
      <c r="D50" s="95" t="s">
        <v>308</v>
      </c>
      <c r="E50" s="96" t="s">
        <v>114</v>
      </c>
      <c r="F50" s="97" t="s">
        <v>270</v>
      </c>
      <c r="G50" s="98" t="e">
        <f t="shared" si="16"/>
        <v>#N/A</v>
      </c>
      <c r="H50" s="99" t="e">
        <f t="shared" si="17"/>
        <v>#N/A</v>
      </c>
      <c r="I50" s="99" t="e">
        <f t="shared" si="18"/>
        <v>#N/A</v>
      </c>
      <c r="J50" s="99" t="e">
        <f t="shared" si="19"/>
        <v>#N/A</v>
      </c>
      <c r="K50" s="57"/>
      <c r="L50" s="100" t="s">
        <v>272</v>
      </c>
      <c r="M50" s="52" t="s">
        <v>294</v>
      </c>
      <c r="N50" s="40">
        <v>0</v>
      </c>
      <c r="O50" s="53" t="e">
        <f>VLOOKUP(B50,DRAYAGE!$A$1:$C$6,3,FALSE)</f>
        <v>#N/A</v>
      </c>
      <c r="P50" s="40" t="s">
        <v>301</v>
      </c>
      <c r="S50" s="101">
        <f t="shared" si="20"/>
        <v>21600</v>
      </c>
      <c r="T50" s="54">
        <f t="shared" si="21"/>
        <v>24000</v>
      </c>
      <c r="U50" s="103">
        <f t="shared" si="6"/>
        <v>24000</v>
      </c>
      <c r="V50" s="104">
        <f t="shared" si="22"/>
        <v>30384</v>
      </c>
      <c r="X50" s="40">
        <v>0</v>
      </c>
    </row>
    <row r="51" spans="1:29" s="40" customFormat="1" ht="14.45" customHeight="1" x14ac:dyDescent="0.25">
      <c r="A51" s="51" t="s">
        <v>59</v>
      </c>
      <c r="B51" s="56" t="s">
        <v>19</v>
      </c>
      <c r="C51" s="94" t="s">
        <v>54</v>
      </c>
      <c r="D51" s="95" t="s">
        <v>308</v>
      </c>
      <c r="E51" s="96" t="s">
        <v>114</v>
      </c>
      <c r="F51" s="97" t="s">
        <v>270</v>
      </c>
      <c r="G51" s="98" t="e">
        <f t="shared" si="16"/>
        <v>#N/A</v>
      </c>
      <c r="H51" s="99" t="e">
        <f t="shared" si="17"/>
        <v>#N/A</v>
      </c>
      <c r="I51" s="99" t="e">
        <f t="shared" si="18"/>
        <v>#N/A</v>
      </c>
      <c r="J51" s="99" t="e">
        <f t="shared" si="19"/>
        <v>#N/A</v>
      </c>
      <c r="K51" s="57"/>
      <c r="L51" s="100" t="s">
        <v>272</v>
      </c>
      <c r="M51" s="52" t="s">
        <v>294</v>
      </c>
      <c r="N51" s="40">
        <v>0</v>
      </c>
      <c r="O51" s="53" t="e">
        <f>VLOOKUP(B51,DRAYAGE!$A$1:$C$6,3,FALSE)</f>
        <v>#N/A</v>
      </c>
      <c r="P51" s="40" t="s">
        <v>301</v>
      </c>
      <c r="S51" s="101">
        <f t="shared" si="20"/>
        <v>21600</v>
      </c>
      <c r="T51" s="54">
        <f t="shared" si="21"/>
        <v>24000</v>
      </c>
      <c r="U51" s="103">
        <f t="shared" si="6"/>
        <v>24000</v>
      </c>
      <c r="V51" s="104">
        <f t="shared" si="22"/>
        <v>30384</v>
      </c>
      <c r="X51" s="40">
        <v>0</v>
      </c>
    </row>
    <row r="52" spans="1:29" s="40" customFormat="1" ht="18.75" x14ac:dyDescent="0.25">
      <c r="A52" s="51" t="s">
        <v>60</v>
      </c>
      <c r="B52" s="56" t="s">
        <v>19</v>
      </c>
      <c r="C52" s="94" t="s">
        <v>54</v>
      </c>
      <c r="D52" s="95" t="s">
        <v>308</v>
      </c>
      <c r="E52" s="96" t="s">
        <v>114</v>
      </c>
      <c r="F52" s="97" t="s">
        <v>270</v>
      </c>
      <c r="G52" s="98" t="e">
        <f t="shared" si="16"/>
        <v>#N/A</v>
      </c>
      <c r="H52" s="99" t="e">
        <f t="shared" si="17"/>
        <v>#N/A</v>
      </c>
      <c r="I52" s="99" t="e">
        <f t="shared" si="18"/>
        <v>#N/A</v>
      </c>
      <c r="J52" s="99" t="e">
        <f t="shared" si="19"/>
        <v>#N/A</v>
      </c>
      <c r="K52" s="57"/>
      <c r="L52" s="100" t="s">
        <v>272</v>
      </c>
      <c r="M52" s="52" t="s">
        <v>294</v>
      </c>
      <c r="N52" s="40">
        <v>0</v>
      </c>
      <c r="O52" s="53" t="e">
        <f>VLOOKUP(B52,DRAYAGE!$A$1:$C$6,3,FALSE)</f>
        <v>#N/A</v>
      </c>
      <c r="P52" s="40" t="s">
        <v>301</v>
      </c>
      <c r="S52" s="101">
        <f t="shared" si="20"/>
        <v>21600</v>
      </c>
      <c r="T52" s="54">
        <f t="shared" si="21"/>
        <v>24000</v>
      </c>
      <c r="U52" s="103">
        <f t="shared" si="6"/>
        <v>24000</v>
      </c>
      <c r="V52" s="104">
        <f t="shared" si="22"/>
        <v>30384</v>
      </c>
      <c r="X52" s="40">
        <v>0</v>
      </c>
    </row>
    <row r="53" spans="1:29" s="40" customFormat="1" ht="14.45" customHeight="1" x14ac:dyDescent="0.25">
      <c r="A53" s="51" t="s">
        <v>61</v>
      </c>
      <c r="B53" s="56" t="s">
        <v>19</v>
      </c>
      <c r="C53" s="94" t="s">
        <v>54</v>
      </c>
      <c r="D53" s="95" t="s">
        <v>308</v>
      </c>
      <c r="E53" s="96" t="s">
        <v>114</v>
      </c>
      <c r="F53" s="97" t="s">
        <v>270</v>
      </c>
      <c r="G53" s="98" t="e">
        <f t="shared" si="16"/>
        <v>#N/A</v>
      </c>
      <c r="H53" s="99" t="e">
        <f t="shared" si="17"/>
        <v>#N/A</v>
      </c>
      <c r="I53" s="99" t="e">
        <f t="shared" si="18"/>
        <v>#N/A</v>
      </c>
      <c r="J53" s="99" t="e">
        <f t="shared" si="19"/>
        <v>#N/A</v>
      </c>
      <c r="K53" s="57"/>
      <c r="L53" s="100" t="s">
        <v>272</v>
      </c>
      <c r="M53" s="52" t="s">
        <v>294</v>
      </c>
      <c r="N53" s="40">
        <v>0</v>
      </c>
      <c r="O53" s="53" t="e">
        <f>VLOOKUP(B53,DRAYAGE!$A$1:$C$6,3,FALSE)</f>
        <v>#N/A</v>
      </c>
      <c r="P53" s="40" t="s">
        <v>301</v>
      </c>
      <c r="S53" s="101">
        <f t="shared" si="20"/>
        <v>20700</v>
      </c>
      <c r="T53" s="54">
        <f t="shared" si="21"/>
        <v>23000</v>
      </c>
      <c r="U53" s="103">
        <f t="shared" si="6"/>
        <v>23000</v>
      </c>
      <c r="V53" s="104">
        <f t="shared" si="22"/>
        <v>29118</v>
      </c>
      <c r="X53" s="40">
        <v>0</v>
      </c>
    </row>
    <row r="54" spans="1:29" s="40" customFormat="1" ht="18.75" x14ac:dyDescent="0.25">
      <c r="A54" s="51" t="s">
        <v>273</v>
      </c>
      <c r="B54" s="56" t="s">
        <v>19</v>
      </c>
      <c r="C54" s="94" t="s">
        <v>54</v>
      </c>
      <c r="D54" s="95" t="s">
        <v>308</v>
      </c>
      <c r="E54" s="96" t="s">
        <v>114</v>
      </c>
      <c r="F54" s="97" t="s">
        <v>270</v>
      </c>
      <c r="G54" s="98" t="e">
        <f t="shared" si="16"/>
        <v>#N/A</v>
      </c>
      <c r="H54" s="99" t="e">
        <f t="shared" si="17"/>
        <v>#N/A</v>
      </c>
      <c r="I54" s="99" t="e">
        <f t="shared" si="18"/>
        <v>#N/A</v>
      </c>
      <c r="J54" s="99" t="e">
        <f t="shared" si="19"/>
        <v>#N/A</v>
      </c>
      <c r="K54" s="57"/>
      <c r="L54" s="100" t="s">
        <v>272</v>
      </c>
      <c r="M54" s="52" t="s">
        <v>294</v>
      </c>
      <c r="N54" s="40">
        <v>0</v>
      </c>
      <c r="O54" s="53" t="e">
        <f>VLOOKUP(B54,DRAYAGE!$A$1:$C$6,3,FALSE)</f>
        <v>#N/A</v>
      </c>
      <c r="P54" s="40" t="s">
        <v>301</v>
      </c>
      <c r="S54" s="101">
        <f t="shared" si="20"/>
        <v>21600</v>
      </c>
      <c r="T54" s="54">
        <f t="shared" si="21"/>
        <v>24000</v>
      </c>
      <c r="U54" s="103">
        <f t="shared" si="6"/>
        <v>24000</v>
      </c>
      <c r="V54" s="104">
        <f t="shared" si="22"/>
        <v>30384</v>
      </c>
      <c r="X54" s="40">
        <v>0</v>
      </c>
    </row>
    <row r="55" spans="1:29" s="40" customFormat="1" ht="14.45" customHeight="1" x14ac:dyDescent="0.25">
      <c r="A55" s="47" t="s">
        <v>317</v>
      </c>
      <c r="B55" s="88"/>
      <c r="C55" s="88"/>
      <c r="D55" s="88"/>
      <c r="E55" s="210"/>
      <c r="F55" s="211"/>
      <c r="G55" s="88"/>
      <c r="H55" s="88"/>
      <c r="I55" s="88"/>
      <c r="J55" s="88"/>
      <c r="K55" s="57"/>
      <c r="L55" s="89" t="s">
        <v>48</v>
      </c>
      <c r="M55" s="89" t="s">
        <v>261</v>
      </c>
      <c r="N55" s="90" t="s">
        <v>51</v>
      </c>
      <c r="O55" s="91" t="s">
        <v>50</v>
      </c>
      <c r="P55" s="91" t="s">
        <v>262</v>
      </c>
      <c r="Q55" s="91" t="s">
        <v>263</v>
      </c>
      <c r="R55" s="91" t="s">
        <v>264</v>
      </c>
      <c r="S55" s="92" t="s">
        <v>52</v>
      </c>
      <c r="T55" s="92" t="s">
        <v>53</v>
      </c>
      <c r="U55" s="92" t="s">
        <v>265</v>
      </c>
      <c r="V55" s="92" t="s">
        <v>266</v>
      </c>
      <c r="W55" s="92" t="s">
        <v>267</v>
      </c>
      <c r="X55" s="92" t="s">
        <v>268</v>
      </c>
      <c r="Y55" s="92" t="s">
        <v>52</v>
      </c>
      <c r="Z55" s="92" t="s">
        <v>53</v>
      </c>
      <c r="AA55" s="92" t="s">
        <v>265</v>
      </c>
      <c r="AB55" s="92" t="s">
        <v>266</v>
      </c>
      <c r="AC55" s="93" t="s">
        <v>269</v>
      </c>
    </row>
    <row r="56" spans="1:29" s="40" customFormat="1" ht="14.45" customHeight="1" x14ac:dyDescent="0.25">
      <c r="A56" s="51" t="s">
        <v>55</v>
      </c>
      <c r="B56" s="56" t="s">
        <v>318</v>
      </c>
      <c r="C56" s="94" t="s">
        <v>109</v>
      </c>
      <c r="D56" s="95" t="s">
        <v>308</v>
      </c>
      <c r="E56" s="96" t="s">
        <v>114</v>
      </c>
      <c r="F56" s="97" t="s">
        <v>270</v>
      </c>
      <c r="G56" s="98">
        <f>CEILING(S56+W56+X56+O56+N56+Y56,10)</f>
        <v>8100</v>
      </c>
      <c r="H56" s="99">
        <f>CEILING(T56+W56+X56+O56+N56+Z56,10)</f>
        <v>9000</v>
      </c>
      <c r="I56" s="99">
        <f>CEILING(U56+W56+X56+O56+N56+AA56,10)</f>
        <v>9000</v>
      </c>
      <c r="J56" s="99">
        <f>CEILING(V56+W56+X56+O56+N56+AB56,10)</f>
        <v>11400</v>
      </c>
      <c r="K56" s="57"/>
      <c r="L56" s="100" t="s">
        <v>272</v>
      </c>
      <c r="M56" s="52" t="s">
        <v>319</v>
      </c>
      <c r="N56" s="40">
        <v>0</v>
      </c>
      <c r="O56" s="53">
        <v>0</v>
      </c>
      <c r="S56" s="101">
        <f>0.9*T56</f>
        <v>8100</v>
      </c>
      <c r="T56" s="54">
        <v>9000</v>
      </c>
      <c r="U56" s="103">
        <f>T56</f>
        <v>9000</v>
      </c>
      <c r="V56" s="104">
        <f>U56*1.266</f>
        <v>11394</v>
      </c>
      <c r="X56" s="40">
        <v>0</v>
      </c>
    </row>
    <row r="57" spans="1:29" s="40" customFormat="1" ht="14.45" customHeight="1" x14ac:dyDescent="0.25">
      <c r="A57" s="212" t="s">
        <v>271</v>
      </c>
      <c r="B57" s="212"/>
      <c r="C57" s="212"/>
      <c r="D57" s="212"/>
      <c r="E57" s="212"/>
      <c r="F57" s="212"/>
      <c r="G57" s="212"/>
      <c r="H57" s="212"/>
      <c r="I57" s="212"/>
      <c r="J57" s="212"/>
      <c r="K57" s="57"/>
      <c r="L57" s="100"/>
      <c r="M57" s="100"/>
      <c r="S57" s="101">
        <f>0.9*T57</f>
        <v>90.9</v>
      </c>
      <c r="T57" s="102">
        <v>101</v>
      </c>
      <c r="U57" s="103">
        <f>T57</f>
        <v>101</v>
      </c>
      <c r="V57" s="104">
        <f>U57*1.266</f>
        <v>127.866</v>
      </c>
    </row>
    <row r="58" spans="1:29" s="32" customFormat="1" ht="12.75" x14ac:dyDescent="0.2">
      <c r="A58" s="31"/>
      <c r="B58" s="33"/>
      <c r="C58" s="33"/>
      <c r="D58" s="33"/>
      <c r="E58" s="33"/>
      <c r="F58" s="34"/>
      <c r="G58" s="34"/>
      <c r="H58" s="34"/>
      <c r="I58" s="35"/>
      <c r="J58" s="29"/>
      <c r="K58" s="29"/>
      <c r="L58" s="27"/>
      <c r="M58" s="27"/>
      <c r="N58" s="30"/>
      <c r="O58" s="30"/>
      <c r="P58" s="30"/>
      <c r="Q58" s="30"/>
      <c r="R58" s="30"/>
      <c r="S58" s="28"/>
      <c r="T58" s="28"/>
      <c r="U58" s="28"/>
      <c r="V58" s="28"/>
      <c r="W58" s="28"/>
    </row>
    <row r="59" spans="1:29" s="37" customFormat="1" ht="14.45" customHeight="1" x14ac:dyDescent="0.25">
      <c r="A59" s="180" t="s">
        <v>111</v>
      </c>
      <c r="B59" s="180"/>
      <c r="C59" s="180"/>
      <c r="D59" s="180"/>
      <c r="E59" s="180"/>
      <c r="F59" s="180"/>
      <c r="G59" s="180"/>
      <c r="H59" s="180"/>
      <c r="I59" s="180"/>
      <c r="J59" s="180"/>
      <c r="K59" s="57"/>
    </row>
    <row r="60" spans="1:29" s="37" customFormat="1" ht="14.45" customHeight="1" x14ac:dyDescent="0.25">
      <c r="A60" s="208" t="s">
        <v>112</v>
      </c>
      <c r="B60" s="208"/>
      <c r="C60" s="208"/>
      <c r="D60" s="208"/>
      <c r="E60" s="208"/>
      <c r="F60" s="208"/>
      <c r="G60" s="208"/>
      <c r="H60" s="208"/>
      <c r="I60" s="208"/>
      <c r="J60" s="208"/>
      <c r="K60" s="57"/>
    </row>
    <row r="61" spans="1:29" s="37" customFormat="1" ht="14.45" customHeight="1" x14ac:dyDescent="0.25">
      <c r="A61" s="186" t="s">
        <v>67</v>
      </c>
      <c r="B61" s="186"/>
      <c r="C61" s="186"/>
      <c r="D61" s="186"/>
      <c r="E61" s="186" t="s">
        <v>68</v>
      </c>
      <c r="F61" s="186"/>
      <c r="G61" s="186"/>
      <c r="H61" s="186"/>
      <c r="I61" s="186"/>
      <c r="J61" s="186"/>
      <c r="K61" s="57"/>
      <c r="L61" s="209" t="s">
        <v>113</v>
      </c>
      <c r="M61" s="209"/>
      <c r="N61" s="209"/>
      <c r="O61" s="209"/>
      <c r="P61" s="209"/>
      <c r="Q61" s="209"/>
    </row>
    <row r="62" spans="1:29" s="37" customFormat="1" ht="14.45" customHeight="1" x14ac:dyDescent="0.25">
      <c r="A62" s="196" t="s">
        <v>69</v>
      </c>
      <c r="B62" s="196"/>
      <c r="C62" s="196"/>
      <c r="D62" s="196"/>
      <c r="E62" s="58" t="s">
        <v>114</v>
      </c>
      <c r="F62" s="196" t="s">
        <v>70</v>
      </c>
      <c r="G62" s="196"/>
      <c r="H62" s="196"/>
      <c r="I62" s="196"/>
      <c r="J62" s="196"/>
      <c r="K62" s="57"/>
      <c r="L62" s="197" t="s">
        <v>115</v>
      </c>
      <c r="M62" s="197"/>
      <c r="N62" s="197"/>
      <c r="O62" s="197"/>
      <c r="P62" s="197"/>
      <c r="Q62" s="197"/>
    </row>
    <row r="63" spans="1:29" s="37" customFormat="1" ht="14.45" customHeight="1" x14ac:dyDescent="0.25">
      <c r="A63" s="196" t="s">
        <v>71</v>
      </c>
      <c r="B63" s="196"/>
      <c r="C63" s="196"/>
      <c r="D63" s="201"/>
      <c r="E63" s="58" t="s">
        <v>114</v>
      </c>
      <c r="F63" s="196" t="s">
        <v>116</v>
      </c>
      <c r="G63" s="196"/>
      <c r="H63" s="196"/>
      <c r="I63" s="196"/>
      <c r="J63" s="196"/>
      <c r="K63" s="57"/>
      <c r="L63" s="197"/>
      <c r="M63" s="197"/>
      <c r="N63" s="197"/>
      <c r="O63" s="197"/>
      <c r="P63" s="197"/>
      <c r="Q63" s="197"/>
    </row>
    <row r="64" spans="1:29" s="37" customFormat="1" ht="14.45" customHeight="1" x14ac:dyDescent="0.25">
      <c r="A64" s="196" t="s">
        <v>117</v>
      </c>
      <c r="B64" s="196"/>
      <c r="C64" s="196"/>
      <c r="D64" s="201"/>
      <c r="E64" s="58" t="s">
        <v>114</v>
      </c>
      <c r="F64" s="196" t="s">
        <v>306</v>
      </c>
      <c r="G64" s="196"/>
      <c r="H64" s="196"/>
      <c r="I64" s="196"/>
      <c r="J64" s="196"/>
      <c r="K64" s="57"/>
      <c r="L64" s="59" t="s">
        <v>118</v>
      </c>
      <c r="M64" s="129"/>
      <c r="N64" s="129"/>
      <c r="O64" s="129"/>
      <c r="P64" s="129"/>
      <c r="Q64" s="129"/>
    </row>
    <row r="65" spans="1:17" s="37" customFormat="1" ht="14.45" customHeight="1" x14ac:dyDescent="0.25">
      <c r="A65" s="196" t="s">
        <v>303</v>
      </c>
      <c r="B65" s="196"/>
      <c r="C65" s="196"/>
      <c r="D65" s="201"/>
      <c r="E65" s="58" t="s">
        <v>114</v>
      </c>
      <c r="F65" s="196" t="s">
        <v>304</v>
      </c>
      <c r="G65" s="196"/>
      <c r="H65" s="196"/>
      <c r="I65" s="196"/>
      <c r="J65" s="196"/>
      <c r="K65" s="57"/>
      <c r="L65" s="59" t="s">
        <v>118</v>
      </c>
      <c r="M65" s="129"/>
      <c r="N65" s="129"/>
      <c r="O65" s="129"/>
      <c r="P65" s="129"/>
      <c r="Q65" s="129"/>
    </row>
    <row r="66" spans="1:17" s="37" customFormat="1" ht="40.5" customHeight="1" x14ac:dyDescent="0.25">
      <c r="A66" s="248" t="s">
        <v>309</v>
      </c>
      <c r="B66" s="248"/>
      <c r="C66" s="248"/>
      <c r="D66" s="243"/>
      <c r="E66" s="123" t="s">
        <v>114</v>
      </c>
      <c r="F66" s="248" t="s">
        <v>310</v>
      </c>
      <c r="G66" s="248"/>
      <c r="H66" s="248"/>
      <c r="I66" s="248"/>
      <c r="J66" s="248"/>
      <c r="K66" s="57"/>
      <c r="L66" s="59" t="s">
        <v>118</v>
      </c>
      <c r="M66" s="129"/>
      <c r="N66" s="129"/>
      <c r="O66" s="129"/>
      <c r="P66" s="129"/>
      <c r="Q66" s="129"/>
    </row>
    <row r="67" spans="1:17" s="37" customFormat="1" ht="14.45" customHeight="1" x14ac:dyDescent="0.25">
      <c r="A67" s="196" t="s">
        <v>119</v>
      </c>
      <c r="B67" s="196"/>
      <c r="C67" s="196"/>
      <c r="D67" s="196"/>
      <c r="E67" s="58" t="s">
        <v>114</v>
      </c>
      <c r="F67" s="196" t="s">
        <v>120</v>
      </c>
      <c r="G67" s="196"/>
      <c r="H67" s="196"/>
      <c r="I67" s="196"/>
      <c r="J67" s="196"/>
      <c r="K67" s="57"/>
      <c r="L67" s="197" t="s">
        <v>121</v>
      </c>
      <c r="M67" s="197"/>
      <c r="N67" s="197"/>
      <c r="O67" s="197"/>
      <c r="P67" s="197"/>
      <c r="Q67" s="197"/>
    </row>
    <row r="68" spans="1:17" s="37" customFormat="1" ht="14.45" customHeight="1" x14ac:dyDescent="0.25">
      <c r="A68" s="196" t="s">
        <v>122</v>
      </c>
      <c r="B68" s="196"/>
      <c r="C68" s="196"/>
      <c r="D68" s="196"/>
      <c r="E68" s="58" t="s">
        <v>114</v>
      </c>
      <c r="F68" s="196" t="s">
        <v>123</v>
      </c>
      <c r="G68" s="196"/>
      <c r="H68" s="196"/>
      <c r="I68" s="196"/>
      <c r="J68" s="196"/>
      <c r="K68" s="57"/>
      <c r="L68" s="197"/>
      <c r="M68" s="197"/>
      <c r="N68" s="197"/>
      <c r="O68" s="197"/>
      <c r="P68" s="197"/>
      <c r="Q68" s="197"/>
    </row>
    <row r="69" spans="1:17" s="117" customFormat="1" ht="14.45" customHeight="1" x14ac:dyDescent="0.25">
      <c r="A69" s="246" t="s">
        <v>277</v>
      </c>
      <c r="B69" s="246"/>
      <c r="C69" s="246"/>
      <c r="D69" s="246"/>
      <c r="E69" s="115" t="s">
        <v>114</v>
      </c>
      <c r="F69" s="246" t="s">
        <v>278</v>
      </c>
      <c r="G69" s="246"/>
      <c r="H69" s="246"/>
      <c r="I69" s="246"/>
      <c r="J69" s="246"/>
      <c r="K69" s="116"/>
      <c r="L69" s="247"/>
      <c r="M69" s="247"/>
      <c r="N69" s="247"/>
      <c r="O69" s="247"/>
      <c r="P69" s="247"/>
      <c r="Q69" s="247"/>
    </row>
    <row r="70" spans="1:17" s="37" customFormat="1" ht="14.45" customHeight="1" x14ac:dyDescent="0.25">
      <c r="A70" s="196" t="s">
        <v>124</v>
      </c>
      <c r="B70" s="196"/>
      <c r="C70" s="196"/>
      <c r="D70" s="196"/>
      <c r="E70" s="58" t="s">
        <v>114</v>
      </c>
      <c r="F70" s="196" t="s">
        <v>125</v>
      </c>
      <c r="G70" s="196"/>
      <c r="H70" s="196"/>
      <c r="I70" s="196"/>
      <c r="J70" s="196"/>
      <c r="K70" s="57"/>
      <c r="L70" s="197"/>
      <c r="M70" s="197"/>
      <c r="N70" s="197"/>
      <c r="O70" s="197"/>
      <c r="P70" s="197"/>
      <c r="Q70" s="197"/>
    </row>
    <row r="71" spans="1:17" s="37" customFormat="1" ht="14.45" customHeight="1" x14ac:dyDescent="0.25">
      <c r="A71" s="196" t="s">
        <v>126</v>
      </c>
      <c r="B71" s="196"/>
      <c r="C71" s="196"/>
      <c r="D71" s="201"/>
      <c r="E71" s="58" t="s">
        <v>127</v>
      </c>
      <c r="F71" s="128" t="s">
        <v>128</v>
      </c>
      <c r="G71" s="185" t="s">
        <v>129</v>
      </c>
      <c r="H71" s="185"/>
      <c r="I71" s="185"/>
      <c r="J71" s="185"/>
      <c r="K71" s="57"/>
      <c r="L71" s="197" t="s">
        <v>130</v>
      </c>
      <c r="M71" s="197"/>
      <c r="N71" s="197"/>
      <c r="O71" s="197"/>
      <c r="P71" s="197"/>
      <c r="Q71" s="197"/>
    </row>
    <row r="72" spans="1:17" s="37" customFormat="1" ht="14.45" customHeight="1" x14ac:dyDescent="0.25">
      <c r="A72" s="196" t="s">
        <v>126</v>
      </c>
      <c r="B72" s="196"/>
      <c r="C72" s="196"/>
      <c r="D72" s="196"/>
      <c r="E72" s="58" t="s">
        <v>127</v>
      </c>
      <c r="F72" s="128" t="s">
        <v>131</v>
      </c>
      <c r="G72" s="185" t="s">
        <v>132</v>
      </c>
      <c r="H72" s="185"/>
      <c r="I72" s="185"/>
      <c r="J72" s="185"/>
      <c r="K72" s="57"/>
      <c r="L72" s="197" t="s">
        <v>130</v>
      </c>
      <c r="M72" s="197"/>
      <c r="N72" s="197"/>
      <c r="O72" s="197"/>
      <c r="P72" s="197"/>
      <c r="Q72" s="197"/>
    </row>
    <row r="73" spans="1:17" s="37" customFormat="1" ht="37.5" customHeight="1" x14ac:dyDescent="0.25">
      <c r="A73" s="243" t="s">
        <v>311</v>
      </c>
      <c r="B73" s="244"/>
      <c r="C73" s="244"/>
      <c r="D73" s="245"/>
      <c r="E73" s="243" t="s">
        <v>312</v>
      </c>
      <c r="F73" s="244"/>
      <c r="G73" s="244"/>
      <c r="H73" s="244"/>
      <c r="I73" s="244"/>
      <c r="J73" s="245"/>
      <c r="K73" s="57"/>
      <c r="L73" s="197"/>
      <c r="M73" s="197"/>
      <c r="N73" s="197"/>
      <c r="O73" s="197"/>
      <c r="P73" s="197"/>
      <c r="Q73" s="197"/>
    </row>
    <row r="74" spans="1:17" s="37" customFormat="1" ht="14.45" customHeight="1" x14ac:dyDescent="0.25">
      <c r="A74" s="180" t="s">
        <v>133</v>
      </c>
      <c r="B74" s="180"/>
      <c r="C74" s="180"/>
      <c r="D74" s="180"/>
      <c r="E74" s="180"/>
      <c r="F74" s="180"/>
      <c r="G74" s="180"/>
      <c r="H74" s="180"/>
      <c r="I74" s="180"/>
      <c r="J74" s="180"/>
      <c r="K74" s="57"/>
      <c r="L74" s="129"/>
      <c r="M74" s="129"/>
    </row>
    <row r="75" spans="1:17" s="37" customFormat="1" ht="14.45" customHeight="1" x14ac:dyDescent="0.2">
      <c r="A75" s="60" t="s">
        <v>134</v>
      </c>
      <c r="B75" s="60" t="s">
        <v>135</v>
      </c>
      <c r="C75" s="60" t="s">
        <v>136</v>
      </c>
      <c r="D75" s="193" t="s">
        <v>137</v>
      </c>
      <c r="E75" s="194"/>
      <c r="F75" s="195"/>
      <c r="G75" s="61" t="s">
        <v>138</v>
      </c>
      <c r="H75" s="60" t="s">
        <v>139</v>
      </c>
      <c r="I75" s="61" t="s">
        <v>140</v>
      </c>
      <c r="J75" s="61" t="s">
        <v>141</v>
      </c>
      <c r="K75" s="57"/>
      <c r="L75" s="129"/>
      <c r="M75" s="129"/>
    </row>
    <row r="76" spans="1:17" s="37" customFormat="1" ht="14.45" customHeight="1" x14ac:dyDescent="0.2">
      <c r="A76" s="62" t="s">
        <v>142</v>
      </c>
      <c r="B76" s="62" t="s">
        <v>49</v>
      </c>
      <c r="C76" s="62" t="s">
        <v>143</v>
      </c>
      <c r="D76" s="187" t="s">
        <v>144</v>
      </c>
      <c r="E76" s="188"/>
      <c r="F76" s="189"/>
      <c r="G76" s="63">
        <v>50</v>
      </c>
      <c r="H76" s="62" t="s">
        <v>145</v>
      </c>
      <c r="I76" s="63">
        <v>150</v>
      </c>
      <c r="J76" s="63" t="s">
        <v>110</v>
      </c>
      <c r="K76" s="57"/>
      <c r="L76" s="129"/>
      <c r="M76" s="129"/>
    </row>
    <row r="77" spans="1:17" s="37" customFormat="1" ht="14.45" customHeight="1" x14ac:dyDescent="0.2">
      <c r="A77" s="62" t="s">
        <v>142</v>
      </c>
      <c r="B77" s="62" t="s">
        <v>146</v>
      </c>
      <c r="C77" s="62" t="s">
        <v>147</v>
      </c>
      <c r="D77" s="187" t="s">
        <v>148</v>
      </c>
      <c r="E77" s="188"/>
      <c r="F77" s="189"/>
      <c r="G77" s="63">
        <v>3</v>
      </c>
      <c r="H77" s="62" t="s">
        <v>149</v>
      </c>
      <c r="I77" s="63">
        <v>3</v>
      </c>
      <c r="J77" s="63" t="s">
        <v>110</v>
      </c>
      <c r="K77" s="57"/>
      <c r="L77" s="129"/>
      <c r="M77" s="129"/>
    </row>
    <row r="78" spans="1:17" s="37" customFormat="1" ht="14.45" customHeight="1" x14ac:dyDescent="0.2">
      <c r="A78" s="62" t="s">
        <v>150</v>
      </c>
      <c r="B78" s="62" t="s">
        <v>146</v>
      </c>
      <c r="C78" s="62" t="s">
        <v>147</v>
      </c>
      <c r="D78" s="187" t="s">
        <v>151</v>
      </c>
      <c r="E78" s="188"/>
      <c r="F78" s="189"/>
      <c r="G78" s="63">
        <v>3</v>
      </c>
      <c r="H78" s="62" t="s">
        <v>152</v>
      </c>
      <c r="I78" s="63">
        <v>3</v>
      </c>
      <c r="J78" s="63" t="s">
        <v>110</v>
      </c>
      <c r="K78" s="57"/>
      <c r="L78" s="129"/>
      <c r="M78" s="129"/>
    </row>
    <row r="79" spans="1:17" s="37" customFormat="1" ht="14.45" customHeight="1" x14ac:dyDescent="0.2">
      <c r="A79" s="124" t="s">
        <v>173</v>
      </c>
      <c r="B79" s="124" t="s">
        <v>49</v>
      </c>
      <c r="C79" s="124" t="s">
        <v>143</v>
      </c>
      <c r="D79" s="240" t="s">
        <v>313</v>
      </c>
      <c r="E79" s="241"/>
      <c r="F79" s="242"/>
      <c r="G79" s="125">
        <v>75</v>
      </c>
      <c r="H79" s="124" t="s">
        <v>145</v>
      </c>
      <c r="I79" s="125">
        <f>75*3</f>
        <v>225</v>
      </c>
      <c r="J79" s="125" t="s">
        <v>314</v>
      </c>
      <c r="K79" s="57"/>
      <c r="L79" s="129"/>
      <c r="M79" s="129"/>
    </row>
    <row r="80" spans="1:17" s="37" customFormat="1" ht="14.45" customHeight="1" x14ac:dyDescent="0.2">
      <c r="A80" s="62" t="s">
        <v>142</v>
      </c>
      <c r="B80" s="62" t="s">
        <v>49</v>
      </c>
      <c r="C80" s="62" t="s">
        <v>143</v>
      </c>
      <c r="D80" s="187" t="s">
        <v>279</v>
      </c>
      <c r="E80" s="188"/>
      <c r="F80" s="189"/>
      <c r="G80" s="63">
        <v>150</v>
      </c>
      <c r="H80" s="62" t="s">
        <v>280</v>
      </c>
      <c r="I80" s="63" t="s">
        <v>153</v>
      </c>
      <c r="J80" s="63" t="s">
        <v>110</v>
      </c>
      <c r="K80" s="57"/>
      <c r="L80" s="129"/>
      <c r="M80" s="129"/>
    </row>
    <row r="81" spans="1:13" s="37" customFormat="1" ht="14.45" customHeight="1" x14ac:dyDescent="0.2">
      <c r="A81" s="62" t="s">
        <v>154</v>
      </c>
      <c r="B81" s="62" t="s">
        <v>49</v>
      </c>
      <c r="C81" s="62" t="s">
        <v>143</v>
      </c>
      <c r="D81" s="187" t="s">
        <v>155</v>
      </c>
      <c r="E81" s="188"/>
      <c r="F81" s="189"/>
      <c r="G81" s="63">
        <v>250</v>
      </c>
      <c r="H81" s="62" t="s">
        <v>49</v>
      </c>
      <c r="I81" s="63" t="s">
        <v>153</v>
      </c>
      <c r="J81" s="63" t="s">
        <v>110</v>
      </c>
      <c r="K81" s="57"/>
      <c r="L81" s="129"/>
      <c r="M81" s="129"/>
    </row>
    <row r="82" spans="1:13" s="37" customFormat="1" ht="14.45" customHeight="1" x14ac:dyDescent="0.2">
      <c r="A82" s="65" t="s">
        <v>156</v>
      </c>
      <c r="B82" s="65" t="s">
        <v>49</v>
      </c>
      <c r="C82" s="65" t="s">
        <v>143</v>
      </c>
      <c r="D82" s="187" t="s">
        <v>157</v>
      </c>
      <c r="E82" s="188"/>
      <c r="F82" s="189"/>
      <c r="G82" s="63">
        <v>250</v>
      </c>
      <c r="H82" s="62" t="s">
        <v>49</v>
      </c>
      <c r="I82" s="63" t="s">
        <v>153</v>
      </c>
      <c r="J82" s="63" t="s">
        <v>110</v>
      </c>
      <c r="K82" s="57"/>
      <c r="L82" s="129"/>
      <c r="M82" s="129"/>
    </row>
    <row r="83" spans="1:13" s="37" customFormat="1" ht="14.45" customHeight="1" x14ac:dyDescent="0.2">
      <c r="A83" s="62" t="s">
        <v>142</v>
      </c>
      <c r="B83" s="62" t="s">
        <v>49</v>
      </c>
      <c r="C83" s="62" t="s">
        <v>143</v>
      </c>
      <c r="D83" s="187" t="s">
        <v>281</v>
      </c>
      <c r="E83" s="188"/>
      <c r="F83" s="189"/>
      <c r="G83" s="63">
        <v>200</v>
      </c>
      <c r="H83" s="62" t="s">
        <v>280</v>
      </c>
      <c r="I83" s="63" t="s">
        <v>153</v>
      </c>
      <c r="J83" s="63" t="s">
        <v>110</v>
      </c>
      <c r="K83" s="57"/>
      <c r="L83" s="129"/>
      <c r="M83" s="129"/>
    </row>
    <row r="84" spans="1:13" s="37" customFormat="1" ht="14.45" customHeight="1" x14ac:dyDescent="0.2">
      <c r="A84" s="62" t="s">
        <v>142</v>
      </c>
      <c r="B84" s="62" t="s">
        <v>49</v>
      </c>
      <c r="C84" s="62" t="s">
        <v>143</v>
      </c>
      <c r="D84" s="187" t="s">
        <v>158</v>
      </c>
      <c r="E84" s="188"/>
      <c r="F84" s="189"/>
      <c r="G84" s="66">
        <v>150</v>
      </c>
      <c r="H84" s="62" t="s">
        <v>49</v>
      </c>
      <c r="I84" s="66" t="s">
        <v>153</v>
      </c>
      <c r="J84" s="63" t="s">
        <v>110</v>
      </c>
      <c r="K84" s="57"/>
      <c r="L84" s="129"/>
      <c r="M84" s="129"/>
    </row>
    <row r="85" spans="1:13" s="37" customFormat="1" ht="14.45" customHeight="1" x14ac:dyDescent="0.2">
      <c r="A85" s="62" t="s">
        <v>150</v>
      </c>
      <c r="B85" s="67" t="s">
        <v>49</v>
      </c>
      <c r="C85" s="62" t="s">
        <v>143</v>
      </c>
      <c r="D85" s="187" t="s">
        <v>159</v>
      </c>
      <c r="E85" s="188"/>
      <c r="F85" s="189"/>
      <c r="G85" s="68">
        <v>180</v>
      </c>
      <c r="H85" s="67" t="s">
        <v>49</v>
      </c>
      <c r="I85" s="68" t="s">
        <v>153</v>
      </c>
      <c r="J85" s="63" t="s">
        <v>110</v>
      </c>
      <c r="K85" s="57"/>
      <c r="L85" s="129"/>
      <c r="M85" s="129"/>
    </row>
    <row r="86" spans="1:13" s="37" customFormat="1" ht="14.45" customHeight="1" x14ac:dyDescent="0.2">
      <c r="A86" s="62" t="s">
        <v>160</v>
      </c>
      <c r="B86" s="67" t="s">
        <v>49</v>
      </c>
      <c r="C86" s="62" t="s">
        <v>143</v>
      </c>
      <c r="D86" s="187" t="s">
        <v>161</v>
      </c>
      <c r="E86" s="188"/>
      <c r="F86" s="189"/>
      <c r="G86" s="69">
        <v>47.9</v>
      </c>
      <c r="H86" s="67" t="s">
        <v>24</v>
      </c>
      <c r="I86" s="69">
        <v>47.9</v>
      </c>
      <c r="J86" s="63" t="s">
        <v>110</v>
      </c>
      <c r="K86" s="57"/>
      <c r="L86" s="129"/>
      <c r="M86" s="129"/>
    </row>
    <row r="87" spans="1:13" s="37" customFormat="1" ht="14.45" customHeight="1" x14ac:dyDescent="0.2">
      <c r="A87" s="62" t="s">
        <v>160</v>
      </c>
      <c r="B87" s="67" t="s">
        <v>49</v>
      </c>
      <c r="C87" s="62" t="s">
        <v>143</v>
      </c>
      <c r="D87" s="187" t="s">
        <v>161</v>
      </c>
      <c r="E87" s="188"/>
      <c r="F87" s="189"/>
      <c r="G87" s="69">
        <v>65.400000000000006</v>
      </c>
      <c r="H87" s="67" t="s">
        <v>162</v>
      </c>
      <c r="I87" s="69">
        <v>65.400000000000006</v>
      </c>
      <c r="J87" s="63" t="s">
        <v>110</v>
      </c>
      <c r="K87" s="57"/>
      <c r="L87" s="129"/>
      <c r="M87" s="129"/>
    </row>
    <row r="88" spans="1:13" s="37" customFormat="1" ht="14.1" customHeight="1" x14ac:dyDescent="0.2">
      <c r="A88" s="62" t="s">
        <v>163</v>
      </c>
      <c r="B88" s="67" t="s">
        <v>49</v>
      </c>
      <c r="C88" s="62" t="s">
        <v>143</v>
      </c>
      <c r="D88" s="187" t="s">
        <v>164</v>
      </c>
      <c r="E88" s="188"/>
      <c r="F88" s="189"/>
      <c r="G88" s="69">
        <v>48</v>
      </c>
      <c r="H88" s="67" t="s">
        <v>49</v>
      </c>
      <c r="I88" s="69">
        <v>48</v>
      </c>
      <c r="J88" s="63" t="s">
        <v>110</v>
      </c>
      <c r="K88" s="57"/>
      <c r="L88" s="129"/>
      <c r="M88" s="129"/>
    </row>
    <row r="89" spans="1:13" s="37" customFormat="1" ht="14.45" customHeight="1" x14ac:dyDescent="0.2">
      <c r="A89" s="62" t="s">
        <v>163</v>
      </c>
      <c r="B89" s="67" t="s">
        <v>49</v>
      </c>
      <c r="C89" s="62" t="s">
        <v>143</v>
      </c>
      <c r="D89" s="187" t="s">
        <v>165</v>
      </c>
      <c r="E89" s="188"/>
      <c r="F89" s="189"/>
      <c r="G89" s="69">
        <v>18</v>
      </c>
      <c r="H89" s="67" t="s">
        <v>49</v>
      </c>
      <c r="I89" s="69">
        <v>18</v>
      </c>
      <c r="J89" s="63" t="s">
        <v>110</v>
      </c>
      <c r="K89" s="57"/>
      <c r="L89" s="129"/>
      <c r="M89" s="129"/>
    </row>
    <row r="90" spans="1:13" s="37" customFormat="1" ht="14.45" customHeight="1" x14ac:dyDescent="0.2">
      <c r="A90" s="62" t="s">
        <v>163</v>
      </c>
      <c r="B90" s="67" t="s">
        <v>49</v>
      </c>
      <c r="C90" s="62" t="s">
        <v>143</v>
      </c>
      <c r="D90" s="187" t="s">
        <v>166</v>
      </c>
      <c r="E90" s="188"/>
      <c r="F90" s="189"/>
      <c r="G90" s="69">
        <v>42</v>
      </c>
      <c r="H90" s="67" t="s">
        <v>49</v>
      </c>
      <c r="I90" s="69">
        <v>42</v>
      </c>
      <c r="J90" s="63" t="s">
        <v>110</v>
      </c>
      <c r="K90" s="57"/>
      <c r="L90" s="129"/>
      <c r="M90" s="129"/>
    </row>
    <row r="91" spans="1:13" s="37" customFormat="1" ht="14.45" customHeight="1" x14ac:dyDescent="0.2">
      <c r="A91" s="62" t="s">
        <v>167</v>
      </c>
      <c r="B91" s="62" t="s">
        <v>49</v>
      </c>
      <c r="C91" s="62" t="s">
        <v>143</v>
      </c>
      <c r="D91" s="187" t="s">
        <v>168</v>
      </c>
      <c r="E91" s="188"/>
      <c r="F91" s="189"/>
      <c r="G91" s="66">
        <v>54</v>
      </c>
      <c r="H91" s="62" t="s">
        <v>49</v>
      </c>
      <c r="I91" s="66">
        <v>54</v>
      </c>
      <c r="J91" s="63" t="s">
        <v>110</v>
      </c>
      <c r="K91" s="57"/>
      <c r="L91" s="129"/>
      <c r="M91" s="129"/>
    </row>
    <row r="92" spans="1:13" s="37" customFormat="1" ht="14.45" customHeight="1" x14ac:dyDescent="0.2">
      <c r="A92" s="67" t="s">
        <v>169</v>
      </c>
      <c r="B92" s="67" t="s">
        <v>49</v>
      </c>
      <c r="C92" s="67" t="s">
        <v>147</v>
      </c>
      <c r="D92" s="187" t="s">
        <v>170</v>
      </c>
      <c r="E92" s="188"/>
      <c r="F92" s="189"/>
      <c r="G92" s="70">
        <v>35</v>
      </c>
      <c r="H92" s="70" t="s">
        <v>280</v>
      </c>
      <c r="I92" s="70">
        <v>35</v>
      </c>
      <c r="J92" s="63" t="s">
        <v>110</v>
      </c>
      <c r="K92" s="57"/>
      <c r="L92" s="129"/>
      <c r="M92" s="129"/>
    </row>
    <row r="93" spans="1:13" s="37" customFormat="1" ht="14.45" customHeight="1" x14ac:dyDescent="0.2">
      <c r="A93" s="62" t="s">
        <v>142</v>
      </c>
      <c r="B93" s="62" t="s">
        <v>49</v>
      </c>
      <c r="C93" s="62" t="s">
        <v>143</v>
      </c>
      <c r="D93" s="187" t="s">
        <v>171</v>
      </c>
      <c r="E93" s="188"/>
      <c r="F93" s="189"/>
      <c r="G93" s="63">
        <v>85</v>
      </c>
      <c r="H93" s="62" t="s">
        <v>172</v>
      </c>
      <c r="I93" s="63" t="s">
        <v>153</v>
      </c>
      <c r="J93" s="63" t="s">
        <v>110</v>
      </c>
      <c r="K93" s="57"/>
      <c r="L93" s="129"/>
      <c r="M93" s="129"/>
    </row>
    <row r="94" spans="1:13" s="37" customFormat="1" ht="14.45" customHeight="1" x14ac:dyDescent="0.2">
      <c r="A94" s="62" t="s">
        <v>173</v>
      </c>
      <c r="B94" s="62" t="s">
        <v>146</v>
      </c>
      <c r="C94" s="62" t="s">
        <v>147</v>
      </c>
      <c r="D94" s="187" t="s">
        <v>174</v>
      </c>
      <c r="E94" s="188"/>
      <c r="F94" s="189"/>
      <c r="G94" s="63">
        <v>4</v>
      </c>
      <c r="H94" s="62" t="s">
        <v>149</v>
      </c>
      <c r="I94" s="63">
        <v>4</v>
      </c>
      <c r="J94" s="63" t="s">
        <v>110</v>
      </c>
      <c r="K94" s="57"/>
      <c r="L94" s="129"/>
      <c r="M94" s="129"/>
    </row>
    <row r="95" spans="1:13" s="37" customFormat="1" ht="14.45" customHeight="1" x14ac:dyDescent="0.2">
      <c r="A95" s="62" t="s">
        <v>173</v>
      </c>
      <c r="B95" s="62" t="s">
        <v>49</v>
      </c>
      <c r="C95" s="62" t="s">
        <v>143</v>
      </c>
      <c r="D95" s="187" t="s">
        <v>175</v>
      </c>
      <c r="E95" s="188"/>
      <c r="F95" s="189"/>
      <c r="G95" s="71" t="s">
        <v>210</v>
      </c>
      <c r="H95" s="62" t="s">
        <v>24</v>
      </c>
      <c r="I95" s="66" t="s">
        <v>153</v>
      </c>
      <c r="J95" s="63" t="s">
        <v>282</v>
      </c>
      <c r="K95" s="57"/>
      <c r="L95" s="129"/>
      <c r="M95" s="129"/>
    </row>
    <row r="96" spans="1:13" s="37" customFormat="1" ht="14.45" customHeight="1" x14ac:dyDescent="0.2">
      <c r="A96" s="62" t="s">
        <v>173</v>
      </c>
      <c r="B96" s="62" t="s">
        <v>49</v>
      </c>
      <c r="C96" s="62" t="s">
        <v>143</v>
      </c>
      <c r="D96" s="187" t="s">
        <v>176</v>
      </c>
      <c r="E96" s="188"/>
      <c r="F96" s="189"/>
      <c r="G96" s="66" t="s">
        <v>210</v>
      </c>
      <c r="H96" s="62" t="s">
        <v>162</v>
      </c>
      <c r="I96" s="66" t="s">
        <v>153</v>
      </c>
      <c r="J96" s="63" t="s">
        <v>282</v>
      </c>
      <c r="K96" s="57"/>
      <c r="L96" s="129"/>
      <c r="M96" s="129"/>
    </row>
    <row r="97" spans="1:16" s="37" customFormat="1" ht="14.45" customHeight="1" x14ac:dyDescent="0.2">
      <c r="A97" s="62" t="s">
        <v>173</v>
      </c>
      <c r="B97" s="62" t="s">
        <v>146</v>
      </c>
      <c r="C97" s="62" t="s">
        <v>147</v>
      </c>
      <c r="D97" s="187" t="s">
        <v>177</v>
      </c>
      <c r="E97" s="188"/>
      <c r="F97" s="189"/>
      <c r="G97" s="63">
        <v>2</v>
      </c>
      <c r="H97" s="62" t="s">
        <v>149</v>
      </c>
      <c r="I97" s="63">
        <v>2</v>
      </c>
      <c r="J97" s="63" t="s">
        <v>110</v>
      </c>
      <c r="K97" s="57"/>
      <c r="L97" s="129"/>
      <c r="M97" s="129"/>
    </row>
    <row r="98" spans="1:16" s="37" customFormat="1" ht="14.45" customHeight="1" x14ac:dyDescent="0.2">
      <c r="A98" s="62" t="s">
        <v>173</v>
      </c>
      <c r="B98" s="62" t="s">
        <v>146</v>
      </c>
      <c r="C98" s="62" t="s">
        <v>283</v>
      </c>
      <c r="D98" s="187" t="s">
        <v>284</v>
      </c>
      <c r="E98" s="188"/>
      <c r="F98" s="189"/>
      <c r="G98" s="63">
        <v>10</v>
      </c>
      <c r="H98" s="62" t="s">
        <v>285</v>
      </c>
      <c r="I98" s="63" t="s">
        <v>153</v>
      </c>
      <c r="J98" s="63" t="s">
        <v>110</v>
      </c>
      <c r="K98" s="57"/>
      <c r="L98" s="129"/>
      <c r="M98" s="129"/>
    </row>
    <row r="99" spans="1:16" s="37" customFormat="1" ht="14.45" customHeight="1" x14ac:dyDescent="0.2">
      <c r="A99" s="62" t="s">
        <v>142</v>
      </c>
      <c r="B99" s="62" t="s">
        <v>49</v>
      </c>
      <c r="C99" s="62" t="s">
        <v>143</v>
      </c>
      <c r="D99" s="187" t="s">
        <v>178</v>
      </c>
      <c r="E99" s="188"/>
      <c r="F99" s="189"/>
      <c r="G99" s="63">
        <v>50</v>
      </c>
      <c r="H99" s="62" t="s">
        <v>145</v>
      </c>
      <c r="I99" s="63" t="s">
        <v>153</v>
      </c>
      <c r="J99" s="63" t="s">
        <v>110</v>
      </c>
      <c r="K99" s="57"/>
      <c r="L99" s="129"/>
      <c r="M99" s="129"/>
    </row>
    <row r="100" spans="1:16" s="37" customFormat="1" ht="14.45" customHeight="1" x14ac:dyDescent="0.2">
      <c r="A100" s="62" t="s">
        <v>173</v>
      </c>
      <c r="B100" s="62" t="s">
        <v>49</v>
      </c>
      <c r="C100" s="62" t="s">
        <v>143</v>
      </c>
      <c r="D100" s="187" t="s">
        <v>179</v>
      </c>
      <c r="E100" s="188"/>
      <c r="F100" s="189"/>
      <c r="G100" s="63">
        <v>175</v>
      </c>
      <c r="H100" s="62" t="s">
        <v>49</v>
      </c>
      <c r="I100" s="63" t="s">
        <v>153</v>
      </c>
      <c r="J100" s="63" t="s">
        <v>110</v>
      </c>
      <c r="K100" s="57"/>
      <c r="L100" s="129"/>
      <c r="M100" s="129"/>
    </row>
    <row r="101" spans="1:16" s="37" customFormat="1" ht="14.45" customHeight="1" x14ac:dyDescent="0.2">
      <c r="A101" s="62" t="s">
        <v>142</v>
      </c>
      <c r="B101" s="62" t="s">
        <v>49</v>
      </c>
      <c r="C101" s="62" t="s">
        <v>147</v>
      </c>
      <c r="D101" s="187" t="s">
        <v>180</v>
      </c>
      <c r="E101" s="188"/>
      <c r="F101" s="189"/>
      <c r="G101" s="63">
        <v>40</v>
      </c>
      <c r="H101" s="62" t="s">
        <v>181</v>
      </c>
      <c r="I101" s="63" t="s">
        <v>153</v>
      </c>
      <c r="J101" s="63" t="s">
        <v>110</v>
      </c>
      <c r="K101" s="57"/>
      <c r="L101" s="129"/>
      <c r="M101" s="129"/>
    </row>
    <row r="102" spans="1:16" s="37" customFormat="1" ht="14.45" customHeight="1" x14ac:dyDescent="0.2">
      <c r="A102" s="62" t="s">
        <v>173</v>
      </c>
      <c r="B102" s="62" t="s">
        <v>146</v>
      </c>
      <c r="C102" s="62" t="s">
        <v>147</v>
      </c>
      <c r="D102" s="187" t="s">
        <v>182</v>
      </c>
      <c r="E102" s="188"/>
      <c r="F102" s="189"/>
      <c r="G102" s="63">
        <v>7.5</v>
      </c>
      <c r="H102" s="62" t="s">
        <v>152</v>
      </c>
      <c r="I102" s="63">
        <v>75</v>
      </c>
      <c r="J102" s="63" t="s">
        <v>110</v>
      </c>
      <c r="K102" s="57"/>
      <c r="L102" s="129"/>
      <c r="M102" s="129"/>
    </row>
    <row r="103" spans="1:16" s="37" customFormat="1" ht="14.45" customHeight="1" x14ac:dyDescent="0.2">
      <c r="A103" s="62" t="s">
        <v>142</v>
      </c>
      <c r="B103" s="62" t="s">
        <v>146</v>
      </c>
      <c r="C103" s="62" t="s">
        <v>147</v>
      </c>
      <c r="D103" s="187" t="s">
        <v>183</v>
      </c>
      <c r="E103" s="188"/>
      <c r="F103" s="189"/>
      <c r="G103" s="63">
        <v>20</v>
      </c>
      <c r="H103" s="62" t="s">
        <v>184</v>
      </c>
      <c r="I103" s="63" t="s">
        <v>153</v>
      </c>
      <c r="J103" s="63" t="s">
        <v>110</v>
      </c>
      <c r="K103" s="57"/>
      <c r="L103" s="129"/>
      <c r="M103" s="129"/>
    </row>
    <row r="104" spans="1:16" s="37" customFormat="1" ht="14.45" customHeight="1" x14ac:dyDescent="0.2">
      <c r="A104" s="62" t="s">
        <v>142</v>
      </c>
      <c r="B104" s="62" t="s">
        <v>146</v>
      </c>
      <c r="C104" s="62" t="s">
        <v>147</v>
      </c>
      <c r="D104" s="187" t="s">
        <v>185</v>
      </c>
      <c r="E104" s="188"/>
      <c r="F104" s="189"/>
      <c r="G104" s="63">
        <v>25</v>
      </c>
      <c r="H104" s="62" t="s">
        <v>184</v>
      </c>
      <c r="I104" s="63" t="s">
        <v>153</v>
      </c>
      <c r="J104" s="63" t="s">
        <v>110</v>
      </c>
      <c r="K104" s="57"/>
      <c r="L104" s="129"/>
      <c r="M104" s="129"/>
    </row>
    <row r="105" spans="1:16" s="37" customFormat="1" ht="14.45" customHeight="1" x14ac:dyDescent="0.2">
      <c r="A105" s="62" t="s">
        <v>142</v>
      </c>
      <c r="B105" s="62" t="s">
        <v>142</v>
      </c>
      <c r="C105" s="62" t="s">
        <v>147</v>
      </c>
      <c r="D105" s="187" t="s">
        <v>186</v>
      </c>
      <c r="E105" s="188"/>
      <c r="F105" s="189"/>
      <c r="G105" s="68">
        <v>75</v>
      </c>
      <c r="H105" s="62" t="s">
        <v>181</v>
      </c>
      <c r="I105" s="63" t="s">
        <v>153</v>
      </c>
      <c r="J105" s="63" t="s">
        <v>110</v>
      </c>
      <c r="K105" s="57"/>
      <c r="L105" s="129"/>
      <c r="M105" s="129"/>
    </row>
    <row r="106" spans="1:16" s="37" customFormat="1" ht="14.45" customHeight="1" x14ac:dyDescent="0.2">
      <c r="A106" s="62" t="s">
        <v>142</v>
      </c>
      <c r="B106" s="62" t="s">
        <v>142</v>
      </c>
      <c r="C106" s="62" t="s">
        <v>147</v>
      </c>
      <c r="D106" s="187" t="s">
        <v>187</v>
      </c>
      <c r="E106" s="188"/>
      <c r="F106" s="189"/>
      <c r="G106" s="63">
        <v>35</v>
      </c>
      <c r="H106" s="62" t="s">
        <v>181</v>
      </c>
      <c r="I106" s="63" t="s">
        <v>153</v>
      </c>
      <c r="J106" s="63" t="s">
        <v>110</v>
      </c>
      <c r="K106" s="57"/>
      <c r="L106" s="129"/>
      <c r="M106" s="129"/>
    </row>
    <row r="107" spans="1:16" s="37" customFormat="1" ht="14.45" customHeight="1" x14ac:dyDescent="0.2">
      <c r="A107" s="62" t="s">
        <v>142</v>
      </c>
      <c r="B107" s="62" t="s">
        <v>146</v>
      </c>
      <c r="C107" s="62" t="s">
        <v>143</v>
      </c>
      <c r="D107" s="187" t="s">
        <v>188</v>
      </c>
      <c r="E107" s="188"/>
      <c r="F107" s="189"/>
      <c r="G107" s="63">
        <v>100</v>
      </c>
      <c r="H107" s="62" t="s">
        <v>181</v>
      </c>
      <c r="I107" s="63" t="s">
        <v>153</v>
      </c>
      <c r="J107" s="63" t="s">
        <v>110</v>
      </c>
      <c r="K107" s="57"/>
      <c r="L107" s="129"/>
      <c r="M107" s="129"/>
    </row>
    <row r="108" spans="1:16" s="37" customFormat="1" ht="14.45" customHeight="1" x14ac:dyDescent="0.2">
      <c r="A108" s="62" t="s">
        <v>142</v>
      </c>
      <c r="B108" s="62" t="s">
        <v>146</v>
      </c>
      <c r="C108" s="62" t="s">
        <v>143</v>
      </c>
      <c r="D108" s="187" t="s">
        <v>189</v>
      </c>
      <c r="E108" s="188"/>
      <c r="F108" s="189"/>
      <c r="G108" s="63">
        <v>100</v>
      </c>
      <c r="H108" s="62" t="s">
        <v>190</v>
      </c>
      <c r="I108" s="63" t="s">
        <v>153</v>
      </c>
      <c r="J108" s="63" t="s">
        <v>110</v>
      </c>
      <c r="K108" s="57"/>
      <c r="O108" s="38"/>
      <c r="P108" s="38"/>
    </row>
    <row r="109" spans="1:16" s="37" customFormat="1" ht="14.45" customHeight="1" x14ac:dyDescent="0.2">
      <c r="A109" s="62" t="s">
        <v>142</v>
      </c>
      <c r="B109" s="62" t="s">
        <v>146</v>
      </c>
      <c r="C109" s="62" t="s">
        <v>143</v>
      </c>
      <c r="D109" s="187" t="s">
        <v>191</v>
      </c>
      <c r="E109" s="188"/>
      <c r="F109" s="189"/>
      <c r="G109" s="63">
        <v>100</v>
      </c>
      <c r="H109" s="62" t="s">
        <v>181</v>
      </c>
      <c r="I109" s="63" t="s">
        <v>153</v>
      </c>
      <c r="J109" s="63" t="s">
        <v>110</v>
      </c>
      <c r="K109" s="57"/>
      <c r="O109" s="39"/>
      <c r="P109" s="39"/>
    </row>
    <row r="110" spans="1:16" s="37" customFormat="1" ht="14.45" customHeight="1" x14ac:dyDescent="0.2">
      <c r="A110" s="62" t="s">
        <v>173</v>
      </c>
      <c r="B110" s="62" t="s">
        <v>146</v>
      </c>
      <c r="C110" s="62" t="s">
        <v>143</v>
      </c>
      <c r="D110" s="187" t="s">
        <v>189</v>
      </c>
      <c r="E110" s="188"/>
      <c r="F110" s="189"/>
      <c r="G110" s="63">
        <v>50</v>
      </c>
      <c r="H110" s="62" t="s">
        <v>192</v>
      </c>
      <c r="I110" s="63" t="s">
        <v>153</v>
      </c>
      <c r="J110" s="63" t="s">
        <v>110</v>
      </c>
      <c r="K110" s="57"/>
      <c r="O110" s="39"/>
      <c r="P110" s="39"/>
    </row>
    <row r="111" spans="1:16" s="37" customFormat="1" ht="14.45" customHeight="1" x14ac:dyDescent="0.2">
      <c r="A111" s="62" t="s">
        <v>173</v>
      </c>
      <c r="B111" s="62" t="s">
        <v>146</v>
      </c>
      <c r="C111" s="62" t="s">
        <v>143</v>
      </c>
      <c r="D111" s="187" t="s">
        <v>191</v>
      </c>
      <c r="E111" s="188"/>
      <c r="F111" s="189"/>
      <c r="G111" s="63">
        <v>50</v>
      </c>
      <c r="H111" s="62" t="s">
        <v>181</v>
      </c>
      <c r="I111" s="63" t="s">
        <v>153</v>
      </c>
      <c r="J111" s="63" t="s">
        <v>110</v>
      </c>
      <c r="K111" s="57"/>
      <c r="O111" s="38"/>
      <c r="P111" s="38"/>
    </row>
    <row r="112" spans="1:16" s="37" customFormat="1" ht="14.45" customHeight="1" x14ac:dyDescent="0.25">
      <c r="A112" s="62" t="s">
        <v>142</v>
      </c>
      <c r="B112" s="62" t="s">
        <v>146</v>
      </c>
      <c r="C112" s="62" t="s">
        <v>143</v>
      </c>
      <c r="D112" s="187" t="s">
        <v>193</v>
      </c>
      <c r="E112" s="188"/>
      <c r="F112" s="189"/>
      <c r="G112" s="63">
        <v>85</v>
      </c>
      <c r="H112" s="62" t="s">
        <v>194</v>
      </c>
      <c r="I112" s="63" t="s">
        <v>153</v>
      </c>
      <c r="J112" s="63" t="s">
        <v>110</v>
      </c>
      <c r="K112" s="57"/>
      <c r="O112" s="36"/>
      <c r="P112" s="36"/>
    </row>
    <row r="113" spans="1:29" s="37" customFormat="1" ht="14.45" customHeight="1" x14ac:dyDescent="0.25">
      <c r="A113" s="62" t="s">
        <v>173</v>
      </c>
      <c r="B113" s="62" t="s">
        <v>146</v>
      </c>
      <c r="C113" s="62" t="s">
        <v>195</v>
      </c>
      <c r="D113" s="187" t="s">
        <v>196</v>
      </c>
      <c r="E113" s="188"/>
      <c r="F113" s="189"/>
      <c r="G113" s="63">
        <v>0.1</v>
      </c>
      <c r="H113" s="62" t="s">
        <v>197</v>
      </c>
      <c r="I113" s="63">
        <v>150</v>
      </c>
      <c r="J113" s="63" t="s">
        <v>110</v>
      </c>
      <c r="K113" s="57"/>
      <c r="O113" s="36"/>
      <c r="P113" s="36"/>
    </row>
    <row r="114" spans="1:29" s="37" customFormat="1" ht="14.45" customHeight="1" x14ac:dyDescent="0.25">
      <c r="A114" s="62" t="s">
        <v>142</v>
      </c>
      <c r="B114" s="62" t="s">
        <v>49</v>
      </c>
      <c r="C114" s="62" t="s">
        <v>198</v>
      </c>
      <c r="D114" s="187" t="s">
        <v>199</v>
      </c>
      <c r="E114" s="188"/>
      <c r="F114" s="189"/>
      <c r="G114" s="63">
        <v>35</v>
      </c>
      <c r="H114" s="62" t="s">
        <v>181</v>
      </c>
      <c r="I114" s="63" t="s">
        <v>153</v>
      </c>
      <c r="J114" s="63" t="s">
        <v>110</v>
      </c>
      <c r="K114" s="57"/>
      <c r="O114" s="36"/>
      <c r="P114" s="36"/>
    </row>
    <row r="115" spans="1:29" s="37" customFormat="1" ht="14.45" customHeight="1" x14ac:dyDescent="0.25">
      <c r="A115" s="62" t="s">
        <v>142</v>
      </c>
      <c r="B115" s="62" t="s">
        <v>146</v>
      </c>
      <c r="C115" s="62" t="s">
        <v>198</v>
      </c>
      <c r="D115" s="187" t="s">
        <v>200</v>
      </c>
      <c r="E115" s="188"/>
      <c r="F115" s="189"/>
      <c r="G115" s="63">
        <v>7</v>
      </c>
      <c r="H115" s="62" t="s">
        <v>152</v>
      </c>
      <c r="I115" s="63">
        <v>7</v>
      </c>
      <c r="J115" s="63" t="s">
        <v>110</v>
      </c>
      <c r="K115" s="57"/>
      <c r="O115" s="36"/>
      <c r="P115" s="36"/>
    </row>
    <row r="116" spans="1:29" s="37" customFormat="1" ht="14.1" customHeight="1" x14ac:dyDescent="0.25">
      <c r="A116" s="62" t="s">
        <v>142</v>
      </c>
      <c r="B116" s="62" t="s">
        <v>142</v>
      </c>
      <c r="C116" s="62" t="s">
        <v>201</v>
      </c>
      <c r="D116" s="187" t="s">
        <v>202</v>
      </c>
      <c r="E116" s="188"/>
      <c r="F116" s="189"/>
      <c r="G116" s="63">
        <v>40</v>
      </c>
      <c r="H116" s="62" t="s">
        <v>203</v>
      </c>
      <c r="I116" s="63" t="s">
        <v>153</v>
      </c>
      <c r="J116" s="63" t="s">
        <v>110</v>
      </c>
      <c r="K116" s="57"/>
      <c r="O116" s="36"/>
      <c r="P116" s="36"/>
    </row>
    <row r="117" spans="1:29" s="37" customFormat="1" ht="14.1" customHeight="1" x14ac:dyDescent="0.25">
      <c r="A117" s="62" t="s">
        <v>142</v>
      </c>
      <c r="B117" s="62" t="s">
        <v>49</v>
      </c>
      <c r="C117" s="62" t="s">
        <v>143</v>
      </c>
      <c r="D117" s="187" t="s">
        <v>204</v>
      </c>
      <c r="E117" s="188"/>
      <c r="F117" s="189"/>
      <c r="G117" s="63">
        <v>50</v>
      </c>
      <c r="H117" s="62" t="s">
        <v>49</v>
      </c>
      <c r="I117" s="63" t="s">
        <v>153</v>
      </c>
      <c r="J117" s="63" t="s">
        <v>110</v>
      </c>
      <c r="K117" s="57"/>
      <c r="L117" s="38"/>
      <c r="M117" s="38"/>
      <c r="N117" s="38"/>
      <c r="O117" s="36"/>
      <c r="P117" s="36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 spans="1:29" s="39" customFormat="1" ht="14.1" customHeight="1" x14ac:dyDescent="0.25">
      <c r="A118" s="62" t="s">
        <v>142</v>
      </c>
      <c r="B118" s="62" t="s">
        <v>49</v>
      </c>
      <c r="C118" s="62" t="s">
        <v>143</v>
      </c>
      <c r="D118" s="187" t="s">
        <v>205</v>
      </c>
      <c r="E118" s="188"/>
      <c r="F118" s="189"/>
      <c r="G118" s="63">
        <v>200</v>
      </c>
      <c r="H118" s="62" t="s">
        <v>206</v>
      </c>
      <c r="I118" s="63" t="s">
        <v>153</v>
      </c>
      <c r="J118" s="63" t="s">
        <v>110</v>
      </c>
      <c r="K118" s="57"/>
      <c r="O118" s="36"/>
      <c r="P118" s="36"/>
    </row>
    <row r="119" spans="1:29" s="39" customFormat="1" ht="14.1" customHeight="1" x14ac:dyDescent="0.25">
      <c r="A119" s="62" t="s">
        <v>142</v>
      </c>
      <c r="B119" s="62" t="s">
        <v>49</v>
      </c>
      <c r="C119" s="62" t="s">
        <v>143</v>
      </c>
      <c r="D119" s="187" t="s">
        <v>207</v>
      </c>
      <c r="E119" s="188"/>
      <c r="F119" s="189"/>
      <c r="G119" s="63">
        <v>250</v>
      </c>
      <c r="H119" s="62" t="s">
        <v>208</v>
      </c>
      <c r="I119" s="63">
        <v>100</v>
      </c>
      <c r="J119" s="63" t="s">
        <v>110</v>
      </c>
      <c r="K119" s="57"/>
      <c r="L119" s="38"/>
      <c r="M119" s="38"/>
      <c r="N119" s="38"/>
      <c r="O119" s="36"/>
      <c r="P119" s="36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 spans="1:29" s="38" customFormat="1" ht="14.1" customHeight="1" x14ac:dyDescent="0.25">
      <c r="A120" s="62" t="s">
        <v>142</v>
      </c>
      <c r="B120" s="62" t="s">
        <v>49</v>
      </c>
      <c r="C120" s="62" t="s">
        <v>201</v>
      </c>
      <c r="D120" s="187" t="s">
        <v>209</v>
      </c>
      <c r="E120" s="188"/>
      <c r="F120" s="189"/>
      <c r="G120" s="63" t="s">
        <v>210</v>
      </c>
      <c r="H120" s="62"/>
      <c r="I120" s="63" t="s">
        <v>153</v>
      </c>
      <c r="J120" s="63" t="s">
        <v>110</v>
      </c>
      <c r="K120" s="57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:29" s="36" customFormat="1" x14ac:dyDescent="0.25">
      <c r="A121" s="62" t="s">
        <v>142</v>
      </c>
      <c r="B121" s="62" t="s">
        <v>49</v>
      </c>
      <c r="C121" s="62" t="s">
        <v>201</v>
      </c>
      <c r="D121" s="187" t="s">
        <v>211</v>
      </c>
      <c r="E121" s="188"/>
      <c r="F121" s="189"/>
      <c r="G121" s="63" t="s">
        <v>212</v>
      </c>
      <c r="H121" s="62"/>
      <c r="I121" s="63" t="s">
        <v>153</v>
      </c>
      <c r="J121" s="63" t="s">
        <v>110</v>
      </c>
      <c r="K121" s="72"/>
    </row>
    <row r="122" spans="1:29" s="36" customFormat="1" x14ac:dyDescent="0.25">
      <c r="A122" s="62" t="s">
        <v>213</v>
      </c>
      <c r="B122" s="62" t="s">
        <v>49</v>
      </c>
      <c r="C122" s="62" t="s">
        <v>214</v>
      </c>
      <c r="D122" s="187" t="s">
        <v>215</v>
      </c>
      <c r="E122" s="188"/>
      <c r="F122" s="189"/>
      <c r="G122" s="63">
        <v>100</v>
      </c>
      <c r="H122" s="62" t="s">
        <v>49</v>
      </c>
      <c r="I122" s="63">
        <v>100</v>
      </c>
      <c r="J122" s="63" t="s">
        <v>110</v>
      </c>
      <c r="K122" s="72"/>
    </row>
    <row r="123" spans="1:29" s="36" customFormat="1" x14ac:dyDescent="0.25">
      <c r="A123" s="62" t="s">
        <v>213</v>
      </c>
      <c r="B123" s="62" t="s">
        <v>216</v>
      </c>
      <c r="C123" s="62" t="s">
        <v>147</v>
      </c>
      <c r="D123" s="187" t="s">
        <v>217</v>
      </c>
      <c r="E123" s="188"/>
      <c r="F123" s="189"/>
      <c r="G123" s="63">
        <v>50</v>
      </c>
      <c r="H123" s="62"/>
      <c r="I123" s="63">
        <v>50</v>
      </c>
      <c r="J123" s="63" t="s">
        <v>110</v>
      </c>
      <c r="K123" s="72"/>
    </row>
    <row r="124" spans="1:29" s="36" customFormat="1" x14ac:dyDescent="0.25">
      <c r="A124" s="62" t="s">
        <v>150</v>
      </c>
      <c r="B124" s="62" t="s">
        <v>49</v>
      </c>
      <c r="C124" s="62" t="s">
        <v>218</v>
      </c>
      <c r="D124" s="187" t="s">
        <v>219</v>
      </c>
      <c r="E124" s="188"/>
      <c r="F124" s="189"/>
      <c r="G124" s="69" t="s">
        <v>220</v>
      </c>
      <c r="H124" s="67" t="s">
        <v>49</v>
      </c>
      <c r="I124" s="69" t="s">
        <v>153</v>
      </c>
      <c r="J124" s="63" t="s">
        <v>110</v>
      </c>
      <c r="K124" s="72"/>
    </row>
    <row r="125" spans="1:29" s="36" customFormat="1" x14ac:dyDescent="0.25">
      <c r="A125" s="62" t="s">
        <v>221</v>
      </c>
      <c r="B125" s="62" t="s">
        <v>49</v>
      </c>
      <c r="C125" s="62" t="s">
        <v>201</v>
      </c>
      <c r="D125" s="187" t="s">
        <v>222</v>
      </c>
      <c r="E125" s="188"/>
      <c r="F125" s="189"/>
      <c r="G125" s="69" t="s">
        <v>220</v>
      </c>
      <c r="H125" s="67" t="s">
        <v>49</v>
      </c>
      <c r="I125" s="69" t="s">
        <v>153</v>
      </c>
      <c r="J125" s="63" t="s">
        <v>110</v>
      </c>
      <c r="K125" s="72"/>
    </row>
    <row r="126" spans="1:29" s="36" customFormat="1" x14ac:dyDescent="0.25">
      <c r="A126" s="62" t="s">
        <v>142</v>
      </c>
      <c r="B126" s="62" t="s">
        <v>49</v>
      </c>
      <c r="C126" s="62" t="s">
        <v>223</v>
      </c>
      <c r="D126" s="187" t="s">
        <v>224</v>
      </c>
      <c r="E126" s="188"/>
      <c r="F126" s="189"/>
      <c r="G126" s="63" t="s">
        <v>225</v>
      </c>
      <c r="H126" s="62"/>
      <c r="I126" s="63" t="s">
        <v>153</v>
      </c>
      <c r="J126" s="63" t="s">
        <v>110</v>
      </c>
      <c r="K126" s="72"/>
    </row>
    <row r="127" spans="1:29" s="36" customFormat="1" x14ac:dyDescent="0.25">
      <c r="A127" s="62" t="s">
        <v>142</v>
      </c>
      <c r="B127" s="62" t="s">
        <v>49</v>
      </c>
      <c r="C127" s="62" t="s">
        <v>226</v>
      </c>
      <c r="D127" s="187" t="s">
        <v>227</v>
      </c>
      <c r="E127" s="188"/>
      <c r="F127" s="189"/>
      <c r="G127" s="66">
        <v>150</v>
      </c>
      <c r="H127" s="62" t="s">
        <v>49</v>
      </c>
      <c r="I127" s="66">
        <v>150</v>
      </c>
      <c r="J127" s="63" t="s">
        <v>110</v>
      </c>
      <c r="K127" s="72"/>
    </row>
    <row r="128" spans="1:29" s="36" customFormat="1" x14ac:dyDescent="0.25">
      <c r="A128" s="62" t="s">
        <v>142</v>
      </c>
      <c r="B128" s="62" t="s">
        <v>49</v>
      </c>
      <c r="C128" s="62" t="s">
        <v>228</v>
      </c>
      <c r="D128" s="187" t="s">
        <v>229</v>
      </c>
      <c r="E128" s="188"/>
      <c r="F128" s="189"/>
      <c r="G128" s="66">
        <v>25</v>
      </c>
      <c r="H128" s="62" t="s">
        <v>230</v>
      </c>
      <c r="I128" s="66">
        <v>25</v>
      </c>
      <c r="J128" s="63" t="s">
        <v>110</v>
      </c>
      <c r="K128" s="72"/>
    </row>
    <row r="129" spans="1:11" s="36" customFormat="1" x14ac:dyDescent="0.25">
      <c r="A129" s="62" t="s">
        <v>142</v>
      </c>
      <c r="B129" s="62" t="s">
        <v>146</v>
      </c>
      <c r="C129" s="62" t="s">
        <v>198</v>
      </c>
      <c r="D129" s="187" t="s">
        <v>231</v>
      </c>
      <c r="E129" s="188"/>
      <c r="F129" s="189"/>
      <c r="G129" s="66" t="s">
        <v>232</v>
      </c>
      <c r="H129" s="62" t="s">
        <v>149</v>
      </c>
      <c r="I129" s="66" t="s">
        <v>153</v>
      </c>
      <c r="J129" s="63" t="s">
        <v>110</v>
      </c>
      <c r="K129" s="72"/>
    </row>
    <row r="130" spans="1:11" s="36" customFormat="1" x14ac:dyDescent="0.25">
      <c r="A130" s="62" t="s">
        <v>173</v>
      </c>
      <c r="B130" s="62" t="s">
        <v>146</v>
      </c>
      <c r="C130" s="62" t="s">
        <v>233</v>
      </c>
      <c r="D130" s="187" t="s">
        <v>234</v>
      </c>
      <c r="E130" s="188"/>
      <c r="F130" s="189"/>
      <c r="G130" s="66">
        <v>0.5</v>
      </c>
      <c r="H130" s="62" t="s">
        <v>235</v>
      </c>
      <c r="I130" s="66">
        <v>50</v>
      </c>
      <c r="J130" s="63" t="s">
        <v>110</v>
      </c>
      <c r="K130" s="72"/>
    </row>
    <row r="131" spans="1:11" s="36" customFormat="1" x14ac:dyDescent="0.25">
      <c r="A131" s="64" t="s">
        <v>173</v>
      </c>
      <c r="B131" s="64" t="s">
        <v>146</v>
      </c>
      <c r="C131" s="64" t="s">
        <v>233</v>
      </c>
      <c r="D131" s="187" t="s">
        <v>236</v>
      </c>
      <c r="E131" s="188"/>
      <c r="F131" s="189"/>
      <c r="G131" s="73">
        <v>0.5</v>
      </c>
      <c r="H131" s="64" t="s">
        <v>235</v>
      </c>
      <c r="I131" s="73">
        <v>50</v>
      </c>
      <c r="J131" s="63" t="s">
        <v>110</v>
      </c>
      <c r="K131" s="72"/>
    </row>
    <row r="132" spans="1:11" s="36" customFormat="1" x14ac:dyDescent="0.25">
      <c r="A132" s="62" t="s">
        <v>173</v>
      </c>
      <c r="B132" s="62" t="s">
        <v>146</v>
      </c>
      <c r="C132" s="62" t="s">
        <v>201</v>
      </c>
      <c r="D132" s="187" t="s">
        <v>237</v>
      </c>
      <c r="E132" s="188"/>
      <c r="F132" s="189"/>
      <c r="G132" s="66" t="s">
        <v>238</v>
      </c>
      <c r="H132" s="62" t="s">
        <v>235</v>
      </c>
      <c r="I132" s="66">
        <v>50</v>
      </c>
      <c r="J132" s="63" t="s">
        <v>110</v>
      </c>
      <c r="K132" s="72"/>
    </row>
    <row r="133" spans="1:11" s="36" customFormat="1" x14ac:dyDescent="0.25">
      <c r="A133" s="62" t="s">
        <v>239</v>
      </c>
      <c r="B133" s="62" t="s">
        <v>49</v>
      </c>
      <c r="C133" s="62" t="s">
        <v>143</v>
      </c>
      <c r="D133" s="187" t="s">
        <v>240</v>
      </c>
      <c r="E133" s="188"/>
      <c r="F133" s="189"/>
      <c r="G133" s="69" t="s">
        <v>220</v>
      </c>
      <c r="H133" s="67" t="s">
        <v>49</v>
      </c>
      <c r="I133" s="69" t="s">
        <v>153</v>
      </c>
      <c r="J133" s="63" t="s">
        <v>110</v>
      </c>
      <c r="K133" s="72"/>
    </row>
    <row r="134" spans="1:11" s="36" customFormat="1" x14ac:dyDescent="0.25">
      <c r="A134" s="62" t="s">
        <v>142</v>
      </c>
      <c r="B134" s="62" t="s">
        <v>142</v>
      </c>
      <c r="C134" s="62" t="s">
        <v>147</v>
      </c>
      <c r="D134" s="187" t="s">
        <v>241</v>
      </c>
      <c r="E134" s="188"/>
      <c r="F134" s="189"/>
      <c r="G134" s="66" t="s">
        <v>242</v>
      </c>
      <c r="H134" s="62"/>
      <c r="I134" s="66">
        <v>15</v>
      </c>
      <c r="J134" s="63" t="s">
        <v>110</v>
      </c>
      <c r="K134" s="72"/>
    </row>
    <row r="135" spans="1:11" s="36" customFormat="1" x14ac:dyDescent="0.25">
      <c r="A135" s="62" t="s">
        <v>243</v>
      </c>
      <c r="B135" s="62" t="s">
        <v>49</v>
      </c>
      <c r="C135" s="62" t="s">
        <v>143</v>
      </c>
      <c r="D135" s="187" t="s">
        <v>244</v>
      </c>
      <c r="E135" s="188"/>
      <c r="F135" s="189"/>
      <c r="G135" s="66">
        <v>200</v>
      </c>
      <c r="H135" s="62" t="s">
        <v>49</v>
      </c>
      <c r="I135" s="63">
        <v>200</v>
      </c>
      <c r="J135" s="63" t="s">
        <v>110</v>
      </c>
      <c r="K135" s="72"/>
    </row>
    <row r="136" spans="1:11" s="36" customFormat="1" x14ac:dyDescent="0.25">
      <c r="A136" s="62" t="s">
        <v>245</v>
      </c>
      <c r="B136" s="62" t="s">
        <v>49</v>
      </c>
      <c r="C136" s="62" t="s">
        <v>143</v>
      </c>
      <c r="D136" s="187" t="s">
        <v>246</v>
      </c>
      <c r="E136" s="188"/>
      <c r="F136" s="189"/>
      <c r="G136" s="66">
        <v>250</v>
      </c>
      <c r="H136" s="62" t="s">
        <v>49</v>
      </c>
      <c r="I136" s="63">
        <v>100</v>
      </c>
      <c r="J136" s="63" t="s">
        <v>110</v>
      </c>
      <c r="K136" s="72"/>
    </row>
    <row r="137" spans="1:11" s="36" customFormat="1" x14ac:dyDescent="0.25">
      <c r="A137" s="62" t="s">
        <v>247</v>
      </c>
      <c r="B137" s="62" t="s">
        <v>49</v>
      </c>
      <c r="C137" s="62" t="s">
        <v>143</v>
      </c>
      <c r="D137" s="187" t="s">
        <v>248</v>
      </c>
      <c r="E137" s="188"/>
      <c r="F137" s="189"/>
      <c r="G137" s="63">
        <v>250</v>
      </c>
      <c r="H137" s="62" t="s">
        <v>49</v>
      </c>
      <c r="I137" s="63">
        <v>200</v>
      </c>
      <c r="J137" s="63" t="s">
        <v>110</v>
      </c>
      <c r="K137" s="72"/>
    </row>
    <row r="138" spans="1:11" s="36" customFormat="1" x14ac:dyDescent="0.25">
      <c r="A138" s="62" t="s">
        <v>142</v>
      </c>
      <c r="B138" s="62" t="s">
        <v>49</v>
      </c>
      <c r="C138" s="62" t="s">
        <v>143</v>
      </c>
      <c r="D138" s="187" t="s">
        <v>249</v>
      </c>
      <c r="E138" s="188"/>
      <c r="F138" s="189"/>
      <c r="G138" s="63"/>
      <c r="H138" s="62" t="s">
        <v>49</v>
      </c>
      <c r="I138" s="63" t="s">
        <v>153</v>
      </c>
      <c r="J138" s="63" t="s">
        <v>110</v>
      </c>
      <c r="K138" s="72"/>
    </row>
    <row r="139" spans="1:11" s="36" customFormat="1" x14ac:dyDescent="0.25">
      <c r="A139" s="62" t="s">
        <v>250</v>
      </c>
      <c r="B139" s="62" t="s">
        <v>49</v>
      </c>
      <c r="C139" s="62" t="s">
        <v>143</v>
      </c>
      <c r="D139" s="187" t="s">
        <v>251</v>
      </c>
      <c r="E139" s="188"/>
      <c r="F139" s="189"/>
      <c r="G139" s="66">
        <v>350</v>
      </c>
      <c r="H139" s="62" t="s">
        <v>49</v>
      </c>
      <c r="I139" s="63">
        <v>350</v>
      </c>
      <c r="J139" s="63" t="s">
        <v>110</v>
      </c>
      <c r="K139" s="72"/>
    </row>
    <row r="140" spans="1:11" s="36" customFormat="1" x14ac:dyDescent="0.25">
      <c r="A140" s="118"/>
      <c r="B140" s="118"/>
      <c r="C140" s="118"/>
      <c r="D140" s="119"/>
      <c r="E140" s="119"/>
      <c r="F140" s="119"/>
      <c r="G140" s="120"/>
      <c r="H140" s="118"/>
      <c r="I140" s="121"/>
      <c r="J140" s="121"/>
      <c r="K140" s="72"/>
    </row>
    <row r="141" spans="1:11" s="36" customFormat="1" x14ac:dyDescent="0.25">
      <c r="A141" s="180" t="s">
        <v>72</v>
      </c>
      <c r="B141" s="180"/>
      <c r="C141" s="180"/>
      <c r="D141" s="180"/>
      <c r="E141" s="180"/>
      <c r="F141" s="180"/>
      <c r="G141" s="180"/>
      <c r="H141" s="180"/>
      <c r="I141" s="180"/>
      <c r="J141" s="180"/>
      <c r="K141" s="72"/>
    </row>
    <row r="142" spans="1:11" s="36" customFormat="1" x14ac:dyDescent="0.25">
      <c r="A142" s="186" t="s">
        <v>67</v>
      </c>
      <c r="B142" s="186"/>
      <c r="C142" s="186"/>
      <c r="D142" s="186"/>
      <c r="E142" s="186" t="s">
        <v>68</v>
      </c>
      <c r="F142" s="186"/>
      <c r="G142" s="186"/>
      <c r="H142" s="186"/>
      <c r="I142" s="186"/>
      <c r="J142" s="186"/>
      <c r="K142" s="72"/>
    </row>
    <row r="143" spans="1:11" s="36" customFormat="1" x14ac:dyDescent="0.25">
      <c r="A143" s="185" t="s">
        <v>73</v>
      </c>
      <c r="B143" s="185"/>
      <c r="C143" s="185"/>
      <c r="D143" s="185"/>
      <c r="E143" s="185" t="s">
        <v>254</v>
      </c>
      <c r="F143" s="185"/>
      <c r="G143" s="185"/>
      <c r="H143" s="185"/>
      <c r="I143" s="185"/>
      <c r="J143" s="185"/>
      <c r="K143" s="72"/>
    </row>
    <row r="144" spans="1:11" s="36" customFormat="1" ht="15" customHeight="1" x14ac:dyDescent="0.25">
      <c r="A144" s="185" t="s">
        <v>252</v>
      </c>
      <c r="B144" s="185"/>
      <c r="C144" s="185"/>
      <c r="D144" s="185"/>
      <c r="E144" s="185" t="s">
        <v>253</v>
      </c>
      <c r="F144" s="185"/>
      <c r="G144" s="185"/>
      <c r="H144" s="185"/>
      <c r="I144" s="185"/>
      <c r="J144" s="185"/>
      <c r="K144" s="72"/>
    </row>
    <row r="145" spans="1:11" s="36" customFormat="1" ht="15" customHeight="1" x14ac:dyDescent="0.25">
      <c r="A145" s="185" t="s">
        <v>74</v>
      </c>
      <c r="B145" s="185"/>
      <c r="C145" s="185"/>
      <c r="D145" s="185"/>
      <c r="E145" s="185" t="s">
        <v>75</v>
      </c>
      <c r="F145" s="185"/>
      <c r="G145" s="185"/>
      <c r="H145" s="185"/>
      <c r="I145" s="185"/>
      <c r="J145" s="185"/>
      <c r="K145" s="72"/>
    </row>
    <row r="146" spans="1:11" s="36" customFormat="1" x14ac:dyDescent="0.25">
      <c r="A146" s="185" t="s">
        <v>76</v>
      </c>
      <c r="B146" s="185"/>
      <c r="C146" s="185"/>
      <c r="D146" s="185"/>
      <c r="E146" s="185" t="s">
        <v>77</v>
      </c>
      <c r="F146" s="185"/>
      <c r="G146" s="185"/>
      <c r="H146" s="185"/>
      <c r="I146" s="185"/>
      <c r="J146" s="185"/>
      <c r="K146" s="72"/>
    </row>
    <row r="147" spans="1:11" s="36" customFormat="1" ht="15" customHeight="1" x14ac:dyDescent="0.25">
      <c r="A147" s="185" t="s">
        <v>78</v>
      </c>
      <c r="B147" s="185"/>
      <c r="C147" s="185"/>
      <c r="D147" s="185"/>
      <c r="E147" s="185" t="s">
        <v>79</v>
      </c>
      <c r="F147" s="185"/>
      <c r="G147" s="185"/>
      <c r="H147" s="185"/>
      <c r="I147" s="185"/>
      <c r="J147" s="185"/>
      <c r="K147" s="72"/>
    </row>
    <row r="148" spans="1:11" s="36" customFormat="1" ht="15" customHeight="1" x14ac:dyDescent="0.25">
      <c r="A148" s="180" t="s">
        <v>89</v>
      </c>
      <c r="B148" s="180"/>
      <c r="C148" s="180"/>
      <c r="D148" s="180"/>
      <c r="E148" s="180"/>
      <c r="F148" s="180"/>
      <c r="G148" s="180"/>
      <c r="H148" s="180"/>
      <c r="I148" s="180"/>
      <c r="J148" s="180"/>
      <c r="K148" s="72"/>
    </row>
    <row r="149" spans="1:11" s="36" customFormat="1" x14ac:dyDescent="0.25">
      <c r="A149" s="181" t="s">
        <v>80</v>
      </c>
      <c r="B149" s="181"/>
      <c r="C149" s="181"/>
      <c r="D149" s="181"/>
      <c r="E149" s="181"/>
      <c r="F149" s="181"/>
      <c r="G149" s="181"/>
      <c r="H149" s="181"/>
      <c r="I149" s="181"/>
      <c r="J149" s="181"/>
      <c r="K149" s="72"/>
    </row>
    <row r="150" spans="1:11" s="36" customFormat="1" ht="15" customHeight="1" x14ac:dyDescent="0.25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72"/>
    </row>
    <row r="151" spans="1:11" s="36" customFormat="1" x14ac:dyDescent="0.25">
      <c r="A151" s="182" t="s">
        <v>90</v>
      </c>
      <c r="B151" s="182"/>
      <c r="C151" s="182"/>
      <c r="D151" s="182"/>
      <c r="E151" s="182"/>
      <c r="F151" s="182"/>
      <c r="G151" s="182"/>
      <c r="H151" s="182"/>
      <c r="I151" s="182"/>
      <c r="J151" s="182"/>
      <c r="K151" s="72"/>
    </row>
    <row r="152" spans="1:11" s="36" customFormat="1" ht="15" customHeight="1" x14ac:dyDescent="0.25">
      <c r="A152" s="182"/>
      <c r="B152" s="182"/>
      <c r="C152" s="182"/>
      <c r="D152" s="182"/>
      <c r="E152" s="182"/>
      <c r="F152" s="182"/>
      <c r="G152" s="182"/>
      <c r="H152" s="182"/>
      <c r="I152" s="182"/>
      <c r="J152" s="182"/>
      <c r="K152" s="72"/>
    </row>
    <row r="153" spans="1:11" s="42" customFormat="1" ht="13.9" customHeight="1" x14ac:dyDescent="0.25">
      <c r="A153" s="183" t="s">
        <v>307</v>
      </c>
      <c r="B153" s="183"/>
      <c r="C153" s="183"/>
      <c r="D153" s="183"/>
      <c r="E153" s="183"/>
      <c r="F153" s="183"/>
      <c r="G153" s="183"/>
      <c r="H153" s="183"/>
      <c r="I153" s="183"/>
      <c r="J153" s="48"/>
    </row>
    <row r="154" spans="1:11" s="49" customFormat="1" ht="13.9" customHeight="1" x14ac:dyDescent="0.25">
      <c r="A154" s="184" t="s">
        <v>105</v>
      </c>
      <c r="B154" s="184"/>
      <c r="C154" s="184"/>
      <c r="D154" s="184"/>
      <c r="E154" s="184"/>
      <c r="F154" s="184"/>
      <c r="G154" s="184"/>
      <c r="H154" s="184"/>
      <c r="I154" s="184"/>
      <c r="J154" s="48"/>
    </row>
    <row r="155" spans="1:11" x14ac:dyDescent="0.25">
      <c r="J155" s="48"/>
    </row>
    <row r="156" spans="1:11" x14ac:dyDescent="0.25">
      <c r="J156" s="48"/>
    </row>
    <row r="157" spans="1:11" x14ac:dyDescent="0.25">
      <c r="J157" s="48"/>
    </row>
  </sheetData>
  <protectedRanges>
    <protectedRange algorithmName="SHA-512" hashValue="VF6HSW3Iy4xJ9rvYE/9xGHEoimGCygSu8D4FeqmdsD954MzAHwkkxLcwSP9Q5ui8KTGpWBzFAFpp2yGVfuii3Q==" saltValue="Ht0jMOW+8eakbuvlYpVr7Q==" spinCount="100000" sqref="G49:J54 G13:J27 G35:J40 G56:J57 G29:J30 G32:J33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1:J41 G43:J45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7:J47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mergeCells count="148">
    <mergeCell ref="B6:C6"/>
    <mergeCell ref="G6:I6"/>
    <mergeCell ref="A7:J7"/>
    <mergeCell ref="E8:I8"/>
    <mergeCell ref="B9:I9"/>
    <mergeCell ref="A10:J10"/>
    <mergeCell ref="A1:B1"/>
    <mergeCell ref="C2:G2"/>
    <mergeCell ref="B3:H3"/>
    <mergeCell ref="B4:C4"/>
    <mergeCell ref="G4:I4"/>
    <mergeCell ref="B5:C5"/>
    <mergeCell ref="G5:I5"/>
    <mergeCell ref="E31:F31"/>
    <mergeCell ref="E34:F34"/>
    <mergeCell ref="E48:F48"/>
    <mergeCell ref="A57:J57"/>
    <mergeCell ref="A59:J59"/>
    <mergeCell ref="A60:J60"/>
    <mergeCell ref="N10:R10"/>
    <mergeCell ref="S10:X10"/>
    <mergeCell ref="Y10:AB10"/>
    <mergeCell ref="E11:F11"/>
    <mergeCell ref="E12:F12"/>
    <mergeCell ref="E28:F28"/>
    <mergeCell ref="E55:F55"/>
    <mergeCell ref="E46:F46"/>
    <mergeCell ref="A63:D63"/>
    <mergeCell ref="F63:J63"/>
    <mergeCell ref="L63:Q63"/>
    <mergeCell ref="A64:D64"/>
    <mergeCell ref="F64:J64"/>
    <mergeCell ref="A65:D65"/>
    <mergeCell ref="F65:J65"/>
    <mergeCell ref="A61:D61"/>
    <mergeCell ref="E61:J61"/>
    <mergeCell ref="L61:Q61"/>
    <mergeCell ref="A62:D62"/>
    <mergeCell ref="F62:J62"/>
    <mergeCell ref="L62:Q62"/>
    <mergeCell ref="A69:D69"/>
    <mergeCell ref="F69:J69"/>
    <mergeCell ref="L69:Q69"/>
    <mergeCell ref="A70:D70"/>
    <mergeCell ref="F70:J70"/>
    <mergeCell ref="L70:Q70"/>
    <mergeCell ref="A66:D66"/>
    <mergeCell ref="F66:J66"/>
    <mergeCell ref="A67:D67"/>
    <mergeCell ref="F67:J67"/>
    <mergeCell ref="L67:Q67"/>
    <mergeCell ref="A68:D68"/>
    <mergeCell ref="F68:J68"/>
    <mergeCell ref="L68:Q68"/>
    <mergeCell ref="A73:D73"/>
    <mergeCell ref="E73:J73"/>
    <mergeCell ref="L73:Q73"/>
    <mergeCell ref="A74:J74"/>
    <mergeCell ref="D75:F75"/>
    <mergeCell ref="D76:F76"/>
    <mergeCell ref="A71:D71"/>
    <mergeCell ref="G71:J71"/>
    <mergeCell ref="L71:Q71"/>
    <mergeCell ref="A72:D72"/>
    <mergeCell ref="G72:J72"/>
    <mergeCell ref="L72:Q72"/>
    <mergeCell ref="D83:F83"/>
    <mergeCell ref="D84:F84"/>
    <mergeCell ref="D85:F85"/>
    <mergeCell ref="D86:F86"/>
    <mergeCell ref="D87:F87"/>
    <mergeCell ref="D88:F88"/>
    <mergeCell ref="D77:F77"/>
    <mergeCell ref="D78:F78"/>
    <mergeCell ref="D79:F79"/>
    <mergeCell ref="D80:F80"/>
    <mergeCell ref="D81:F81"/>
    <mergeCell ref="D82:F82"/>
    <mergeCell ref="D95:F95"/>
    <mergeCell ref="D96:F96"/>
    <mergeCell ref="D97:F97"/>
    <mergeCell ref="D98:F98"/>
    <mergeCell ref="D99:F99"/>
    <mergeCell ref="D100:F100"/>
    <mergeCell ref="D89:F89"/>
    <mergeCell ref="D90:F90"/>
    <mergeCell ref="D91:F91"/>
    <mergeCell ref="D92:F92"/>
    <mergeCell ref="D93:F93"/>
    <mergeCell ref="D94:F94"/>
    <mergeCell ref="D107:F107"/>
    <mergeCell ref="D108:F108"/>
    <mergeCell ref="D109:F109"/>
    <mergeCell ref="D110:F110"/>
    <mergeCell ref="D111:F111"/>
    <mergeCell ref="D112:F112"/>
    <mergeCell ref="D101:F101"/>
    <mergeCell ref="D102:F102"/>
    <mergeCell ref="D103:F103"/>
    <mergeCell ref="D104:F104"/>
    <mergeCell ref="D105:F105"/>
    <mergeCell ref="D106:F106"/>
    <mergeCell ref="D119:F119"/>
    <mergeCell ref="D120:F120"/>
    <mergeCell ref="D121:F121"/>
    <mergeCell ref="D122:F122"/>
    <mergeCell ref="D123:F123"/>
    <mergeCell ref="D124:F124"/>
    <mergeCell ref="D113:F113"/>
    <mergeCell ref="D114:F114"/>
    <mergeCell ref="D115:F115"/>
    <mergeCell ref="D116:F116"/>
    <mergeCell ref="D117:F117"/>
    <mergeCell ref="D118:F118"/>
    <mergeCell ref="D133:F133"/>
    <mergeCell ref="D134:F134"/>
    <mergeCell ref="D135:F135"/>
    <mergeCell ref="D136:F136"/>
    <mergeCell ref="D125:F125"/>
    <mergeCell ref="D126:F126"/>
    <mergeCell ref="D127:F127"/>
    <mergeCell ref="D128:F128"/>
    <mergeCell ref="D129:F129"/>
    <mergeCell ref="D130:F130"/>
    <mergeCell ref="A151:J152"/>
    <mergeCell ref="A153:I153"/>
    <mergeCell ref="A154:I154"/>
    <mergeCell ref="E42:F42"/>
    <mergeCell ref="A146:D146"/>
    <mergeCell ref="E146:J146"/>
    <mergeCell ref="A147:D147"/>
    <mergeCell ref="E147:J147"/>
    <mergeCell ref="A148:J148"/>
    <mergeCell ref="A149:J150"/>
    <mergeCell ref="A143:D143"/>
    <mergeCell ref="E143:J143"/>
    <mergeCell ref="A144:D144"/>
    <mergeCell ref="E144:J144"/>
    <mergeCell ref="A145:D145"/>
    <mergeCell ref="E145:J145"/>
    <mergeCell ref="D137:F137"/>
    <mergeCell ref="D138:F138"/>
    <mergeCell ref="D139:F139"/>
    <mergeCell ref="A141:J141"/>
    <mergeCell ref="A142:D142"/>
    <mergeCell ref="E142:J142"/>
    <mergeCell ref="D131:F131"/>
    <mergeCell ref="D132:F132"/>
  </mergeCells>
  <hyperlinks>
    <hyperlink ref="G6" r:id="rId1" xr:uid="{7433DAAA-1368-48CB-AB06-D4E4E2B3E380}"/>
    <hyperlink ref="G4" r:id="rId2" xr:uid="{373CFBE8-FFD5-424C-8CD1-AF692AA13981}"/>
  </hyperlinks>
  <pageMargins left="0.35" right="0.35" top="0.35" bottom="0.35" header="0.3" footer="0.3"/>
  <pageSetup scale="53" fitToHeight="0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61D4FB-F811-428C-AC01-CC8E70BFE6D4}">
          <x14:formula1>
            <xm:f>'C:\Users\twang\AppData\Local\Microsoft\Windows\Temporary Internet Files\Content.Outlook\U7WJNCNV\[QUOTE TEMPLATE 05-01-21.xltx]Sheet1'!#REF!</xm:f>
          </x14:formula1>
          <xm:sqref>Q13:Q14 C32:C33 C49:C54 C29:C30 C13:C27 C35:C41 C43:C45</xm:sqref>
        </x14:dataValidation>
        <x14:dataValidation type="list" allowBlank="1" showInputMessage="1" showErrorMessage="1" xr:uid="{61BD33E7-D022-436D-A330-E7683933437D}">
          <x14:formula1>
            <xm:f>'C:\Users\twang\AppData\Local\Microsoft\Windows\Temporary Internet Files\Content.Outlook\U7WJNCNV\[QUOTE TEMPLATE 05-01-21.xltx]Sheet1'!#REF!</xm:f>
          </x14:formula1>
          <xm:sqref>E67:E68 E70:E72 E62:E65 E32:E33 E56 E29:E30 E13:E27 E35:E41 E49:E54 E43:E45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34B9-68B8-4B7B-A962-BBBDA17B4CCB}">
  <sheetPr codeName="Sheet5">
    <tabColor rgb="FF92D050"/>
  </sheetPr>
  <dimension ref="A1:Q50"/>
  <sheetViews>
    <sheetView zoomScale="85" zoomScaleNormal="85" workbookViewId="0">
      <pane ySplit="1" topLeftCell="A2" activePane="bottomLeft" state="frozen"/>
      <selection activeCell="B13" sqref="B13:B33"/>
      <selection pane="bottomLeft" activeCell="C2" sqref="C2"/>
    </sheetView>
  </sheetViews>
  <sheetFormatPr defaultRowHeight="15" x14ac:dyDescent="0.25"/>
  <cols>
    <col min="1" max="1" width="42.140625" bestFit="1" customWidth="1"/>
    <col min="2" max="2" width="9.85546875" customWidth="1"/>
    <col min="3" max="3" width="13.140625" customWidth="1"/>
    <col min="4" max="4" width="14.85546875" style="24" bestFit="1" customWidth="1"/>
    <col min="5" max="5" width="8" style="21" customWidth="1"/>
    <col min="6" max="6" width="13.28515625" style="22" customWidth="1"/>
    <col min="7" max="8" width="14.140625" style="22" customWidth="1"/>
    <col min="9" max="9" width="12.85546875" style="23" customWidth="1"/>
    <col min="10" max="10" width="22.7109375" style="22" bestFit="1" customWidth="1"/>
    <col min="11" max="11" width="29.42578125" style="22" bestFit="1" customWidth="1"/>
    <col min="12" max="12" width="14.140625" style="22" customWidth="1"/>
    <col min="13" max="13" width="23" style="22" bestFit="1" customWidth="1"/>
    <col min="14" max="14" width="35" bestFit="1" customWidth="1"/>
    <col min="15" max="15" width="22" bestFit="1" customWidth="1"/>
    <col min="16" max="16" width="29.140625" bestFit="1" customWidth="1"/>
    <col min="17" max="17" width="13.42578125" bestFit="1" customWidth="1"/>
  </cols>
  <sheetData>
    <row r="1" spans="1:17" ht="4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5" t="s">
        <v>427</v>
      </c>
      <c r="L1" s="8" t="s">
        <v>10</v>
      </c>
      <c r="M1" s="9" t="s">
        <v>11</v>
      </c>
      <c r="N1" s="10" t="s">
        <v>11</v>
      </c>
      <c r="O1" s="10" t="s">
        <v>12</v>
      </c>
      <c r="P1" s="11" t="s">
        <v>13</v>
      </c>
      <c r="Q1" s="11" t="s">
        <v>345</v>
      </c>
    </row>
    <row r="2" spans="1:17" ht="17.100000000000001" customHeight="1" x14ac:dyDescent="0.25">
      <c r="A2" s="12" t="s">
        <v>338</v>
      </c>
      <c r="B2" s="13" t="s">
        <v>346</v>
      </c>
      <c r="C2" s="14">
        <f>CEILING((D2*(1+E2))+G2+H2+J2+K2+M2,5)</f>
        <v>1310</v>
      </c>
      <c r="D2" s="15">
        <v>600</v>
      </c>
      <c r="E2" s="16">
        <v>0.11</v>
      </c>
      <c r="F2" s="17">
        <v>50</v>
      </c>
      <c r="G2" s="17"/>
      <c r="H2" s="17">
        <v>100</v>
      </c>
      <c r="I2" s="15" t="s">
        <v>421</v>
      </c>
      <c r="J2" s="13">
        <v>250</v>
      </c>
      <c r="K2" s="17">
        <v>200</v>
      </c>
      <c r="L2" s="17">
        <v>100</v>
      </c>
      <c r="M2" s="17">
        <f>70+20</f>
        <v>90</v>
      </c>
      <c r="N2" s="139" t="s">
        <v>355</v>
      </c>
      <c r="O2" s="13" t="s">
        <v>379</v>
      </c>
      <c r="P2" s="13"/>
      <c r="Q2" s="13" t="s">
        <v>429</v>
      </c>
    </row>
    <row r="3" spans="1:17" ht="56.25" customHeight="1" x14ac:dyDescent="0.25">
      <c r="A3" s="12" t="s">
        <v>340</v>
      </c>
      <c r="B3" s="13" t="s">
        <v>18</v>
      </c>
      <c r="C3" s="14">
        <f t="shared" ref="C3:C12" si="0">CEILING((D3*(1+E3))+G3+H3+J3+K3+M3,5)</f>
        <v>1805</v>
      </c>
      <c r="D3" s="15">
        <v>800</v>
      </c>
      <c r="E3" s="16">
        <v>0.11</v>
      </c>
      <c r="F3" s="17">
        <v>50</v>
      </c>
      <c r="G3" s="17"/>
      <c r="H3" s="17">
        <v>100</v>
      </c>
      <c r="I3" s="15" t="s">
        <v>421</v>
      </c>
      <c r="J3" s="17">
        <v>300</v>
      </c>
      <c r="K3" s="17">
        <v>250</v>
      </c>
      <c r="L3" s="17">
        <v>75</v>
      </c>
      <c r="M3" s="17">
        <f>66+200</f>
        <v>266</v>
      </c>
      <c r="N3" s="19" t="s">
        <v>487</v>
      </c>
      <c r="O3" s="13"/>
      <c r="P3" s="178" t="s">
        <v>486</v>
      </c>
      <c r="Q3" s="13" t="s">
        <v>441</v>
      </c>
    </row>
    <row r="4" spans="1:17" ht="56.25" customHeight="1" x14ac:dyDescent="0.25">
      <c r="A4" s="12" t="s">
        <v>344</v>
      </c>
      <c r="B4" s="13" t="s">
        <v>18</v>
      </c>
      <c r="C4" s="14">
        <f t="shared" si="0"/>
        <v>1345</v>
      </c>
      <c r="D4" s="15">
        <v>510</v>
      </c>
      <c r="E4" s="16">
        <v>0.11</v>
      </c>
      <c r="F4" s="17">
        <v>50</v>
      </c>
      <c r="G4" s="17"/>
      <c r="H4" s="17">
        <v>160</v>
      </c>
      <c r="I4" s="15" t="s">
        <v>430</v>
      </c>
      <c r="J4" s="17">
        <v>300</v>
      </c>
      <c r="K4" s="17">
        <v>250</v>
      </c>
      <c r="L4" s="17">
        <v>100</v>
      </c>
      <c r="M4" s="17">
        <v>66</v>
      </c>
      <c r="N4" s="19" t="s">
        <v>356</v>
      </c>
      <c r="O4" s="13"/>
      <c r="P4" s="13"/>
      <c r="Q4" s="13" t="s">
        <v>431</v>
      </c>
    </row>
    <row r="5" spans="1:17" ht="17.100000000000001" customHeight="1" x14ac:dyDescent="0.25">
      <c r="A5" s="12" t="s">
        <v>339</v>
      </c>
      <c r="B5" s="13" t="s">
        <v>20</v>
      </c>
      <c r="C5" s="14">
        <f t="shared" si="0"/>
        <v>2665</v>
      </c>
      <c r="D5" s="15">
        <v>1600</v>
      </c>
      <c r="E5" s="16">
        <v>0.11</v>
      </c>
      <c r="F5" s="17">
        <v>50</v>
      </c>
      <c r="G5" s="17"/>
      <c r="H5" s="17">
        <v>100</v>
      </c>
      <c r="I5" s="15" t="s">
        <v>421</v>
      </c>
      <c r="J5" s="13">
        <v>300</v>
      </c>
      <c r="K5" s="17">
        <v>200</v>
      </c>
      <c r="L5" s="17">
        <v>100</v>
      </c>
      <c r="M5" s="17">
        <v>285</v>
      </c>
      <c r="N5" s="13" t="s">
        <v>357</v>
      </c>
      <c r="O5" s="13"/>
      <c r="Q5" s="13" t="s">
        <v>432</v>
      </c>
    </row>
    <row r="6" spans="1:17" ht="17.100000000000001" customHeight="1" x14ac:dyDescent="0.25">
      <c r="A6" s="12" t="s">
        <v>341</v>
      </c>
      <c r="B6" s="13" t="s">
        <v>20</v>
      </c>
      <c r="C6" s="14">
        <f t="shared" si="0"/>
        <v>1690</v>
      </c>
      <c r="D6" s="15">
        <v>725</v>
      </c>
      <c r="E6" s="16">
        <v>0.11</v>
      </c>
      <c r="F6" s="17">
        <v>50</v>
      </c>
      <c r="G6" s="17"/>
      <c r="H6" s="17">
        <v>100</v>
      </c>
      <c r="I6" s="15" t="s">
        <v>421</v>
      </c>
      <c r="J6" s="13">
        <v>300</v>
      </c>
      <c r="K6" s="17">
        <v>200</v>
      </c>
      <c r="L6" s="17">
        <v>100</v>
      </c>
      <c r="M6" s="17">
        <v>285</v>
      </c>
      <c r="N6" s="13" t="s">
        <v>357</v>
      </c>
      <c r="O6" s="13"/>
      <c r="P6" s="13"/>
      <c r="Q6" s="13" t="s">
        <v>433</v>
      </c>
    </row>
    <row r="7" spans="1:17" ht="17.100000000000001" customHeight="1" x14ac:dyDescent="0.25">
      <c r="A7" s="12" t="s">
        <v>342</v>
      </c>
      <c r="B7" s="13" t="s">
        <v>107</v>
      </c>
      <c r="C7" s="14">
        <f t="shared" si="0"/>
        <v>2995</v>
      </c>
      <c r="D7" s="15">
        <v>1810</v>
      </c>
      <c r="E7" s="16">
        <v>0.11</v>
      </c>
      <c r="F7" s="17">
        <v>50</v>
      </c>
      <c r="G7" s="17">
        <v>250</v>
      </c>
      <c r="H7" s="17">
        <v>160</v>
      </c>
      <c r="I7" s="15" t="s">
        <v>430</v>
      </c>
      <c r="J7" s="13">
        <v>250</v>
      </c>
      <c r="K7" s="17">
        <v>250</v>
      </c>
      <c r="L7" s="17">
        <v>100</v>
      </c>
      <c r="M7" s="17">
        <v>75</v>
      </c>
      <c r="N7" s="13" t="s">
        <v>358</v>
      </c>
      <c r="O7" s="13"/>
      <c r="P7" s="13"/>
      <c r="Q7" s="13" t="s">
        <v>434</v>
      </c>
    </row>
    <row r="8" spans="1:17" ht="17.100000000000001" customHeight="1" x14ac:dyDescent="0.25">
      <c r="A8" s="12" t="s">
        <v>343</v>
      </c>
      <c r="B8" s="13" t="s">
        <v>104</v>
      </c>
      <c r="C8" s="14">
        <f t="shared" si="0"/>
        <v>1185</v>
      </c>
      <c r="D8" s="15">
        <v>550</v>
      </c>
      <c r="E8" s="16">
        <v>0.11</v>
      </c>
      <c r="F8" s="17">
        <v>50</v>
      </c>
      <c r="G8" s="17"/>
      <c r="H8" s="17">
        <v>150</v>
      </c>
      <c r="I8" s="18" t="s">
        <v>359</v>
      </c>
      <c r="J8" s="13">
        <v>200</v>
      </c>
      <c r="K8" s="17">
        <v>200</v>
      </c>
      <c r="L8" s="17">
        <v>75</v>
      </c>
      <c r="M8" s="17">
        <v>20</v>
      </c>
      <c r="N8" s="26" t="s">
        <v>360</v>
      </c>
      <c r="O8" s="13"/>
      <c r="P8" s="13"/>
      <c r="Q8" s="13" t="s">
        <v>435</v>
      </c>
    </row>
    <row r="9" spans="1:17" ht="17.100000000000001" customHeight="1" x14ac:dyDescent="0.25">
      <c r="A9" s="135" t="s">
        <v>93</v>
      </c>
      <c r="B9" s="13" t="s">
        <v>94</v>
      </c>
      <c r="C9" s="14">
        <f t="shared" si="0"/>
        <v>870</v>
      </c>
      <c r="D9" s="15">
        <v>305</v>
      </c>
      <c r="E9" s="16">
        <v>0.36</v>
      </c>
      <c r="F9" s="17">
        <v>50</v>
      </c>
      <c r="G9" s="17"/>
      <c r="H9" s="17">
        <v>85</v>
      </c>
      <c r="I9" s="18" t="s">
        <v>95</v>
      </c>
      <c r="J9" s="13">
        <v>200</v>
      </c>
      <c r="K9" s="17">
        <v>133</v>
      </c>
      <c r="L9" s="17"/>
      <c r="M9" s="17">
        <v>35</v>
      </c>
      <c r="N9" s="13" t="s">
        <v>96</v>
      </c>
      <c r="O9" s="13"/>
      <c r="P9" s="13"/>
      <c r="Q9" s="13" t="s">
        <v>97</v>
      </c>
    </row>
    <row r="10" spans="1:17" ht="17.100000000000001" customHeight="1" x14ac:dyDescent="0.25">
      <c r="A10" s="135" t="s">
        <v>99</v>
      </c>
      <c r="B10" s="13" t="s">
        <v>100</v>
      </c>
      <c r="C10" s="14">
        <f t="shared" si="0"/>
        <v>850</v>
      </c>
      <c r="D10" s="15">
        <v>230</v>
      </c>
      <c r="E10" s="16">
        <v>0.36</v>
      </c>
      <c r="F10" s="17">
        <v>50</v>
      </c>
      <c r="G10" s="17"/>
      <c r="H10" s="17">
        <v>100</v>
      </c>
      <c r="I10" s="18" t="s">
        <v>14</v>
      </c>
      <c r="J10" s="13">
        <v>300</v>
      </c>
      <c r="K10" s="17">
        <v>133</v>
      </c>
      <c r="L10" s="17"/>
      <c r="M10" s="17"/>
      <c r="N10" s="13" t="s">
        <v>101</v>
      </c>
      <c r="O10" s="13"/>
      <c r="P10" s="13"/>
      <c r="Q10" s="13" t="s">
        <v>102</v>
      </c>
    </row>
    <row r="11" spans="1:17" ht="56.25" customHeight="1" x14ac:dyDescent="0.25">
      <c r="A11" s="135" t="s">
        <v>287</v>
      </c>
      <c r="B11" s="13" t="s">
        <v>286</v>
      </c>
      <c r="C11" s="14">
        <f t="shared" si="0"/>
        <v>2705</v>
      </c>
      <c r="D11" s="15">
        <v>1878</v>
      </c>
      <c r="E11" s="16">
        <v>0.36</v>
      </c>
      <c r="F11" s="17">
        <v>50</v>
      </c>
      <c r="G11" s="17"/>
      <c r="H11" s="17">
        <v>0</v>
      </c>
      <c r="I11" s="18" t="s">
        <v>14</v>
      </c>
      <c r="J11" s="17"/>
      <c r="K11" s="17">
        <v>150</v>
      </c>
      <c r="L11" s="17">
        <v>55</v>
      </c>
      <c r="M11" s="17"/>
      <c r="N11" s="19" t="s">
        <v>289</v>
      </c>
      <c r="O11" s="13"/>
      <c r="P11" s="13" t="s">
        <v>87</v>
      </c>
      <c r="Q11" s="13" t="s">
        <v>288</v>
      </c>
    </row>
    <row r="12" spans="1:17" ht="17.100000000000001" customHeight="1" x14ac:dyDescent="0.25">
      <c r="A12" s="135" t="s">
        <v>291</v>
      </c>
      <c r="B12" s="13" t="s">
        <v>15</v>
      </c>
      <c r="C12" s="14">
        <f t="shared" si="0"/>
        <v>3950</v>
      </c>
      <c r="D12" s="15">
        <v>3120</v>
      </c>
      <c r="E12" s="16">
        <v>0.11</v>
      </c>
      <c r="F12" s="17">
        <v>50</v>
      </c>
      <c r="G12" s="17"/>
      <c r="H12" s="17">
        <v>0</v>
      </c>
      <c r="I12" s="18" t="s">
        <v>14</v>
      </c>
      <c r="J12" s="13">
        <v>300</v>
      </c>
      <c r="K12" s="17">
        <v>150</v>
      </c>
      <c r="L12" s="17"/>
      <c r="M12" s="17">
        <v>35</v>
      </c>
      <c r="N12" s="13" t="s">
        <v>96</v>
      </c>
      <c r="O12" s="13"/>
      <c r="P12" s="13"/>
      <c r="Q12" s="13" t="s">
        <v>97</v>
      </c>
    </row>
    <row r="13" spans="1:17" ht="17.100000000000001" customHeight="1" x14ac:dyDescent="0.25">
      <c r="A13" s="160" t="s">
        <v>390</v>
      </c>
      <c r="B13" s="13" t="s">
        <v>397</v>
      </c>
      <c r="C13" s="14">
        <f t="shared" ref="C13:C19" si="1">CEILING((D13*(1+E13))+G13+H13+J13+M13,5)</f>
        <v>1915</v>
      </c>
      <c r="D13" s="15">
        <v>645</v>
      </c>
      <c r="E13" s="16">
        <v>0.11</v>
      </c>
      <c r="F13" s="17">
        <v>50</v>
      </c>
      <c r="G13" s="17">
        <v>100</v>
      </c>
      <c r="H13" s="17">
        <v>125</v>
      </c>
      <c r="I13" s="18" t="s">
        <v>412</v>
      </c>
      <c r="J13" s="13">
        <v>250</v>
      </c>
      <c r="K13" s="17">
        <v>200</v>
      </c>
      <c r="L13" s="17">
        <v>100</v>
      </c>
      <c r="M13" s="17">
        <v>720</v>
      </c>
      <c r="N13" s="13" t="s">
        <v>496</v>
      </c>
      <c r="O13" s="13"/>
      <c r="P13" s="13"/>
      <c r="Q13" s="13" t="s">
        <v>490</v>
      </c>
    </row>
    <row r="14" spans="1:17" ht="17.100000000000001" customHeight="1" x14ac:dyDescent="0.25">
      <c r="A14" s="160" t="s">
        <v>391</v>
      </c>
      <c r="B14" s="13" t="s">
        <v>398</v>
      </c>
      <c r="C14" s="14">
        <f t="shared" si="1"/>
        <v>6620</v>
      </c>
      <c r="D14" s="15">
        <v>2665</v>
      </c>
      <c r="E14" s="16">
        <v>0.11</v>
      </c>
      <c r="F14" s="17">
        <v>50</v>
      </c>
      <c r="G14" s="17">
        <v>250</v>
      </c>
      <c r="H14" s="17">
        <v>125</v>
      </c>
      <c r="I14" s="18" t="s">
        <v>412</v>
      </c>
      <c r="J14" s="13">
        <v>200</v>
      </c>
      <c r="K14" s="17">
        <v>400</v>
      </c>
      <c r="L14" s="17">
        <v>100</v>
      </c>
      <c r="M14" s="17">
        <f>125+2960</f>
        <v>3085</v>
      </c>
      <c r="N14" s="13" t="s">
        <v>497</v>
      </c>
      <c r="O14" s="13"/>
      <c r="P14" s="13"/>
      <c r="Q14" s="13" t="s">
        <v>491</v>
      </c>
    </row>
    <row r="15" spans="1:17" ht="17.100000000000001" customHeight="1" x14ac:dyDescent="0.25">
      <c r="A15" s="160" t="s">
        <v>396</v>
      </c>
      <c r="B15" s="13" t="s">
        <v>399</v>
      </c>
      <c r="C15" s="14">
        <f t="shared" si="1"/>
        <v>3320</v>
      </c>
      <c r="D15" s="15">
        <v>1200</v>
      </c>
      <c r="E15" s="16">
        <v>0.11</v>
      </c>
      <c r="F15" s="17">
        <v>50</v>
      </c>
      <c r="G15" s="17">
        <v>150</v>
      </c>
      <c r="H15" s="17">
        <v>150</v>
      </c>
      <c r="I15" s="18" t="s">
        <v>359</v>
      </c>
      <c r="J15" s="13">
        <v>200</v>
      </c>
      <c r="K15" s="17">
        <v>275</v>
      </c>
      <c r="L15" s="17">
        <v>100</v>
      </c>
      <c r="M15" s="17">
        <f>1335+150</f>
        <v>1485</v>
      </c>
      <c r="N15" s="13" t="s">
        <v>498</v>
      </c>
      <c r="O15" s="13"/>
      <c r="P15" s="13"/>
      <c r="Q15" s="13" t="s">
        <v>492</v>
      </c>
    </row>
    <row r="16" spans="1:17" ht="17.100000000000001" customHeight="1" x14ac:dyDescent="0.25">
      <c r="A16" s="160" t="s">
        <v>392</v>
      </c>
      <c r="B16" s="13" t="s">
        <v>398</v>
      </c>
      <c r="C16" s="14">
        <f t="shared" si="1"/>
        <v>4155</v>
      </c>
      <c r="D16" s="15">
        <v>1555</v>
      </c>
      <c r="E16" s="16">
        <v>0.11</v>
      </c>
      <c r="F16" s="17">
        <v>50</v>
      </c>
      <c r="G16" s="17">
        <v>250</v>
      </c>
      <c r="H16" s="17">
        <v>125</v>
      </c>
      <c r="I16" s="18" t="s">
        <v>412</v>
      </c>
      <c r="J16" s="13">
        <v>200</v>
      </c>
      <c r="K16" s="17">
        <v>400</v>
      </c>
      <c r="L16" s="17">
        <v>100</v>
      </c>
      <c r="M16" s="17">
        <f>125+1725</f>
        <v>1850</v>
      </c>
      <c r="N16" s="13" t="s">
        <v>499</v>
      </c>
      <c r="O16" s="13"/>
      <c r="P16" s="13"/>
      <c r="Q16" s="13" t="s">
        <v>493</v>
      </c>
    </row>
    <row r="17" spans="1:17" ht="17.100000000000001" customHeight="1" x14ac:dyDescent="0.25">
      <c r="A17" s="160" t="s">
        <v>395</v>
      </c>
      <c r="B17" s="13" t="s">
        <v>400</v>
      </c>
      <c r="C17" s="14">
        <f t="shared" si="1"/>
        <v>2280</v>
      </c>
      <c r="D17" s="15">
        <v>800</v>
      </c>
      <c r="E17" s="16">
        <v>0.11</v>
      </c>
      <c r="F17" s="17">
        <v>50</v>
      </c>
      <c r="G17" s="17">
        <v>175</v>
      </c>
      <c r="H17" s="17">
        <v>125</v>
      </c>
      <c r="I17" s="18" t="s">
        <v>412</v>
      </c>
      <c r="J17" s="13">
        <v>200</v>
      </c>
      <c r="K17" s="17">
        <v>250</v>
      </c>
      <c r="L17" s="17">
        <v>100</v>
      </c>
      <c r="M17" s="17">
        <v>890</v>
      </c>
      <c r="N17" s="13" t="s">
        <v>500</v>
      </c>
      <c r="O17" s="13"/>
      <c r="P17" s="13"/>
      <c r="Q17" s="13" t="s">
        <v>494</v>
      </c>
    </row>
    <row r="18" spans="1:17" ht="17.100000000000001" customHeight="1" x14ac:dyDescent="0.25">
      <c r="A18" s="160" t="s">
        <v>393</v>
      </c>
      <c r="B18" s="13" t="s">
        <v>398</v>
      </c>
      <c r="C18" s="14">
        <f t="shared" si="1"/>
        <v>2805</v>
      </c>
      <c r="D18" s="15">
        <v>835</v>
      </c>
      <c r="E18" s="16">
        <v>0.11</v>
      </c>
      <c r="F18" s="17">
        <v>50</v>
      </c>
      <c r="G18" s="17">
        <v>250</v>
      </c>
      <c r="H18" s="17">
        <v>125</v>
      </c>
      <c r="I18" s="18" t="s">
        <v>412</v>
      </c>
      <c r="J18" s="13">
        <v>200</v>
      </c>
      <c r="K18" s="17">
        <v>400</v>
      </c>
      <c r="L18" s="17">
        <v>100</v>
      </c>
      <c r="M18" s="17">
        <f>125+250+925</f>
        <v>1300</v>
      </c>
      <c r="N18" s="13" t="s">
        <v>499</v>
      </c>
      <c r="O18" s="13"/>
      <c r="P18" s="13"/>
      <c r="Q18" s="13" t="s">
        <v>495</v>
      </c>
    </row>
    <row r="19" spans="1:17" ht="17.100000000000001" customHeight="1" x14ac:dyDescent="0.25">
      <c r="A19" s="160" t="s">
        <v>394</v>
      </c>
      <c r="B19" s="13" t="s">
        <v>401</v>
      </c>
      <c r="C19" s="14">
        <f t="shared" si="1"/>
        <v>1785</v>
      </c>
      <c r="D19" s="15">
        <v>629</v>
      </c>
      <c r="E19" s="16">
        <v>0.11</v>
      </c>
      <c r="F19" s="17">
        <v>50</v>
      </c>
      <c r="G19" s="17">
        <v>125</v>
      </c>
      <c r="H19" s="17">
        <v>125</v>
      </c>
      <c r="I19" s="18" t="s">
        <v>412</v>
      </c>
      <c r="J19" s="13">
        <v>150</v>
      </c>
      <c r="K19" s="17">
        <v>200</v>
      </c>
      <c r="L19" s="17">
        <v>100</v>
      </c>
      <c r="M19" s="17">
        <v>685</v>
      </c>
      <c r="N19" s="13" t="s">
        <v>501</v>
      </c>
      <c r="O19" s="13"/>
      <c r="P19" s="13"/>
      <c r="Q19" s="13" t="s">
        <v>489</v>
      </c>
    </row>
    <row r="20" spans="1:17" x14ac:dyDescent="0.25">
      <c r="D20" s="20"/>
    </row>
    <row r="21" spans="1:17" x14ac:dyDescent="0.25">
      <c r="D21" s="20"/>
    </row>
    <row r="22" spans="1:17" x14ac:dyDescent="0.25">
      <c r="D22" s="20"/>
    </row>
    <row r="23" spans="1:17" x14ac:dyDescent="0.25">
      <c r="D23" s="20"/>
    </row>
    <row r="24" spans="1:17" x14ac:dyDescent="0.25">
      <c r="D24" s="20"/>
    </row>
    <row r="25" spans="1:17" x14ac:dyDescent="0.25">
      <c r="D25" s="20"/>
    </row>
    <row r="26" spans="1:17" x14ac:dyDescent="0.25">
      <c r="D26" s="20"/>
    </row>
    <row r="27" spans="1:17" x14ac:dyDescent="0.25">
      <c r="D27" s="20"/>
    </row>
    <row r="28" spans="1:17" x14ac:dyDescent="0.25">
      <c r="D28" s="20"/>
    </row>
    <row r="29" spans="1:17" x14ac:dyDescent="0.25">
      <c r="D29" s="20"/>
    </row>
    <row r="30" spans="1:17" x14ac:dyDescent="0.25">
      <c r="D30" s="20"/>
    </row>
    <row r="31" spans="1:17" x14ac:dyDescent="0.25">
      <c r="D31" s="20"/>
    </row>
    <row r="32" spans="1:17" x14ac:dyDescent="0.25">
      <c r="D32" s="20"/>
    </row>
    <row r="33" spans="4:4" x14ac:dyDescent="0.25">
      <c r="D33" s="20"/>
    </row>
    <row r="34" spans="4:4" x14ac:dyDescent="0.25">
      <c r="D34" s="20"/>
    </row>
    <row r="35" spans="4:4" x14ac:dyDescent="0.25">
      <c r="D35" s="20"/>
    </row>
    <row r="36" spans="4:4" x14ac:dyDescent="0.25">
      <c r="D36" s="20"/>
    </row>
    <row r="37" spans="4:4" x14ac:dyDescent="0.25">
      <c r="D37" s="20"/>
    </row>
    <row r="38" spans="4:4" x14ac:dyDescent="0.25">
      <c r="D38" s="20"/>
    </row>
    <row r="39" spans="4:4" x14ac:dyDescent="0.25">
      <c r="D39" s="20"/>
    </row>
    <row r="40" spans="4:4" x14ac:dyDescent="0.25">
      <c r="D40" s="20"/>
    </row>
    <row r="41" spans="4:4" x14ac:dyDescent="0.25">
      <c r="D41" s="20"/>
    </row>
    <row r="42" spans="4:4" x14ac:dyDescent="0.25">
      <c r="D42" s="20"/>
    </row>
    <row r="43" spans="4:4" x14ac:dyDescent="0.25">
      <c r="D43" s="20"/>
    </row>
    <row r="44" spans="4:4" x14ac:dyDescent="0.25">
      <c r="D44" s="20"/>
    </row>
    <row r="45" spans="4:4" x14ac:dyDescent="0.25">
      <c r="D45" s="20"/>
    </row>
    <row r="46" spans="4:4" x14ac:dyDescent="0.25">
      <c r="D46" s="20"/>
    </row>
    <row r="47" spans="4:4" x14ac:dyDescent="0.25">
      <c r="D47" s="20"/>
    </row>
    <row r="48" spans="4:4" x14ac:dyDescent="0.25">
      <c r="D48" s="20"/>
    </row>
    <row r="49" spans="4:4" x14ac:dyDescent="0.25">
      <c r="D49" s="20"/>
    </row>
    <row r="50" spans="4:4" x14ac:dyDescent="0.25">
      <c r="D50" s="20"/>
    </row>
  </sheetData>
  <autoFilter ref="A1:Q6" xr:uid="{2D5FFDB9-15B2-4701-951D-3D13421B024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721F-3526-4FB5-BDB0-98E76DB041B7}">
  <sheetPr>
    <pageSetUpPr fitToPage="1"/>
  </sheetPr>
  <dimension ref="A1:AC181"/>
  <sheetViews>
    <sheetView topLeftCell="A66" zoomScale="82" zoomScaleNormal="82" zoomScaleSheetLayoutView="40" workbookViewId="0">
      <pane xSplit="4" topLeftCell="E1" activePane="topRight" state="frozen"/>
      <selection activeCell="A19" sqref="A19"/>
      <selection pane="topRight" activeCell="A54" sqref="A54:J60"/>
    </sheetView>
  </sheetViews>
  <sheetFormatPr defaultColWidth="8.85546875" defaultRowHeight="15" x14ac:dyDescent="0.25"/>
  <cols>
    <col min="1" max="1" width="27.5703125" style="50" customWidth="1"/>
    <col min="2" max="2" width="55.28515625" style="50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15.7109375" style="50" customWidth="1"/>
    <col min="13" max="13" width="16" style="50" customWidth="1"/>
    <col min="14" max="14" width="9.42578125" style="50" customWidth="1"/>
    <col min="15" max="15" width="10.7109375" style="50" bestFit="1" customWidth="1"/>
    <col min="16" max="16" width="17.28515625" style="50" customWidth="1"/>
    <col min="17" max="17" width="12.7109375" style="50" customWidth="1"/>
    <col min="18" max="18" width="0.28515625" style="50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481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482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44880</v>
      </c>
      <c r="C8" s="45" t="s">
        <v>91</v>
      </c>
      <c r="D8" s="44">
        <v>44895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383</v>
      </c>
      <c r="E13" s="95" t="s">
        <v>127</v>
      </c>
      <c r="F13" s="97" t="s">
        <v>422</v>
      </c>
      <c r="G13" s="98">
        <f>CEILING(S13+W13+X13+O13+N13+Y13,10)</f>
        <v>3010</v>
      </c>
      <c r="H13" s="99">
        <f>CEILING(T13+W13+X13+O13+N13+Z13,10)</f>
        <v>3160</v>
      </c>
      <c r="I13" s="99">
        <f>CEILING(U13+W13+X13+O13+N13+AA13,10)</f>
        <v>3160</v>
      </c>
      <c r="J13" s="99">
        <f>CEILING(V13+W13+X13+O13+N13+AB13,10)</f>
        <v>3560</v>
      </c>
      <c r="K13" s="57"/>
      <c r="L13" s="156" t="s">
        <v>384</v>
      </c>
      <c r="M13" s="52" t="s">
        <v>440</v>
      </c>
      <c r="N13" s="40">
        <f>50*7</f>
        <v>350</v>
      </c>
      <c r="O13" s="53">
        <f>VLOOKUP(B13,DRAYAGE!$A$1:$C$107,3,FALSE)</f>
        <v>1310</v>
      </c>
      <c r="P13" s="40" t="s">
        <v>347</v>
      </c>
      <c r="Q13" s="40" t="s">
        <v>445</v>
      </c>
      <c r="S13" s="101">
        <f t="shared" ref="S13:S28" si="0">0.9*T13</f>
        <v>1350</v>
      </c>
      <c r="T13" s="54">
        <f>1400+100</f>
        <v>1500</v>
      </c>
      <c r="U13" s="103">
        <f>T13</f>
        <v>1500</v>
      </c>
      <c r="V13" s="104">
        <f>U13*1.266</f>
        <v>1899</v>
      </c>
      <c r="X13" s="40">
        <v>0</v>
      </c>
    </row>
    <row r="14" spans="1:29" s="40" customFormat="1" ht="18.75" x14ac:dyDescent="0.25">
      <c r="A14" s="133" t="s">
        <v>55</v>
      </c>
      <c r="B14" s="51" t="s">
        <v>338</v>
      </c>
      <c r="C14" s="94" t="s">
        <v>54</v>
      </c>
      <c r="D14" s="95" t="s">
        <v>383</v>
      </c>
      <c r="E14" s="95" t="s">
        <v>127</v>
      </c>
      <c r="F14" s="97" t="s">
        <v>422</v>
      </c>
      <c r="G14" s="98">
        <f t="shared" ref="G14:G28" si="1">CEILING(S14+W14+X14+O14+N14+Y14,10)</f>
        <v>3010</v>
      </c>
      <c r="H14" s="99">
        <f t="shared" ref="H14:H28" si="2">CEILING(T14+W14+X14+O14+N14+Z14,10)</f>
        <v>3160</v>
      </c>
      <c r="I14" s="99">
        <f t="shared" ref="I14:I28" si="3">CEILING(U14+W14+X14+O14+N14+AA14,10)</f>
        <v>3160</v>
      </c>
      <c r="J14" s="99">
        <f t="shared" ref="J14:J28" si="4">CEILING(V14+W14+X14+O14+N14+AB14,10)</f>
        <v>3560</v>
      </c>
      <c r="K14" s="57"/>
      <c r="L14" s="156" t="s">
        <v>384</v>
      </c>
      <c r="M14" s="52" t="s">
        <v>440</v>
      </c>
      <c r="N14" s="40">
        <f t="shared" ref="N14:N27" si="5">50*7</f>
        <v>350</v>
      </c>
      <c r="O14" s="53">
        <f>VLOOKUP(B14,DRAYAGE!$A$1:$C$107,3,FALSE)</f>
        <v>1310</v>
      </c>
      <c r="P14" s="40" t="s">
        <v>347</v>
      </c>
      <c r="Q14" s="40" t="s">
        <v>445</v>
      </c>
      <c r="S14" s="101">
        <f t="shared" si="0"/>
        <v>1350</v>
      </c>
      <c r="T14" s="54">
        <f>T13</f>
        <v>1500</v>
      </c>
      <c r="U14" s="103">
        <f t="shared" ref="U14:U60" si="6">T14</f>
        <v>1500</v>
      </c>
      <c r="V14" s="104">
        <f t="shared" ref="V14:V19" si="7">U14*1.266</f>
        <v>1899</v>
      </c>
      <c r="X14" s="40">
        <v>0</v>
      </c>
    </row>
    <row r="15" spans="1:29" s="40" customFormat="1" ht="18.75" x14ac:dyDescent="0.25">
      <c r="A15" s="133" t="s">
        <v>56</v>
      </c>
      <c r="B15" s="51" t="s">
        <v>338</v>
      </c>
      <c r="C15" s="94" t="s">
        <v>54</v>
      </c>
      <c r="D15" s="95" t="s">
        <v>383</v>
      </c>
      <c r="E15" s="95" t="s">
        <v>127</v>
      </c>
      <c r="F15" s="97" t="s">
        <v>422</v>
      </c>
      <c r="G15" s="98">
        <f t="shared" si="1"/>
        <v>3010</v>
      </c>
      <c r="H15" s="99">
        <f t="shared" si="2"/>
        <v>3160</v>
      </c>
      <c r="I15" s="99">
        <f t="shared" si="3"/>
        <v>3160</v>
      </c>
      <c r="J15" s="99">
        <f t="shared" si="4"/>
        <v>3560</v>
      </c>
      <c r="K15" s="57"/>
      <c r="L15" s="156" t="s">
        <v>384</v>
      </c>
      <c r="M15" s="52" t="s">
        <v>440</v>
      </c>
      <c r="N15" s="40">
        <f t="shared" si="5"/>
        <v>350</v>
      </c>
      <c r="O15" s="53">
        <f>VLOOKUP(B15,DRAYAGE!$A$1:$C$107,3,FALSE)</f>
        <v>1310</v>
      </c>
      <c r="P15" s="40" t="s">
        <v>347</v>
      </c>
      <c r="Q15" s="40" t="s">
        <v>445</v>
      </c>
      <c r="S15" s="101">
        <f t="shared" si="0"/>
        <v>1350</v>
      </c>
      <c r="T15" s="54">
        <f>1400+100</f>
        <v>1500</v>
      </c>
      <c r="U15" s="103">
        <f t="shared" si="6"/>
        <v>1500</v>
      </c>
      <c r="V15" s="104">
        <f t="shared" si="7"/>
        <v>1899</v>
      </c>
      <c r="X15" s="40">
        <v>0</v>
      </c>
    </row>
    <row r="16" spans="1:29" s="40" customFormat="1" ht="18.75" x14ac:dyDescent="0.25">
      <c r="A16" s="133" t="s">
        <v>57</v>
      </c>
      <c r="B16" s="51" t="s">
        <v>338</v>
      </c>
      <c r="C16" s="94" t="s">
        <v>54</v>
      </c>
      <c r="D16" s="95" t="s">
        <v>383</v>
      </c>
      <c r="E16" s="95" t="s">
        <v>127</v>
      </c>
      <c r="F16" s="97" t="s">
        <v>422</v>
      </c>
      <c r="G16" s="98">
        <f t="shared" si="1"/>
        <v>3010</v>
      </c>
      <c r="H16" s="99">
        <f t="shared" si="2"/>
        <v>3160</v>
      </c>
      <c r="I16" s="99">
        <f t="shared" si="3"/>
        <v>3160</v>
      </c>
      <c r="J16" s="99">
        <f t="shared" si="4"/>
        <v>3560</v>
      </c>
      <c r="K16" s="57"/>
      <c r="L16" s="156" t="s">
        <v>384</v>
      </c>
      <c r="M16" s="52" t="s">
        <v>440</v>
      </c>
      <c r="N16" s="40">
        <f t="shared" si="5"/>
        <v>350</v>
      </c>
      <c r="O16" s="53">
        <f>VLOOKUP(B16,DRAYAGE!$A$1:$C$107,3,FALSE)</f>
        <v>1310</v>
      </c>
      <c r="P16" s="40" t="s">
        <v>347</v>
      </c>
      <c r="Q16" s="40" t="s">
        <v>445</v>
      </c>
      <c r="S16" s="101">
        <f t="shared" si="0"/>
        <v>1350</v>
      </c>
      <c r="T16" s="54">
        <f>T15</f>
        <v>1500</v>
      </c>
      <c r="U16" s="103">
        <f t="shared" si="6"/>
        <v>1500</v>
      </c>
      <c r="V16" s="104">
        <f t="shared" si="7"/>
        <v>1899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383</v>
      </c>
      <c r="E17" s="95" t="s">
        <v>127</v>
      </c>
      <c r="F17" s="97" t="s">
        <v>422</v>
      </c>
      <c r="G17" s="98">
        <f t="shared" si="1"/>
        <v>3190</v>
      </c>
      <c r="H17" s="99">
        <f t="shared" si="2"/>
        <v>3360</v>
      </c>
      <c r="I17" s="99">
        <f t="shared" si="3"/>
        <v>3360</v>
      </c>
      <c r="J17" s="99">
        <f t="shared" si="4"/>
        <v>3820</v>
      </c>
      <c r="K17" s="57"/>
      <c r="L17" s="156" t="s">
        <v>384</v>
      </c>
      <c r="M17" s="52" t="s">
        <v>440</v>
      </c>
      <c r="N17" s="40">
        <f t="shared" si="5"/>
        <v>350</v>
      </c>
      <c r="O17" s="53">
        <f>VLOOKUP(B17,DRAYAGE!$A$1:$C$107,3,FALSE)</f>
        <v>1310</v>
      </c>
      <c r="P17" s="40" t="s">
        <v>347</v>
      </c>
      <c r="Q17" s="40" t="s">
        <v>445</v>
      </c>
      <c r="S17" s="101">
        <f>0.9*T17</f>
        <v>1530</v>
      </c>
      <c r="T17" s="54">
        <f>1450+100+150</f>
        <v>1700</v>
      </c>
      <c r="U17" s="103">
        <f>T17</f>
        <v>1700</v>
      </c>
      <c r="V17" s="104">
        <f>U17*1.266</f>
        <v>2152.1999999999998</v>
      </c>
      <c r="X17" s="40">
        <v>0</v>
      </c>
    </row>
    <row r="18" spans="1:29" s="40" customFormat="1" ht="18.75" x14ac:dyDescent="0.25">
      <c r="A18" s="133" t="s">
        <v>366</v>
      </c>
      <c r="B18" s="51" t="s">
        <v>338</v>
      </c>
      <c r="C18" s="94" t="s">
        <v>54</v>
      </c>
      <c r="D18" s="95" t="s">
        <v>383</v>
      </c>
      <c r="E18" s="95" t="s">
        <v>127</v>
      </c>
      <c r="F18" s="97" t="s">
        <v>422</v>
      </c>
      <c r="G18" s="98">
        <f t="shared" si="1"/>
        <v>3280</v>
      </c>
      <c r="H18" s="99">
        <f t="shared" si="2"/>
        <v>3460</v>
      </c>
      <c r="I18" s="99">
        <f t="shared" si="3"/>
        <v>3460</v>
      </c>
      <c r="J18" s="99">
        <f t="shared" si="4"/>
        <v>3940</v>
      </c>
      <c r="K18" s="57"/>
      <c r="L18" s="156" t="s">
        <v>384</v>
      </c>
      <c r="M18" s="52" t="s">
        <v>440</v>
      </c>
      <c r="N18" s="40">
        <f t="shared" si="5"/>
        <v>350</v>
      </c>
      <c r="O18" s="53">
        <f>VLOOKUP(B18,DRAYAGE!$A$1:$C$107,3,FALSE)</f>
        <v>1310</v>
      </c>
      <c r="P18" s="40" t="s">
        <v>347</v>
      </c>
      <c r="Q18" s="40" t="s">
        <v>446</v>
      </c>
      <c r="S18" s="101">
        <f>0.9*T18</f>
        <v>1620</v>
      </c>
      <c r="T18" s="54">
        <f>1450+250+100</f>
        <v>1800</v>
      </c>
      <c r="U18" s="103">
        <f>T18</f>
        <v>1800</v>
      </c>
      <c r="V18" s="104">
        <f>U18*1.266</f>
        <v>2278.8000000000002</v>
      </c>
      <c r="X18" s="40">
        <v>0</v>
      </c>
    </row>
    <row r="19" spans="1:29" s="40" customFormat="1" ht="18.75" x14ac:dyDescent="0.25">
      <c r="A19" s="133" t="s">
        <v>59</v>
      </c>
      <c r="B19" s="51" t="s">
        <v>338</v>
      </c>
      <c r="C19" s="94" t="s">
        <v>54</v>
      </c>
      <c r="D19" s="95" t="s">
        <v>383</v>
      </c>
      <c r="E19" s="95" t="s">
        <v>127</v>
      </c>
      <c r="F19" s="97" t="s">
        <v>422</v>
      </c>
      <c r="G19" s="98">
        <f t="shared" si="1"/>
        <v>3010</v>
      </c>
      <c r="H19" s="99">
        <f t="shared" si="2"/>
        <v>3160</v>
      </c>
      <c r="I19" s="99">
        <f t="shared" si="3"/>
        <v>3160</v>
      </c>
      <c r="J19" s="99">
        <f t="shared" si="4"/>
        <v>3560</v>
      </c>
      <c r="K19" s="57"/>
      <c r="L19" s="156" t="s">
        <v>384</v>
      </c>
      <c r="M19" s="52" t="s">
        <v>440</v>
      </c>
      <c r="N19" s="40">
        <f t="shared" si="5"/>
        <v>350</v>
      </c>
      <c r="O19" s="53">
        <f>VLOOKUP(B19,DRAYAGE!$A$1:$C$107,3,FALSE)</f>
        <v>1310</v>
      </c>
      <c r="P19" s="40" t="s">
        <v>347</v>
      </c>
      <c r="Q19" s="40" t="s">
        <v>447</v>
      </c>
      <c r="S19" s="101">
        <f t="shared" si="0"/>
        <v>1350</v>
      </c>
      <c r="T19" s="54">
        <f>T13</f>
        <v>1500</v>
      </c>
      <c r="U19" s="103">
        <f t="shared" si="6"/>
        <v>1500</v>
      </c>
      <c r="V19" s="104">
        <f t="shared" si="7"/>
        <v>1899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383</v>
      </c>
      <c r="E20" s="95" t="s">
        <v>127</v>
      </c>
      <c r="F20" s="97" t="s">
        <v>422</v>
      </c>
      <c r="G20" s="98">
        <f t="shared" si="1"/>
        <v>3010</v>
      </c>
      <c r="H20" s="99">
        <f t="shared" si="2"/>
        <v>3160</v>
      </c>
      <c r="I20" s="99">
        <f t="shared" si="3"/>
        <v>3160</v>
      </c>
      <c r="J20" s="99">
        <f t="shared" si="4"/>
        <v>3560</v>
      </c>
      <c r="K20" s="57"/>
      <c r="L20" s="156" t="s">
        <v>384</v>
      </c>
      <c r="M20" s="52" t="s">
        <v>440</v>
      </c>
      <c r="N20" s="40">
        <f t="shared" si="5"/>
        <v>350</v>
      </c>
      <c r="O20" s="53">
        <f>VLOOKUP(B20,DRAYAGE!$A$1:$C$107,3,FALSE)</f>
        <v>1310</v>
      </c>
      <c r="P20" s="40" t="s">
        <v>347</v>
      </c>
      <c r="Q20" s="40" t="s">
        <v>448</v>
      </c>
      <c r="S20" s="101">
        <f t="shared" si="0"/>
        <v>1350</v>
      </c>
      <c r="T20" s="54">
        <f>T13</f>
        <v>1500</v>
      </c>
      <c r="U20" s="103">
        <f t="shared" si="6"/>
        <v>1500</v>
      </c>
      <c r="V20" s="104">
        <f>U20*1.266</f>
        <v>1899</v>
      </c>
      <c r="X20" s="40">
        <v>0</v>
      </c>
    </row>
    <row r="21" spans="1:29" s="40" customFormat="1" ht="18.75" x14ac:dyDescent="0.25">
      <c r="A21" s="133" t="s">
        <v>376</v>
      </c>
      <c r="B21" s="51" t="s">
        <v>338</v>
      </c>
      <c r="C21" s="94" t="s">
        <v>54</v>
      </c>
      <c r="D21" s="95" t="s">
        <v>383</v>
      </c>
      <c r="E21" s="95" t="s">
        <v>127</v>
      </c>
      <c r="F21" s="97" t="s">
        <v>422</v>
      </c>
      <c r="G21" s="98">
        <f t="shared" si="1"/>
        <v>3010</v>
      </c>
      <c r="H21" s="99">
        <f t="shared" si="2"/>
        <v>3160</v>
      </c>
      <c r="I21" s="99">
        <f t="shared" si="3"/>
        <v>3160</v>
      </c>
      <c r="J21" s="99">
        <f t="shared" si="4"/>
        <v>3560</v>
      </c>
      <c r="K21" s="57"/>
      <c r="L21" s="156" t="s">
        <v>384</v>
      </c>
      <c r="M21" s="52" t="s">
        <v>440</v>
      </c>
      <c r="N21" s="40">
        <f t="shared" si="5"/>
        <v>350</v>
      </c>
      <c r="O21" s="53">
        <f>VLOOKUP(B21,DRAYAGE!$A$1:$C$107,3,FALSE)</f>
        <v>1310</v>
      </c>
      <c r="P21" s="40" t="s">
        <v>347</v>
      </c>
      <c r="Q21" s="40" t="s">
        <v>449</v>
      </c>
      <c r="S21" s="101">
        <f t="shared" si="0"/>
        <v>1350</v>
      </c>
      <c r="T21" s="54">
        <f>T13</f>
        <v>1500</v>
      </c>
      <c r="U21" s="103">
        <f t="shared" si="6"/>
        <v>1500</v>
      </c>
      <c r="V21" s="104">
        <f t="shared" ref="V21:V28" si="8">U21*1.266</f>
        <v>1899</v>
      </c>
      <c r="X21" s="40">
        <v>0</v>
      </c>
    </row>
    <row r="22" spans="1:29" s="40" customFormat="1" ht="18.75" x14ac:dyDescent="0.25">
      <c r="A22" s="133" t="s">
        <v>108</v>
      </c>
      <c r="B22" s="51" t="s">
        <v>338</v>
      </c>
      <c r="C22" s="94" t="s">
        <v>54</v>
      </c>
      <c r="D22" s="95" t="s">
        <v>383</v>
      </c>
      <c r="E22" s="95" t="s">
        <v>127</v>
      </c>
      <c r="F22" s="97" t="s">
        <v>422</v>
      </c>
      <c r="G22" s="98">
        <f t="shared" si="1"/>
        <v>3010</v>
      </c>
      <c r="H22" s="99">
        <f t="shared" si="2"/>
        <v>3160</v>
      </c>
      <c r="I22" s="99">
        <f t="shared" si="3"/>
        <v>3160</v>
      </c>
      <c r="J22" s="99">
        <f t="shared" si="4"/>
        <v>3560</v>
      </c>
      <c r="K22" s="57"/>
      <c r="L22" s="156" t="s">
        <v>384</v>
      </c>
      <c r="M22" s="52" t="s">
        <v>440</v>
      </c>
      <c r="N22" s="40">
        <f t="shared" si="5"/>
        <v>350</v>
      </c>
      <c r="O22" s="53">
        <f>VLOOKUP(B22,DRAYAGE!$A$1:$C$107,3,FALSE)</f>
        <v>1310</v>
      </c>
      <c r="P22" s="40" t="s">
        <v>347</v>
      </c>
      <c r="Q22" s="40" t="s">
        <v>450</v>
      </c>
      <c r="S22" s="101">
        <f t="shared" si="0"/>
        <v>1350</v>
      </c>
      <c r="T22" s="54">
        <f>T16</f>
        <v>1500</v>
      </c>
      <c r="U22" s="103">
        <f t="shared" si="6"/>
        <v>1500</v>
      </c>
      <c r="V22" s="104">
        <f t="shared" si="8"/>
        <v>1899</v>
      </c>
      <c r="X22" s="40">
        <v>0</v>
      </c>
    </row>
    <row r="23" spans="1:29" s="40" customFormat="1" ht="18.75" x14ac:dyDescent="0.25">
      <c r="A23" s="133" t="s">
        <v>62</v>
      </c>
      <c r="B23" s="51" t="s">
        <v>338</v>
      </c>
      <c r="C23" s="94" t="s">
        <v>54</v>
      </c>
      <c r="D23" s="95" t="s">
        <v>383</v>
      </c>
      <c r="E23" s="95" t="s">
        <v>127</v>
      </c>
      <c r="F23" s="97" t="s">
        <v>422</v>
      </c>
      <c r="G23" s="98">
        <f t="shared" si="1"/>
        <v>3010</v>
      </c>
      <c r="H23" s="99">
        <f t="shared" si="2"/>
        <v>3160</v>
      </c>
      <c r="I23" s="99">
        <f t="shared" si="3"/>
        <v>3160</v>
      </c>
      <c r="J23" s="99">
        <f t="shared" si="4"/>
        <v>3560</v>
      </c>
      <c r="K23" s="57"/>
      <c r="L23" s="156" t="s">
        <v>384</v>
      </c>
      <c r="M23" s="52" t="s">
        <v>440</v>
      </c>
      <c r="N23" s="40">
        <f t="shared" si="5"/>
        <v>350</v>
      </c>
      <c r="O23" s="53">
        <f>VLOOKUP(B23,DRAYAGE!$A$1:$C$107,3,FALSE)</f>
        <v>1310</v>
      </c>
      <c r="P23" s="40" t="s">
        <v>347</v>
      </c>
      <c r="Q23" s="40" t="s">
        <v>451</v>
      </c>
      <c r="S23" s="101">
        <f t="shared" si="0"/>
        <v>1350</v>
      </c>
      <c r="T23" s="54">
        <f>T16</f>
        <v>1500</v>
      </c>
      <c r="U23" s="103">
        <f t="shared" si="6"/>
        <v>1500</v>
      </c>
      <c r="V23" s="104">
        <f t="shared" si="8"/>
        <v>1899</v>
      </c>
      <c r="X23" s="40">
        <v>0</v>
      </c>
      <c r="Y23" s="40">
        <f>0.9*Z23</f>
        <v>0</v>
      </c>
      <c r="AA23" s="40">
        <f>Z23</f>
        <v>0</v>
      </c>
      <c r="AB23" s="40">
        <f>Z23*1.266</f>
        <v>0</v>
      </c>
    </row>
    <row r="24" spans="1:29" s="40" customFormat="1" ht="18.75" x14ac:dyDescent="0.25">
      <c r="A24" s="133" t="s">
        <v>66</v>
      </c>
      <c r="B24" s="51" t="s">
        <v>338</v>
      </c>
      <c r="C24" s="94" t="s">
        <v>54</v>
      </c>
      <c r="D24" s="95" t="s">
        <v>383</v>
      </c>
      <c r="E24" s="95" t="s">
        <v>127</v>
      </c>
      <c r="F24" s="97" t="s">
        <v>422</v>
      </c>
      <c r="G24" s="98">
        <f t="shared" si="1"/>
        <v>3240</v>
      </c>
      <c r="H24" s="99">
        <f t="shared" si="2"/>
        <v>3410</v>
      </c>
      <c r="I24" s="99">
        <f t="shared" si="3"/>
        <v>3410</v>
      </c>
      <c r="J24" s="99">
        <f t="shared" si="4"/>
        <v>3880</v>
      </c>
      <c r="K24" s="57"/>
      <c r="L24" s="156" t="s">
        <v>384</v>
      </c>
      <c r="M24" s="52" t="s">
        <v>440</v>
      </c>
      <c r="N24" s="40">
        <f t="shared" si="5"/>
        <v>350</v>
      </c>
      <c r="O24" s="53">
        <f>VLOOKUP(B24,DRAYAGE!$A$1:$C$107,3,FALSE)</f>
        <v>1310</v>
      </c>
      <c r="P24" s="40" t="s">
        <v>347</v>
      </c>
      <c r="Q24" s="40" t="s">
        <v>452</v>
      </c>
      <c r="S24" s="101">
        <f t="shared" si="0"/>
        <v>1575</v>
      </c>
      <c r="T24" s="54">
        <f>1500+250</f>
        <v>1750</v>
      </c>
      <c r="U24" s="103">
        <f t="shared" si="6"/>
        <v>1750</v>
      </c>
      <c r="V24" s="104">
        <f t="shared" si="8"/>
        <v>2215.5</v>
      </c>
      <c r="X24" s="40">
        <v>0</v>
      </c>
    </row>
    <row r="25" spans="1:29" s="40" customFormat="1" ht="18.75" x14ac:dyDescent="0.25">
      <c r="A25" s="133" t="s">
        <v>65</v>
      </c>
      <c r="B25" s="51" t="s">
        <v>338</v>
      </c>
      <c r="C25" s="94" t="s">
        <v>54</v>
      </c>
      <c r="D25" s="95" t="s">
        <v>383</v>
      </c>
      <c r="E25" s="95" t="s">
        <v>127</v>
      </c>
      <c r="F25" s="97" t="s">
        <v>422</v>
      </c>
      <c r="G25" s="98">
        <f t="shared" si="1"/>
        <v>3240</v>
      </c>
      <c r="H25" s="99">
        <f t="shared" si="2"/>
        <v>3410</v>
      </c>
      <c r="I25" s="99">
        <f t="shared" si="3"/>
        <v>3410</v>
      </c>
      <c r="J25" s="99">
        <f t="shared" si="4"/>
        <v>3880</v>
      </c>
      <c r="K25" s="57"/>
      <c r="L25" s="156" t="s">
        <v>384</v>
      </c>
      <c r="M25" s="52" t="s">
        <v>440</v>
      </c>
      <c r="N25" s="40">
        <f t="shared" si="5"/>
        <v>350</v>
      </c>
      <c r="O25" s="53">
        <f>VLOOKUP(B25,DRAYAGE!$A$1:$C$107,3,FALSE)</f>
        <v>1310</v>
      </c>
      <c r="P25" s="40" t="s">
        <v>347</v>
      </c>
      <c r="Q25" s="40" t="s">
        <v>453</v>
      </c>
      <c r="S25" s="101">
        <f t="shared" si="0"/>
        <v>1575</v>
      </c>
      <c r="T25" s="54">
        <f>T20+250</f>
        <v>1750</v>
      </c>
      <c r="U25" s="103">
        <f t="shared" si="6"/>
        <v>1750</v>
      </c>
      <c r="V25" s="104">
        <f t="shared" si="8"/>
        <v>2215.5</v>
      </c>
      <c r="X25" s="40">
        <v>0</v>
      </c>
      <c r="Y25" s="40">
        <f>0.9*Z25</f>
        <v>0</v>
      </c>
      <c r="AA25" s="40">
        <f>Z25</f>
        <v>0</v>
      </c>
      <c r="AB25" s="40">
        <f>Z25*1.266</f>
        <v>0</v>
      </c>
    </row>
    <row r="26" spans="1:29" s="40" customFormat="1" ht="18.75" x14ac:dyDescent="0.25">
      <c r="A26" s="133" t="s">
        <v>63</v>
      </c>
      <c r="B26" s="51" t="s">
        <v>338</v>
      </c>
      <c r="C26" s="94" t="s">
        <v>54</v>
      </c>
      <c r="D26" s="95" t="s">
        <v>383</v>
      </c>
      <c r="E26" s="95" t="s">
        <v>127</v>
      </c>
      <c r="F26" s="97" t="s">
        <v>422</v>
      </c>
      <c r="G26" s="98">
        <f t="shared" si="1"/>
        <v>3190</v>
      </c>
      <c r="H26" s="99">
        <f t="shared" si="2"/>
        <v>3360</v>
      </c>
      <c r="I26" s="99">
        <f t="shared" si="3"/>
        <v>3360</v>
      </c>
      <c r="J26" s="99">
        <f t="shared" si="4"/>
        <v>3820</v>
      </c>
      <c r="K26" s="57"/>
      <c r="L26" s="156" t="s">
        <v>384</v>
      </c>
      <c r="M26" s="52" t="s">
        <v>440</v>
      </c>
      <c r="N26" s="40">
        <f t="shared" si="5"/>
        <v>350</v>
      </c>
      <c r="O26" s="53">
        <f>VLOOKUP(B26,DRAYAGE!$A$1:$C$107,3,FALSE)</f>
        <v>1310</v>
      </c>
      <c r="P26" s="40" t="s">
        <v>347</v>
      </c>
      <c r="Q26" s="40" t="s">
        <v>454</v>
      </c>
      <c r="S26" s="101">
        <f t="shared" si="0"/>
        <v>1530</v>
      </c>
      <c r="T26" s="54">
        <f>T20+200</f>
        <v>1700</v>
      </c>
      <c r="U26" s="103">
        <f t="shared" si="6"/>
        <v>1700</v>
      </c>
      <c r="V26" s="104">
        <f t="shared" si="8"/>
        <v>2152.1999999999998</v>
      </c>
      <c r="X26" s="40">
        <v>0</v>
      </c>
      <c r="Y26" s="40">
        <f>0.9*Z26</f>
        <v>0</v>
      </c>
      <c r="AA26" s="40">
        <f>Z26</f>
        <v>0</v>
      </c>
      <c r="AB26" s="40">
        <f>Z26*1.266</f>
        <v>0</v>
      </c>
    </row>
    <row r="27" spans="1:29" s="45" customFormat="1" ht="18.75" x14ac:dyDescent="0.25">
      <c r="A27" s="133" t="s">
        <v>275</v>
      </c>
      <c r="B27" s="51" t="s">
        <v>338</v>
      </c>
      <c r="C27" s="106" t="s">
        <v>54</v>
      </c>
      <c r="D27" s="95" t="s">
        <v>383</v>
      </c>
      <c r="E27" s="95" t="s">
        <v>127</v>
      </c>
      <c r="F27" s="97" t="s">
        <v>422</v>
      </c>
      <c r="G27" s="98">
        <f t="shared" si="1"/>
        <v>3190</v>
      </c>
      <c r="H27" s="99">
        <f t="shared" si="2"/>
        <v>3360</v>
      </c>
      <c r="I27" s="99">
        <f t="shared" si="3"/>
        <v>3360</v>
      </c>
      <c r="J27" s="99">
        <f t="shared" si="4"/>
        <v>3820</v>
      </c>
      <c r="K27" s="111"/>
      <c r="L27" s="156" t="s">
        <v>384</v>
      </c>
      <c r="M27" s="52" t="s">
        <v>440</v>
      </c>
      <c r="N27" s="40">
        <f t="shared" si="5"/>
        <v>350</v>
      </c>
      <c r="O27" s="53">
        <f>VLOOKUP(B27,DRAYAGE!$A$1:$C$107,3,FALSE)</f>
        <v>1310</v>
      </c>
      <c r="P27" s="40" t="s">
        <v>347</v>
      </c>
      <c r="Q27" s="40" t="s">
        <v>455</v>
      </c>
      <c r="R27" s="105"/>
      <c r="S27" s="113">
        <f t="shared" si="0"/>
        <v>1530</v>
      </c>
      <c r="T27" s="54">
        <f>T20+200</f>
        <v>1700</v>
      </c>
      <c r="U27" s="103">
        <f t="shared" si="6"/>
        <v>1700</v>
      </c>
      <c r="V27" s="114">
        <f t="shared" si="8"/>
        <v>2152.1999999999998</v>
      </c>
      <c r="X27" s="45">
        <v>0</v>
      </c>
      <c r="Y27" s="40">
        <f>0.9*Z27</f>
        <v>0</v>
      </c>
      <c r="AA27" s="40">
        <f>Z27</f>
        <v>0</v>
      </c>
      <c r="AB27" s="40">
        <f>Z27*1.266</f>
        <v>0</v>
      </c>
    </row>
    <row r="28" spans="1:29" s="45" customFormat="1" ht="18.75" x14ac:dyDescent="0.25">
      <c r="A28" s="133" t="s">
        <v>437</v>
      </c>
      <c r="B28" s="51" t="s">
        <v>338</v>
      </c>
      <c r="C28" s="106" t="s">
        <v>54</v>
      </c>
      <c r="D28" s="95" t="s">
        <v>383</v>
      </c>
      <c r="E28" s="95" t="s">
        <v>127</v>
      </c>
      <c r="F28" s="97" t="s">
        <v>422</v>
      </c>
      <c r="G28" s="98">
        <f t="shared" si="1"/>
        <v>3100</v>
      </c>
      <c r="H28" s="99">
        <f t="shared" si="2"/>
        <v>3260</v>
      </c>
      <c r="I28" s="99">
        <f t="shared" si="3"/>
        <v>3260</v>
      </c>
      <c r="J28" s="99">
        <f t="shared" si="4"/>
        <v>3690</v>
      </c>
      <c r="K28" s="111"/>
      <c r="L28" s="156" t="s">
        <v>384</v>
      </c>
      <c r="M28" s="52" t="s">
        <v>440</v>
      </c>
      <c r="N28" s="40">
        <v>350</v>
      </c>
      <c r="O28" s="53">
        <v>1310</v>
      </c>
      <c r="P28" s="40" t="s">
        <v>347</v>
      </c>
      <c r="Q28" s="40" t="s">
        <v>456</v>
      </c>
      <c r="R28" s="113">
        <v>1620</v>
      </c>
      <c r="S28" s="113">
        <f t="shared" si="0"/>
        <v>1440</v>
      </c>
      <c r="T28" s="54">
        <f>1400+100+100</f>
        <v>1600</v>
      </c>
      <c r="U28" s="103">
        <f t="shared" si="6"/>
        <v>1600</v>
      </c>
      <c r="V28" s="114">
        <f t="shared" si="8"/>
        <v>2025.6</v>
      </c>
      <c r="W28" s="45">
        <v>0</v>
      </c>
      <c r="X28" s="40">
        <v>0</v>
      </c>
      <c r="Z28" s="40">
        <v>0</v>
      </c>
      <c r="AA28" s="40">
        <v>0</v>
      </c>
    </row>
    <row r="29" spans="1:29" s="40" customFormat="1" ht="14.45" customHeight="1" x14ac:dyDescent="0.25">
      <c r="A29" s="134" t="s">
        <v>333</v>
      </c>
      <c r="B29" s="88"/>
      <c r="C29" s="88"/>
      <c r="D29" s="88"/>
      <c r="E29" s="210"/>
      <c r="F29" s="211"/>
      <c r="G29" s="88"/>
      <c r="H29" s="88"/>
      <c r="I29" s="88"/>
      <c r="J29" s="88"/>
      <c r="K29" s="57"/>
      <c r="L29" s="89" t="s">
        <v>48</v>
      </c>
      <c r="M29" s="89" t="s">
        <v>261</v>
      </c>
      <c r="N29" s="90" t="s">
        <v>51</v>
      </c>
      <c r="O29" s="91" t="s">
        <v>50</v>
      </c>
      <c r="P29" s="91" t="s">
        <v>262</v>
      </c>
      <c r="Q29" s="91" t="s">
        <v>263</v>
      </c>
      <c r="R29" s="91" t="s">
        <v>264</v>
      </c>
      <c r="S29" s="92" t="s">
        <v>52</v>
      </c>
      <c r="T29" s="92" t="s">
        <v>53</v>
      </c>
      <c r="U29" s="92" t="s">
        <v>265</v>
      </c>
      <c r="V29" s="92" t="s">
        <v>266</v>
      </c>
      <c r="W29" s="92" t="s">
        <v>267</v>
      </c>
      <c r="X29" s="92" t="s">
        <v>268</v>
      </c>
      <c r="Y29" s="92" t="s">
        <v>52</v>
      </c>
      <c r="Z29" s="92" t="s">
        <v>53</v>
      </c>
      <c r="AA29" s="92" t="s">
        <v>265</v>
      </c>
      <c r="AB29" s="92" t="s">
        <v>266</v>
      </c>
      <c r="AC29" s="93" t="s">
        <v>269</v>
      </c>
    </row>
    <row r="30" spans="1:29" s="40" customFormat="1" ht="14.45" customHeight="1" x14ac:dyDescent="0.25">
      <c r="A30" s="133" t="s">
        <v>58</v>
      </c>
      <c r="B30" s="51" t="s">
        <v>339</v>
      </c>
      <c r="C30" s="94" t="s">
        <v>54</v>
      </c>
      <c r="D30" s="95" t="s">
        <v>383</v>
      </c>
      <c r="E30" s="96" t="s">
        <v>114</v>
      </c>
      <c r="F30" s="97" t="s">
        <v>270</v>
      </c>
      <c r="G30" s="98">
        <f>CEILING(S30+W30+X30+O30+N30+Y30,10)</f>
        <v>6450</v>
      </c>
      <c r="H30" s="99">
        <f>CEILING(T30+W30+X30+O30+N30+Z30,10)</f>
        <v>6870</v>
      </c>
      <c r="I30" s="99">
        <f>CEILING(U30+W30+X30+O30+N30+AA30,10)</f>
        <v>6870</v>
      </c>
      <c r="J30" s="99">
        <f>CEILING(V30+W30+X30+O30+N30+AB30,10)</f>
        <v>7990</v>
      </c>
      <c r="K30" s="57"/>
      <c r="L30" s="156" t="s">
        <v>384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Q30" s="40" t="s">
        <v>442</v>
      </c>
      <c r="S30" s="101">
        <f>0.9*T30</f>
        <v>3780</v>
      </c>
      <c r="T30" s="54">
        <f>3700+300+200</f>
        <v>4200</v>
      </c>
      <c r="U30" s="103">
        <f t="shared" si="6"/>
        <v>4200</v>
      </c>
      <c r="V30" s="104">
        <f>U30*1.266</f>
        <v>5317.2</v>
      </c>
    </row>
    <row r="31" spans="1:29" s="40" customFormat="1" ht="14.45" customHeight="1" x14ac:dyDescent="0.25">
      <c r="A31" s="133" t="s">
        <v>55</v>
      </c>
      <c r="B31" s="51" t="s">
        <v>339</v>
      </c>
      <c r="C31" s="94" t="s">
        <v>54</v>
      </c>
      <c r="D31" s="95" t="s">
        <v>383</v>
      </c>
      <c r="E31" s="96" t="s">
        <v>114</v>
      </c>
      <c r="F31" s="97" t="s">
        <v>270</v>
      </c>
      <c r="G31" s="98">
        <f>CEILING(S31+W31+X31+O31+N31+Y31,10)</f>
        <v>6180</v>
      </c>
      <c r="H31" s="99">
        <f>CEILING(T31+W31+X31+O31+N31+Z31,10)</f>
        <v>6570</v>
      </c>
      <c r="I31" s="99">
        <f>CEILING(U31+W31+X31+O31+N31+AA31,10)</f>
        <v>6570</v>
      </c>
      <c r="J31" s="99">
        <f>CEILING(V31+W31+X31+O31+N31+AB31,10)</f>
        <v>7610</v>
      </c>
      <c r="K31" s="57"/>
      <c r="L31" s="156" t="s">
        <v>384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Q31" s="40" t="s">
        <v>443</v>
      </c>
      <c r="S31" s="101">
        <f>0.9*T31</f>
        <v>3510</v>
      </c>
      <c r="T31" s="54">
        <f>3700+200</f>
        <v>3900</v>
      </c>
      <c r="U31" s="103">
        <f t="shared" si="6"/>
        <v>3900</v>
      </c>
      <c r="V31" s="104">
        <f>U31*1.266</f>
        <v>4937.3999999999996</v>
      </c>
    </row>
    <row r="32" spans="1:29" s="40" customFormat="1" ht="14.45" customHeight="1" x14ac:dyDescent="0.25">
      <c r="A32" s="133" t="s">
        <v>61</v>
      </c>
      <c r="B32" s="51" t="s">
        <v>339</v>
      </c>
      <c r="C32" s="94" t="s">
        <v>54</v>
      </c>
      <c r="D32" s="95" t="s">
        <v>383</v>
      </c>
      <c r="E32" s="96" t="s">
        <v>114</v>
      </c>
      <c r="F32" s="97" t="s">
        <v>270</v>
      </c>
      <c r="G32" s="98">
        <f>CEILING(S32+W32+X32+O32+N32+Y32,10)</f>
        <v>6180</v>
      </c>
      <c r="H32" s="99">
        <f>CEILING(T32+W32+X32+O32+N32+Z32,10)</f>
        <v>6570</v>
      </c>
      <c r="I32" s="99">
        <f>CEILING(U32+W32+X32+O32+N32+AA32,10)</f>
        <v>6570</v>
      </c>
      <c r="J32" s="99">
        <f>CEILING(V32+W32+X32+O32+N32+AB32,10)</f>
        <v>7610</v>
      </c>
      <c r="K32" s="57"/>
      <c r="L32" s="156" t="s">
        <v>384</v>
      </c>
      <c r="M32" s="52" t="s">
        <v>293</v>
      </c>
      <c r="N32" s="40">
        <v>0</v>
      </c>
      <c r="O32" s="53">
        <f>VLOOKUP(B32,DRAYAGE!$A$1:$C$107,3,FALSE)</f>
        <v>2665</v>
      </c>
      <c r="P32" s="40" t="s">
        <v>299</v>
      </c>
      <c r="Q32" s="40" t="s">
        <v>444</v>
      </c>
      <c r="S32" s="101">
        <f>0.9*T32</f>
        <v>3510</v>
      </c>
      <c r="T32" s="54">
        <f>T31</f>
        <v>3900</v>
      </c>
      <c r="U32" s="103">
        <f t="shared" si="6"/>
        <v>3900</v>
      </c>
      <c r="V32" s="104">
        <f>U32*1.266</f>
        <v>4937.3999999999996</v>
      </c>
    </row>
    <row r="33" spans="1:29" s="40" customFormat="1" ht="14.45" customHeight="1" x14ac:dyDescent="0.25">
      <c r="A33" s="134" t="s">
        <v>334</v>
      </c>
      <c r="B33" s="88"/>
      <c r="C33" s="88"/>
      <c r="D33" s="88"/>
      <c r="E33" s="210"/>
      <c r="F33" s="211"/>
      <c r="G33" s="88"/>
      <c r="H33" s="88"/>
      <c r="I33" s="88"/>
      <c r="J33" s="88"/>
      <c r="K33" s="57"/>
      <c r="L33" s="89" t="s">
        <v>48</v>
      </c>
      <c r="M33" s="89" t="s">
        <v>261</v>
      </c>
      <c r="N33" s="90" t="s">
        <v>51</v>
      </c>
      <c r="O33" s="91" t="s">
        <v>50</v>
      </c>
      <c r="P33" s="91" t="s">
        <v>262</v>
      </c>
      <c r="Q33" s="91" t="s">
        <v>263</v>
      </c>
      <c r="R33" s="91" t="s">
        <v>264</v>
      </c>
      <c r="S33" s="92" t="s">
        <v>52</v>
      </c>
      <c r="T33" s="92" t="s">
        <v>53</v>
      </c>
      <c r="U33" s="92" t="s">
        <v>265</v>
      </c>
      <c r="V33" s="92" t="s">
        <v>266</v>
      </c>
      <c r="W33" s="92" t="s">
        <v>267</v>
      </c>
      <c r="X33" s="92" t="s">
        <v>268</v>
      </c>
      <c r="Y33" s="92" t="s">
        <v>52</v>
      </c>
      <c r="Z33" s="92" t="s">
        <v>53</v>
      </c>
      <c r="AA33" s="92" t="s">
        <v>265</v>
      </c>
      <c r="AB33" s="92" t="s">
        <v>266</v>
      </c>
      <c r="AC33" s="93" t="s">
        <v>269</v>
      </c>
    </row>
    <row r="34" spans="1:29" s="40" customFormat="1" ht="14.45" customHeight="1" x14ac:dyDescent="0.25">
      <c r="A34" s="133" t="s">
        <v>58</v>
      </c>
      <c r="B34" s="51" t="s">
        <v>341</v>
      </c>
      <c r="C34" s="94" t="s">
        <v>54</v>
      </c>
      <c r="D34" s="95" t="s">
        <v>383</v>
      </c>
      <c r="E34" s="96" t="s">
        <v>114</v>
      </c>
      <c r="F34" s="97" t="s">
        <v>270</v>
      </c>
      <c r="G34" s="98">
        <f>CEILING(S34+W34+X34+O34+N34+Y34,10)</f>
        <v>5470</v>
      </c>
      <c r="H34" s="99">
        <f>CEILING(T34+W34+X34+O34+N34+Z34,10)</f>
        <v>5890</v>
      </c>
      <c r="I34" s="99">
        <f>CEILING(U34+W34+X34+O34+N34+AA34,10)</f>
        <v>5890</v>
      </c>
      <c r="J34" s="99">
        <f>CEILING(V34+W34+X34+O34+N34+AB34,10)</f>
        <v>7010</v>
      </c>
      <c r="K34" s="57"/>
      <c r="L34" s="156" t="s">
        <v>384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Q34" s="40" t="s">
        <v>457</v>
      </c>
      <c r="S34" s="101">
        <f>0.9*T34</f>
        <v>3780</v>
      </c>
      <c r="T34" s="54">
        <f>T30</f>
        <v>4200</v>
      </c>
      <c r="U34" s="103">
        <f t="shared" si="6"/>
        <v>4200</v>
      </c>
      <c r="V34" s="104">
        <f>U34*1.266</f>
        <v>5317.2</v>
      </c>
      <c r="X34" s="40">
        <v>0</v>
      </c>
    </row>
    <row r="35" spans="1:29" s="40" customFormat="1" ht="14.45" customHeight="1" x14ac:dyDescent="0.25">
      <c r="A35" s="133" t="s">
        <v>55</v>
      </c>
      <c r="B35" s="51" t="s">
        <v>341</v>
      </c>
      <c r="C35" s="94" t="s">
        <v>54</v>
      </c>
      <c r="D35" s="95" t="s">
        <v>383</v>
      </c>
      <c r="E35" s="96" t="s">
        <v>114</v>
      </c>
      <c r="F35" s="97" t="s">
        <v>270</v>
      </c>
      <c r="G35" s="98">
        <f>CEILING(S35+W35+X35+O35+N35+Y35,10)</f>
        <v>5200</v>
      </c>
      <c r="H35" s="99">
        <f>CEILING(T35+W35+X35+O35+N35+Z35,10)</f>
        <v>5590</v>
      </c>
      <c r="I35" s="99">
        <f>CEILING(U35+W35+X35+O35+N35+AA35,10)</f>
        <v>5590</v>
      </c>
      <c r="J35" s="99">
        <f>CEILING(V35+W35+X35+O35+N35+AB35,10)</f>
        <v>6630</v>
      </c>
      <c r="K35" s="57"/>
      <c r="L35" s="156" t="s">
        <v>384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Q35" s="40" t="s">
        <v>458</v>
      </c>
      <c r="S35" s="101">
        <f>0.9*T35</f>
        <v>3510</v>
      </c>
      <c r="T35" s="54">
        <f>T31</f>
        <v>3900</v>
      </c>
      <c r="U35" s="103">
        <f t="shared" si="6"/>
        <v>3900</v>
      </c>
      <c r="V35" s="104">
        <f>U35*1.266</f>
        <v>4937.3999999999996</v>
      </c>
      <c r="X35" s="40">
        <v>0</v>
      </c>
    </row>
    <row r="36" spans="1:29" s="40" customFormat="1" ht="14.45" customHeight="1" x14ac:dyDescent="0.25">
      <c r="A36" s="133" t="s">
        <v>61</v>
      </c>
      <c r="B36" s="51" t="s">
        <v>341</v>
      </c>
      <c r="C36" s="94" t="s">
        <v>54</v>
      </c>
      <c r="D36" s="95" t="s">
        <v>383</v>
      </c>
      <c r="E36" s="96" t="s">
        <v>114</v>
      </c>
      <c r="F36" s="97" t="s">
        <v>270</v>
      </c>
      <c r="G36" s="98">
        <f>CEILING(S36+W36+X36+O36+N36+Y36,10)</f>
        <v>5200</v>
      </c>
      <c r="H36" s="99">
        <f>CEILING(T36+W36+X36+O36+N36+Z36,10)</f>
        <v>5590</v>
      </c>
      <c r="I36" s="99">
        <f>CEILING(U36+W36+X36+O36+N36+AA36,10)</f>
        <v>5590</v>
      </c>
      <c r="J36" s="99">
        <f>CEILING(V36+W36+X36+O36+N36+AB36,10)</f>
        <v>6630</v>
      </c>
      <c r="K36" s="57"/>
      <c r="L36" s="156" t="s">
        <v>384</v>
      </c>
      <c r="M36" s="52" t="s">
        <v>293</v>
      </c>
      <c r="N36" s="40">
        <v>0</v>
      </c>
      <c r="O36" s="53">
        <f>VLOOKUP(B36,DRAYAGE!$A$1:$C$107,3,FALSE)</f>
        <v>1690</v>
      </c>
      <c r="P36" s="40" t="s">
        <v>299</v>
      </c>
      <c r="Q36" s="40" t="s">
        <v>459</v>
      </c>
      <c r="S36" s="101">
        <f>0.9*T36</f>
        <v>3510</v>
      </c>
      <c r="T36" s="54">
        <f>T32</f>
        <v>3900</v>
      </c>
      <c r="U36" s="103">
        <f t="shared" si="6"/>
        <v>3900</v>
      </c>
      <c r="V36" s="104">
        <f>U36*1.266</f>
        <v>4937.3999999999996</v>
      </c>
      <c r="X36" s="40">
        <v>0</v>
      </c>
    </row>
    <row r="37" spans="1:29" s="40" customFormat="1" ht="14.45" customHeight="1" x14ac:dyDescent="0.25">
      <c r="A37" s="134" t="s">
        <v>335</v>
      </c>
      <c r="B37" s="179" t="s">
        <v>488</v>
      </c>
      <c r="C37" s="88"/>
      <c r="D37" s="88"/>
      <c r="E37" s="210"/>
      <c r="F37" s="211"/>
      <c r="G37" s="88"/>
      <c r="H37" s="88"/>
      <c r="I37" s="88"/>
      <c r="J37" s="88"/>
      <c r="K37" s="57"/>
      <c r="L37" s="89" t="s">
        <v>48</v>
      </c>
      <c r="M37" s="89" t="s">
        <v>261</v>
      </c>
      <c r="N37" s="90" t="s">
        <v>51</v>
      </c>
      <c r="O37" s="91" t="s">
        <v>50</v>
      </c>
      <c r="P37" s="91" t="s">
        <v>262</v>
      </c>
      <c r="Q37" s="91" t="s">
        <v>263</v>
      </c>
      <c r="R37" s="91" t="s">
        <v>264</v>
      </c>
      <c r="S37" s="92" t="s">
        <v>52</v>
      </c>
      <c r="T37" s="92" t="s">
        <v>53</v>
      </c>
      <c r="U37" s="92" t="s">
        <v>265</v>
      </c>
      <c r="V37" s="92" t="s">
        <v>266</v>
      </c>
      <c r="W37" s="92" t="s">
        <v>267</v>
      </c>
      <c r="X37" s="92" t="s">
        <v>268</v>
      </c>
      <c r="Y37" s="92" t="s">
        <v>52</v>
      </c>
      <c r="Z37" s="92" t="s">
        <v>53</v>
      </c>
      <c r="AA37" s="92" t="s">
        <v>265</v>
      </c>
      <c r="AB37" s="92" t="s">
        <v>266</v>
      </c>
      <c r="AC37" s="93" t="s">
        <v>269</v>
      </c>
    </row>
    <row r="38" spans="1:29" s="40" customFormat="1" ht="18.75" x14ac:dyDescent="0.25">
      <c r="A38" s="133" t="s">
        <v>81</v>
      </c>
      <c r="B38" s="51" t="s">
        <v>340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 t="shared" ref="G38:G44" si="9">CEILING(S38+W38+X38+O38+N38+Y38,10)</f>
        <v>5950</v>
      </c>
      <c r="H38" s="99">
        <f t="shared" ref="H38:H44" si="10">CEILING(T38+W38+X38+O38+N38+Z38,10)</f>
        <v>6410</v>
      </c>
      <c r="I38" s="99">
        <f t="shared" ref="I38:I44" si="11">CEILING(U38+W38+X38+O38+N38+AA38,10)</f>
        <v>6410</v>
      </c>
      <c r="J38" s="99">
        <f t="shared" ref="J38:J44" si="12">CEILING(V38+W38+X38+O38+N38+AB38,10)</f>
        <v>7630</v>
      </c>
      <c r="K38" s="57"/>
      <c r="L38" s="156" t="s">
        <v>384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Q38" s="40" t="s">
        <v>441</v>
      </c>
      <c r="S38" s="101">
        <f t="shared" ref="S38:S44" si="13">0.9*T38</f>
        <v>4140</v>
      </c>
      <c r="T38" s="54">
        <f>4400+200</f>
        <v>4600</v>
      </c>
      <c r="U38" s="103">
        <f t="shared" si="6"/>
        <v>4600</v>
      </c>
      <c r="V38" s="104">
        <f t="shared" ref="V38:V44" si="14">U38*1.266</f>
        <v>5823.6</v>
      </c>
      <c r="X38" s="40">
        <v>0</v>
      </c>
    </row>
    <row r="39" spans="1:29" s="40" customFormat="1" ht="27" customHeight="1" x14ac:dyDescent="0.25">
      <c r="A39" s="133" t="s">
        <v>55</v>
      </c>
      <c r="B39" s="51" t="s">
        <v>340</v>
      </c>
      <c r="C39" s="94" t="s">
        <v>54</v>
      </c>
      <c r="D39" s="95" t="s">
        <v>383</v>
      </c>
      <c r="E39" s="96" t="s">
        <v>114</v>
      </c>
      <c r="F39" s="97" t="s">
        <v>270</v>
      </c>
      <c r="G39" s="98">
        <f t="shared" si="9"/>
        <v>5950</v>
      </c>
      <c r="H39" s="99">
        <f t="shared" si="10"/>
        <v>6410</v>
      </c>
      <c r="I39" s="99">
        <f t="shared" si="11"/>
        <v>6410</v>
      </c>
      <c r="J39" s="99">
        <f t="shared" si="12"/>
        <v>7630</v>
      </c>
      <c r="K39" s="57"/>
      <c r="L39" s="156" t="s">
        <v>384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Q39" s="40" t="s">
        <v>441</v>
      </c>
      <c r="S39" s="101">
        <f t="shared" si="13"/>
        <v>4140</v>
      </c>
      <c r="T39" s="54">
        <f>T38</f>
        <v>4600</v>
      </c>
      <c r="U39" s="103">
        <f t="shared" si="6"/>
        <v>4600</v>
      </c>
      <c r="V39" s="104">
        <f t="shared" si="14"/>
        <v>5823.6</v>
      </c>
      <c r="X39" s="40">
        <v>0</v>
      </c>
    </row>
    <row r="40" spans="1:29" s="40" customFormat="1" ht="14.45" customHeight="1" x14ac:dyDescent="0.25">
      <c r="A40" s="133" t="s">
        <v>59</v>
      </c>
      <c r="B40" s="51" t="s">
        <v>340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 t="shared" si="9"/>
        <v>5950</v>
      </c>
      <c r="H40" s="99">
        <f t="shared" si="10"/>
        <v>6410</v>
      </c>
      <c r="I40" s="99">
        <f t="shared" si="11"/>
        <v>6410</v>
      </c>
      <c r="J40" s="99">
        <f t="shared" si="12"/>
        <v>7630</v>
      </c>
      <c r="K40" s="57"/>
      <c r="L40" s="156" t="s">
        <v>384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Q40" s="40" t="s">
        <v>441</v>
      </c>
      <c r="S40" s="101">
        <f t="shared" si="13"/>
        <v>4140</v>
      </c>
      <c r="T40" s="54">
        <f>T38</f>
        <v>4600</v>
      </c>
      <c r="U40" s="103">
        <f t="shared" si="6"/>
        <v>4600</v>
      </c>
      <c r="V40" s="104">
        <f t="shared" si="14"/>
        <v>5823.6</v>
      </c>
      <c r="X40" s="40">
        <v>0</v>
      </c>
    </row>
    <row r="41" spans="1:29" s="40" customFormat="1" ht="18.75" x14ac:dyDescent="0.25">
      <c r="A41" s="133" t="s">
        <v>60</v>
      </c>
      <c r="B41" s="51" t="s">
        <v>340</v>
      </c>
      <c r="C41" s="94" t="s">
        <v>54</v>
      </c>
      <c r="D41" s="95" t="s">
        <v>383</v>
      </c>
      <c r="E41" s="96" t="s">
        <v>114</v>
      </c>
      <c r="F41" s="97" t="s">
        <v>270</v>
      </c>
      <c r="G41" s="98">
        <f t="shared" si="9"/>
        <v>5950</v>
      </c>
      <c r="H41" s="99">
        <f t="shared" si="10"/>
        <v>6410</v>
      </c>
      <c r="I41" s="99">
        <f t="shared" si="11"/>
        <v>6410</v>
      </c>
      <c r="J41" s="99">
        <f t="shared" si="12"/>
        <v>7630</v>
      </c>
      <c r="K41" s="57"/>
      <c r="L41" s="156" t="s">
        <v>384</v>
      </c>
      <c r="M41" s="52" t="s">
        <v>294</v>
      </c>
      <c r="N41" s="40">
        <v>0</v>
      </c>
      <c r="O41" s="53">
        <f>VLOOKUP(B41,DRAYAGE!$A$1:$C$107,3,FALSE)</f>
        <v>1805</v>
      </c>
      <c r="P41" s="40" t="s">
        <v>300</v>
      </c>
      <c r="Q41" s="40" t="s">
        <v>441</v>
      </c>
      <c r="S41" s="101">
        <f t="shared" si="13"/>
        <v>4140</v>
      </c>
      <c r="T41" s="54">
        <f>T40</f>
        <v>4600</v>
      </c>
      <c r="U41" s="103">
        <f t="shared" si="6"/>
        <v>4600</v>
      </c>
      <c r="V41" s="104">
        <f t="shared" si="14"/>
        <v>5823.6</v>
      </c>
      <c r="X41" s="40">
        <v>0</v>
      </c>
    </row>
    <row r="42" spans="1:29" s="45" customFormat="1" ht="14.45" customHeight="1" x14ac:dyDescent="0.25">
      <c r="A42" s="133" t="s">
        <v>61</v>
      </c>
      <c r="B42" s="51" t="s">
        <v>340</v>
      </c>
      <c r="C42" s="106" t="s">
        <v>54</v>
      </c>
      <c r="D42" s="95" t="s">
        <v>383</v>
      </c>
      <c r="E42" s="107" t="s">
        <v>114</v>
      </c>
      <c r="F42" s="108" t="s">
        <v>270</v>
      </c>
      <c r="G42" s="109">
        <f t="shared" si="9"/>
        <v>5950</v>
      </c>
      <c r="H42" s="110">
        <f t="shared" si="10"/>
        <v>6410</v>
      </c>
      <c r="I42" s="110">
        <f t="shared" si="11"/>
        <v>6410</v>
      </c>
      <c r="J42" s="110">
        <f t="shared" si="12"/>
        <v>7630</v>
      </c>
      <c r="K42" s="111"/>
      <c r="L42" s="156" t="s">
        <v>384</v>
      </c>
      <c r="M42" s="52" t="s">
        <v>294</v>
      </c>
      <c r="N42" s="45">
        <v>0</v>
      </c>
      <c r="O42" s="53">
        <f>VLOOKUP(B42,DRAYAGE!$A$1:$C$107,3,FALSE)</f>
        <v>1805</v>
      </c>
      <c r="P42" s="40" t="s">
        <v>300</v>
      </c>
      <c r="Q42" s="40" t="s">
        <v>441</v>
      </c>
      <c r="R42" s="40"/>
      <c r="S42" s="113">
        <f t="shared" si="13"/>
        <v>4140</v>
      </c>
      <c r="T42" s="54">
        <f>T38</f>
        <v>4600</v>
      </c>
      <c r="U42" s="103">
        <f t="shared" si="6"/>
        <v>4600</v>
      </c>
      <c r="V42" s="114">
        <f t="shared" si="14"/>
        <v>5823.6</v>
      </c>
      <c r="X42" s="45">
        <v>0</v>
      </c>
      <c r="Y42" s="40"/>
      <c r="Z42" s="40"/>
      <c r="AA42" s="40"/>
      <c r="AB42" s="40"/>
    </row>
    <row r="43" spans="1:29" s="40" customFormat="1" ht="18.75" x14ac:dyDescent="0.25">
      <c r="A43" s="133" t="s">
        <v>273</v>
      </c>
      <c r="B43" s="51" t="s">
        <v>340</v>
      </c>
      <c r="C43" s="94" t="s">
        <v>54</v>
      </c>
      <c r="D43" s="95" t="s">
        <v>383</v>
      </c>
      <c r="E43" s="96" t="s">
        <v>114</v>
      </c>
      <c r="F43" s="97" t="s">
        <v>270</v>
      </c>
      <c r="G43" s="98">
        <f t="shared" si="9"/>
        <v>5630</v>
      </c>
      <c r="H43" s="99">
        <f t="shared" si="10"/>
        <v>6060</v>
      </c>
      <c r="I43" s="99">
        <f t="shared" si="11"/>
        <v>6060</v>
      </c>
      <c r="J43" s="99">
        <f t="shared" si="12"/>
        <v>7190</v>
      </c>
      <c r="K43" s="57"/>
      <c r="L43" s="156" t="s">
        <v>384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Q43" s="40" t="s">
        <v>441</v>
      </c>
      <c r="S43" s="101">
        <f t="shared" si="13"/>
        <v>3825</v>
      </c>
      <c r="T43" s="54">
        <f>4050+200</f>
        <v>4250</v>
      </c>
      <c r="U43" s="103">
        <f t="shared" si="6"/>
        <v>4250</v>
      </c>
      <c r="V43" s="104">
        <f t="shared" si="14"/>
        <v>5380.5</v>
      </c>
      <c r="X43" s="40">
        <v>0</v>
      </c>
    </row>
    <row r="44" spans="1:29" s="40" customFormat="1" ht="14.45" customHeight="1" x14ac:dyDescent="0.25">
      <c r="A44" s="133" t="s">
        <v>58</v>
      </c>
      <c r="B44" s="51" t="s">
        <v>340</v>
      </c>
      <c r="C44" s="94" t="s">
        <v>54</v>
      </c>
      <c r="D44" s="95" t="s">
        <v>383</v>
      </c>
      <c r="E44" s="96" t="s">
        <v>114</v>
      </c>
      <c r="F44" s="97" t="s">
        <v>270</v>
      </c>
      <c r="G44" s="98">
        <f t="shared" si="9"/>
        <v>6350</v>
      </c>
      <c r="H44" s="99">
        <f t="shared" si="10"/>
        <v>6860</v>
      </c>
      <c r="I44" s="99">
        <f t="shared" si="11"/>
        <v>6860</v>
      </c>
      <c r="J44" s="99">
        <f t="shared" si="12"/>
        <v>8200</v>
      </c>
      <c r="K44" s="57"/>
      <c r="L44" s="156" t="s">
        <v>384</v>
      </c>
      <c r="M44" s="52" t="s">
        <v>294</v>
      </c>
      <c r="N44" s="40">
        <v>0</v>
      </c>
      <c r="O44" s="53">
        <f>VLOOKUP(B44,DRAYAGE!$A$1:$C$107,3,FALSE)</f>
        <v>1805</v>
      </c>
      <c r="P44" s="40" t="s">
        <v>300</v>
      </c>
      <c r="Q44" s="40" t="s">
        <v>441</v>
      </c>
      <c r="S44" s="101">
        <f t="shared" si="13"/>
        <v>4545</v>
      </c>
      <c r="T44" s="54">
        <f>4000+850+200</f>
        <v>5050</v>
      </c>
      <c r="U44" s="103">
        <f t="shared" si="6"/>
        <v>5050</v>
      </c>
      <c r="V44" s="104">
        <f t="shared" si="14"/>
        <v>6393.3</v>
      </c>
      <c r="X44" s="40">
        <v>0</v>
      </c>
    </row>
    <row r="45" spans="1:29" s="40" customFormat="1" ht="14.45" customHeight="1" x14ac:dyDescent="0.25">
      <c r="A45" s="134" t="s">
        <v>98</v>
      </c>
      <c r="B45" s="88"/>
      <c r="C45" s="88"/>
      <c r="D45" s="88"/>
      <c r="E45" s="210"/>
      <c r="F45" s="211"/>
      <c r="G45" s="88"/>
      <c r="H45" s="88"/>
      <c r="I45" s="88"/>
      <c r="J45" s="88"/>
      <c r="K45" s="57"/>
      <c r="L45" s="89" t="s">
        <v>48</v>
      </c>
      <c r="M45" s="89" t="s">
        <v>261</v>
      </c>
      <c r="N45" s="90" t="s">
        <v>51</v>
      </c>
      <c r="O45" s="91" t="s">
        <v>50</v>
      </c>
      <c r="P45" s="91" t="s">
        <v>262</v>
      </c>
      <c r="Q45" s="91" t="s">
        <v>263</v>
      </c>
      <c r="R45" s="92" t="s">
        <v>52</v>
      </c>
      <c r="S45" s="92" t="s">
        <v>52</v>
      </c>
      <c r="T45" s="92" t="s">
        <v>53</v>
      </c>
      <c r="U45" s="92" t="s">
        <v>265</v>
      </c>
      <c r="V45" s="92" t="s">
        <v>266</v>
      </c>
      <c r="W45" s="92" t="s">
        <v>267</v>
      </c>
      <c r="X45" s="92" t="s">
        <v>268</v>
      </c>
      <c r="Y45" s="92" t="s">
        <v>52</v>
      </c>
      <c r="Z45" s="92" t="s">
        <v>53</v>
      </c>
      <c r="AA45" s="92" t="s">
        <v>265</v>
      </c>
      <c r="AB45" s="92" t="s">
        <v>266</v>
      </c>
      <c r="AC45" s="93" t="s">
        <v>269</v>
      </c>
    </row>
    <row r="46" spans="1:29" s="40" customFormat="1" ht="14.45" customHeight="1" x14ac:dyDescent="0.25">
      <c r="A46" s="133" t="s">
        <v>331</v>
      </c>
      <c r="B46" s="51" t="s">
        <v>342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>CEILING(S46+W46+X46+O46+N46+Y46,10)</f>
        <v>6510</v>
      </c>
      <c r="H46" s="99">
        <f>CEILING(T46+W46+X46+O46+N46+Z46,10)</f>
        <v>6900</v>
      </c>
      <c r="I46" s="99">
        <f>CEILING(U46+W46+X46+O46+N46+AA46,10)</f>
        <v>6900</v>
      </c>
      <c r="J46" s="99">
        <f>CEILING(V46+W46+X46+O46+N46+AB46,10)</f>
        <v>7940</v>
      </c>
      <c r="K46" s="57"/>
      <c r="L46" s="156" t="s">
        <v>384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Q46" s="40" t="s">
        <v>460</v>
      </c>
      <c r="R46" s="101">
        <v>19800</v>
      </c>
      <c r="S46" s="101">
        <f>0.9*T46</f>
        <v>3510</v>
      </c>
      <c r="T46" s="54">
        <f>3700+200</f>
        <v>3900</v>
      </c>
      <c r="U46" s="103">
        <f>T46</f>
        <v>3900</v>
      </c>
      <c r="V46" s="104">
        <f>U46*1.266</f>
        <v>4937.3999999999996</v>
      </c>
      <c r="W46" s="40">
        <v>0</v>
      </c>
    </row>
    <row r="47" spans="1:29" s="40" customFormat="1" ht="14.45" customHeight="1" x14ac:dyDescent="0.25">
      <c r="A47" s="133" t="s">
        <v>328</v>
      </c>
      <c r="B47" s="51" t="s">
        <v>342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>CEILING(S47+W47+X47+O47+N47+Y47,10)</f>
        <v>6510</v>
      </c>
      <c r="H47" s="99">
        <f>CEILING(T47+W47+X47+O47+N47+Z47,10)</f>
        <v>6900</v>
      </c>
      <c r="I47" s="99">
        <f>CEILING(U47+W47+X47+O47+N47+AA47,10)</f>
        <v>6900</v>
      </c>
      <c r="J47" s="99">
        <f>CEILING(V47+W47+X47+O47+N47+AB47,10)</f>
        <v>7940</v>
      </c>
      <c r="K47" s="57"/>
      <c r="L47" s="156" t="s">
        <v>384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Q47" s="40" t="s">
        <v>461</v>
      </c>
      <c r="R47" s="101">
        <v>19800</v>
      </c>
      <c r="S47" s="101">
        <f>0.9*T47</f>
        <v>3510</v>
      </c>
      <c r="T47" s="54">
        <f>3700+200</f>
        <v>3900</v>
      </c>
      <c r="U47" s="103">
        <f>T47</f>
        <v>3900</v>
      </c>
      <c r="V47" s="104">
        <f>U47*1.266</f>
        <v>4937.3999999999996</v>
      </c>
      <c r="W47" s="40">
        <v>0</v>
      </c>
    </row>
    <row r="48" spans="1:29" s="40" customFormat="1" ht="14.45" customHeight="1" x14ac:dyDescent="0.25">
      <c r="A48" s="133" t="s">
        <v>58</v>
      </c>
      <c r="B48" s="51" t="s">
        <v>342</v>
      </c>
      <c r="C48" s="94" t="s">
        <v>54</v>
      </c>
      <c r="D48" s="95" t="s">
        <v>383</v>
      </c>
      <c r="E48" s="96" t="s">
        <v>114</v>
      </c>
      <c r="F48" s="97" t="s">
        <v>270</v>
      </c>
      <c r="G48" s="98">
        <f>CEILING(S48+W48+X48+O48+N48+Y48,10)</f>
        <v>6870</v>
      </c>
      <c r="H48" s="99">
        <f>CEILING(T48+W48+X48+O48+N48+Z48,10)</f>
        <v>7300</v>
      </c>
      <c r="I48" s="99">
        <f>CEILING(U48+W48+X48+O48+N48+AA48,10)</f>
        <v>7300</v>
      </c>
      <c r="J48" s="99">
        <f>CEILING(V48+W48+X48+O48+N48+AB48,10)</f>
        <v>8440</v>
      </c>
      <c r="K48" s="57"/>
      <c r="L48" s="156" t="s">
        <v>384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Q48" s="40" t="s">
        <v>462</v>
      </c>
      <c r="R48" s="101">
        <v>19800</v>
      </c>
      <c r="S48" s="101">
        <f>0.9*T48</f>
        <v>3870</v>
      </c>
      <c r="T48" s="54">
        <f>3800+300+200</f>
        <v>4300</v>
      </c>
      <c r="U48" s="103">
        <f>T48</f>
        <v>4300</v>
      </c>
      <c r="V48" s="104">
        <f>U48*1.266</f>
        <v>5443.8</v>
      </c>
      <c r="W48" s="40">
        <v>0</v>
      </c>
    </row>
    <row r="49" spans="1:29" s="40" customFormat="1" ht="14.45" customHeight="1" x14ac:dyDescent="0.25">
      <c r="A49" s="133" t="s">
        <v>330</v>
      </c>
      <c r="B49" s="51" t="s">
        <v>342</v>
      </c>
      <c r="C49" s="94" t="s">
        <v>54</v>
      </c>
      <c r="D49" s="95" t="s">
        <v>383</v>
      </c>
      <c r="E49" s="96" t="s">
        <v>114</v>
      </c>
      <c r="F49" s="97" t="s">
        <v>270</v>
      </c>
      <c r="G49" s="98">
        <f>CEILING(S49+W49+X49+O49+N49+Y49,10)</f>
        <v>6510</v>
      </c>
      <c r="H49" s="99">
        <f>CEILING(T49+W49+X49+O49+N49+Z49,10)</f>
        <v>6900</v>
      </c>
      <c r="I49" s="99">
        <f>CEILING(U49+W49+X49+O49+N49+AA49,10)</f>
        <v>6900</v>
      </c>
      <c r="J49" s="99">
        <f>CEILING(V49+W49+X49+O49+N49+AB49,10)</f>
        <v>7940</v>
      </c>
      <c r="K49" s="57"/>
      <c r="L49" s="156" t="s">
        <v>384</v>
      </c>
      <c r="M49" s="52" t="s">
        <v>293</v>
      </c>
      <c r="N49" s="40">
        <v>0</v>
      </c>
      <c r="O49" s="53">
        <f>VLOOKUP(B49,DRAYAGE!$A$1:$C$107,3,FALSE)</f>
        <v>2995</v>
      </c>
      <c r="P49" s="40" t="s">
        <v>302</v>
      </c>
      <c r="Q49" s="40" t="s">
        <v>463</v>
      </c>
      <c r="R49" s="101">
        <v>19800</v>
      </c>
      <c r="S49" s="101">
        <f>0.9*T49</f>
        <v>3510</v>
      </c>
      <c r="T49" s="54">
        <f>T46</f>
        <v>3900</v>
      </c>
      <c r="U49" s="103">
        <f>T49</f>
        <v>3900</v>
      </c>
      <c r="V49" s="104">
        <f>U49*1.266</f>
        <v>4937.3999999999996</v>
      </c>
      <c r="W49" s="40">
        <v>0</v>
      </c>
    </row>
    <row r="50" spans="1:29" s="40" customFormat="1" ht="14.45" customHeight="1" x14ac:dyDescent="0.25">
      <c r="A50" s="134" t="s">
        <v>336</v>
      </c>
      <c r="B50" s="88"/>
      <c r="C50" s="88"/>
      <c r="D50" s="88"/>
      <c r="E50" s="210"/>
      <c r="F50" s="211"/>
      <c r="G50" s="88"/>
      <c r="H50" s="88"/>
      <c r="I50" s="88"/>
      <c r="J50" s="88"/>
      <c r="K50" s="57"/>
      <c r="L50" s="89" t="s">
        <v>48</v>
      </c>
      <c r="M50" s="89" t="s">
        <v>261</v>
      </c>
      <c r="N50" s="90" t="s">
        <v>51</v>
      </c>
      <c r="O50" s="91" t="s">
        <v>50</v>
      </c>
      <c r="P50" s="91" t="s">
        <v>262</v>
      </c>
      <c r="Q50" s="91" t="s">
        <v>263</v>
      </c>
      <c r="R50" s="92" t="s">
        <v>52</v>
      </c>
      <c r="S50" s="92" t="s">
        <v>52</v>
      </c>
      <c r="T50" s="92" t="s">
        <v>53</v>
      </c>
      <c r="U50" s="92" t="s">
        <v>265</v>
      </c>
      <c r="V50" s="92" t="s">
        <v>266</v>
      </c>
      <c r="W50" s="92" t="s">
        <v>267</v>
      </c>
      <c r="X50" s="92" t="s">
        <v>268</v>
      </c>
      <c r="Y50" s="92" t="s">
        <v>52</v>
      </c>
      <c r="Z50" s="92" t="s">
        <v>53</v>
      </c>
      <c r="AA50" s="92" t="s">
        <v>265</v>
      </c>
      <c r="AB50" s="92" t="s">
        <v>266</v>
      </c>
      <c r="AC50" s="93" t="s">
        <v>269</v>
      </c>
    </row>
    <row r="51" spans="1:29" s="40" customFormat="1" ht="14.45" customHeight="1" x14ac:dyDescent="0.25">
      <c r="A51" s="133" t="s">
        <v>326</v>
      </c>
      <c r="B51" s="51" t="s">
        <v>343</v>
      </c>
      <c r="C51" s="94" t="s">
        <v>54</v>
      </c>
      <c r="D51" s="95" t="s">
        <v>383</v>
      </c>
      <c r="E51" s="96" t="s">
        <v>114</v>
      </c>
      <c r="F51" s="97" t="s">
        <v>270</v>
      </c>
      <c r="G51" s="98">
        <f>CEILING(S51+W51+X51+O51+N51+Y51,10)</f>
        <v>5690</v>
      </c>
      <c r="H51" s="99">
        <f>CEILING(T51+W51+X51+O51+N51+Z51,10)</f>
        <v>6190</v>
      </c>
      <c r="I51" s="99">
        <f>CEILING(U51+W51+X51+O51+N51+AA51,10)</f>
        <v>6190</v>
      </c>
      <c r="J51" s="99">
        <f>CEILING(V51+W51+X51+O51+N51+AB51,10)</f>
        <v>7520</v>
      </c>
      <c r="K51" s="57"/>
      <c r="L51" s="156" t="s">
        <v>384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Q51" s="40" t="s">
        <v>464</v>
      </c>
      <c r="R51" s="101">
        <v>18000</v>
      </c>
      <c r="S51" s="101">
        <f>0.9*T51</f>
        <v>4500</v>
      </c>
      <c r="T51" s="54">
        <f>4700+300</f>
        <v>5000</v>
      </c>
      <c r="U51" s="103">
        <f>T51</f>
        <v>5000</v>
      </c>
      <c r="V51" s="104">
        <f>U51*1.266</f>
        <v>6330</v>
      </c>
      <c r="W51" s="40">
        <v>0</v>
      </c>
    </row>
    <row r="52" spans="1:29" s="40" customFormat="1" ht="14.45" customHeight="1" x14ac:dyDescent="0.25">
      <c r="A52" s="133" t="s">
        <v>327</v>
      </c>
      <c r="B52" s="51" t="s">
        <v>343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f>CEILING(S52+W52+X52+O52+N52+Y52,10)</f>
        <v>5690</v>
      </c>
      <c r="H52" s="99">
        <f>CEILING(T52+W52+X52+O52+N52+Z52,10)</f>
        <v>6190</v>
      </c>
      <c r="I52" s="99">
        <f>CEILING(U52+W52+X52+O52+N52+AA52,10)</f>
        <v>6190</v>
      </c>
      <c r="J52" s="99">
        <f>CEILING(V52+W52+X52+O52+N52+AB52,10)</f>
        <v>7520</v>
      </c>
      <c r="K52" s="57"/>
      <c r="L52" s="156" t="s">
        <v>384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Q52" s="40" t="s">
        <v>465</v>
      </c>
      <c r="R52" s="101">
        <v>18000</v>
      </c>
      <c r="S52" s="101">
        <f>0.9*T52</f>
        <v>4500</v>
      </c>
      <c r="T52" s="54">
        <f>T51</f>
        <v>5000</v>
      </c>
      <c r="U52" s="103">
        <f>T52</f>
        <v>5000</v>
      </c>
      <c r="V52" s="104">
        <f>U52*1.266</f>
        <v>6330</v>
      </c>
      <c r="W52" s="40">
        <v>0</v>
      </c>
    </row>
    <row r="53" spans="1:29" s="40" customFormat="1" ht="14.45" customHeight="1" x14ac:dyDescent="0.25">
      <c r="A53" s="133" t="s">
        <v>328</v>
      </c>
      <c r="B53" s="51" t="s">
        <v>343</v>
      </c>
      <c r="C53" s="94" t="s">
        <v>54</v>
      </c>
      <c r="D53" s="95" t="s">
        <v>383</v>
      </c>
      <c r="E53" s="96" t="s">
        <v>114</v>
      </c>
      <c r="F53" s="97" t="s">
        <v>270</v>
      </c>
      <c r="G53" s="98">
        <f>CEILING(S53+W53+X53+O53+N53+Y53,10)</f>
        <v>5690</v>
      </c>
      <c r="H53" s="99">
        <f>CEILING(T53+W53+X53+O53+N53+Z53,10)</f>
        <v>6190</v>
      </c>
      <c r="I53" s="99">
        <f>CEILING(U53+W53+X53+O53+N53+AA53,10)</f>
        <v>6190</v>
      </c>
      <c r="J53" s="99">
        <f>CEILING(V53+W53+X53+O53+N53+AB53,10)</f>
        <v>7520</v>
      </c>
      <c r="K53" s="57"/>
      <c r="L53" s="156" t="s">
        <v>384</v>
      </c>
      <c r="M53" s="52" t="s">
        <v>295</v>
      </c>
      <c r="N53" s="40">
        <v>0</v>
      </c>
      <c r="O53" s="53">
        <f>VLOOKUP(B53,DRAYAGE!$A$1:$C$107,3,FALSE)</f>
        <v>1185</v>
      </c>
      <c r="P53" s="40" t="s">
        <v>361</v>
      </c>
      <c r="Q53" s="40" t="s">
        <v>466</v>
      </c>
      <c r="R53" s="101">
        <v>18000</v>
      </c>
      <c r="S53" s="101">
        <f>0.9*T53</f>
        <v>4500</v>
      </c>
      <c r="T53" s="54">
        <f>T52</f>
        <v>5000</v>
      </c>
      <c r="U53" s="103">
        <f>T53</f>
        <v>5000</v>
      </c>
      <c r="V53" s="104">
        <f>U53*1.266</f>
        <v>6330</v>
      </c>
      <c r="W53" s="40">
        <v>0</v>
      </c>
    </row>
    <row r="54" spans="1:29" s="40" customFormat="1" ht="14.45" customHeight="1" x14ac:dyDescent="0.25">
      <c r="A54" s="134" t="s">
        <v>337</v>
      </c>
      <c r="B54" s="88"/>
      <c r="C54" s="88"/>
      <c r="D54" s="88"/>
      <c r="E54" s="210"/>
      <c r="F54" s="211"/>
      <c r="G54" s="88"/>
      <c r="H54" s="88"/>
      <c r="I54" s="88"/>
      <c r="J54" s="88"/>
      <c r="K54" s="57"/>
      <c r="L54" s="89" t="s">
        <v>48</v>
      </c>
      <c r="M54" s="89" t="s">
        <v>261</v>
      </c>
      <c r="N54" s="90" t="s">
        <v>51</v>
      </c>
      <c r="O54" s="91" t="s">
        <v>50</v>
      </c>
      <c r="P54" s="91" t="s">
        <v>262</v>
      </c>
      <c r="Q54" s="91" t="s">
        <v>263</v>
      </c>
      <c r="R54" s="91" t="s">
        <v>264</v>
      </c>
      <c r="S54" s="92" t="s">
        <v>52</v>
      </c>
      <c r="T54" s="92" t="s">
        <v>53</v>
      </c>
      <c r="U54" s="92" t="s">
        <v>265</v>
      </c>
      <c r="V54" s="92" t="s">
        <v>266</v>
      </c>
      <c r="W54" s="92" t="s">
        <v>267</v>
      </c>
      <c r="X54" s="92" t="s">
        <v>268</v>
      </c>
      <c r="Y54" s="92" t="s">
        <v>52</v>
      </c>
      <c r="Z54" s="92" t="s">
        <v>53</v>
      </c>
      <c r="AA54" s="92" t="s">
        <v>265</v>
      </c>
      <c r="AB54" s="92" t="s">
        <v>266</v>
      </c>
      <c r="AC54" s="93" t="s">
        <v>269</v>
      </c>
    </row>
    <row r="55" spans="1:29" s="40" customFormat="1" ht="18.75" x14ac:dyDescent="0.25">
      <c r="A55" s="133" t="s">
        <v>81</v>
      </c>
      <c r="B55" s="51" t="s">
        <v>344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 t="shared" ref="G55:G60" si="15">CEILING(S55+W55+X55+O55+N55+Y55,10)</f>
        <v>5490</v>
      </c>
      <c r="H55" s="99">
        <f t="shared" ref="H55:H60" si="16">CEILING(T55+W55+X55+O55+N55+Z55,10)</f>
        <v>5950</v>
      </c>
      <c r="I55" s="99">
        <f t="shared" ref="I55:I60" si="17">CEILING(U55+W55+X55+O55+N55+AA55,10)</f>
        <v>5950</v>
      </c>
      <c r="J55" s="99">
        <f t="shared" ref="J55:J60" si="18">CEILING(V55+W55+X55+O55+N55+AB55,10)</f>
        <v>7170</v>
      </c>
      <c r="K55" s="57"/>
      <c r="L55" s="156" t="s">
        <v>384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Q55" s="40" t="s">
        <v>467</v>
      </c>
      <c r="S55" s="101">
        <f t="shared" ref="S55:S69" si="19">0.9*T55</f>
        <v>4140</v>
      </c>
      <c r="T55" s="54">
        <f t="shared" ref="T55:T60" si="20">T38</f>
        <v>4600</v>
      </c>
      <c r="U55" s="103">
        <f t="shared" si="6"/>
        <v>4600</v>
      </c>
      <c r="V55" s="104">
        <f t="shared" ref="V55:V60" si="21">U55*1.266</f>
        <v>5823.6</v>
      </c>
      <c r="X55" s="40">
        <v>0</v>
      </c>
    </row>
    <row r="56" spans="1:29" s="40" customFormat="1" ht="14.45" customHeight="1" x14ac:dyDescent="0.25">
      <c r="A56" s="133" t="s">
        <v>55</v>
      </c>
      <c r="B56" s="51" t="s">
        <v>344</v>
      </c>
      <c r="C56" s="94" t="s">
        <v>54</v>
      </c>
      <c r="D56" s="95" t="s">
        <v>383</v>
      </c>
      <c r="E56" s="96" t="s">
        <v>114</v>
      </c>
      <c r="F56" s="97" t="s">
        <v>270</v>
      </c>
      <c r="G56" s="98">
        <f t="shared" si="15"/>
        <v>5490</v>
      </c>
      <c r="H56" s="99">
        <f t="shared" si="16"/>
        <v>5950</v>
      </c>
      <c r="I56" s="99">
        <f t="shared" si="17"/>
        <v>5950</v>
      </c>
      <c r="J56" s="99">
        <f t="shared" si="18"/>
        <v>7170</v>
      </c>
      <c r="K56" s="57"/>
      <c r="L56" s="156" t="s">
        <v>384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Q56" s="40" t="s">
        <v>468</v>
      </c>
      <c r="S56" s="101">
        <f t="shared" si="19"/>
        <v>4140</v>
      </c>
      <c r="T56" s="54">
        <f t="shared" si="20"/>
        <v>4600</v>
      </c>
      <c r="U56" s="103">
        <f t="shared" si="6"/>
        <v>4600</v>
      </c>
      <c r="V56" s="104">
        <f t="shared" si="21"/>
        <v>5823.6</v>
      </c>
      <c r="X56" s="40">
        <v>0</v>
      </c>
    </row>
    <row r="57" spans="1:29" s="40" customFormat="1" ht="14.45" customHeight="1" x14ac:dyDescent="0.25">
      <c r="A57" s="133" t="s">
        <v>59</v>
      </c>
      <c r="B57" s="51" t="s">
        <v>344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f t="shared" si="15"/>
        <v>5490</v>
      </c>
      <c r="H57" s="99">
        <f t="shared" si="16"/>
        <v>5950</v>
      </c>
      <c r="I57" s="99">
        <f t="shared" si="17"/>
        <v>5950</v>
      </c>
      <c r="J57" s="99">
        <f t="shared" si="18"/>
        <v>7170</v>
      </c>
      <c r="K57" s="57"/>
      <c r="L57" s="156" t="s">
        <v>384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Q57" s="40" t="s">
        <v>469</v>
      </c>
      <c r="S57" s="101">
        <f t="shared" si="19"/>
        <v>4140</v>
      </c>
      <c r="T57" s="54">
        <f t="shared" si="20"/>
        <v>4600</v>
      </c>
      <c r="U57" s="103">
        <f t="shared" si="6"/>
        <v>4600</v>
      </c>
      <c r="V57" s="104">
        <f t="shared" si="21"/>
        <v>5823.6</v>
      </c>
      <c r="X57" s="40">
        <v>0</v>
      </c>
    </row>
    <row r="58" spans="1:29" s="40" customFormat="1" ht="18.75" x14ac:dyDescent="0.25">
      <c r="A58" s="133" t="s">
        <v>60</v>
      </c>
      <c r="B58" s="51" t="s">
        <v>344</v>
      </c>
      <c r="C58" s="94" t="s">
        <v>54</v>
      </c>
      <c r="D58" s="95" t="s">
        <v>383</v>
      </c>
      <c r="E58" s="96" t="s">
        <v>114</v>
      </c>
      <c r="F58" s="97" t="s">
        <v>270</v>
      </c>
      <c r="G58" s="98">
        <f t="shared" si="15"/>
        <v>5490</v>
      </c>
      <c r="H58" s="99">
        <f t="shared" si="16"/>
        <v>5950</v>
      </c>
      <c r="I58" s="99">
        <f t="shared" si="17"/>
        <v>5950</v>
      </c>
      <c r="J58" s="99">
        <f t="shared" si="18"/>
        <v>7170</v>
      </c>
      <c r="K58" s="57"/>
      <c r="L58" s="156" t="s">
        <v>384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Q58" s="40" t="s">
        <v>470</v>
      </c>
      <c r="S58" s="101">
        <f t="shared" si="19"/>
        <v>4140</v>
      </c>
      <c r="T58" s="54">
        <f t="shared" si="20"/>
        <v>4600</v>
      </c>
      <c r="U58" s="103">
        <f t="shared" si="6"/>
        <v>4600</v>
      </c>
      <c r="V58" s="104">
        <f t="shared" si="21"/>
        <v>5823.6</v>
      </c>
      <c r="X58" s="40">
        <v>0</v>
      </c>
    </row>
    <row r="59" spans="1:29" s="40" customFormat="1" ht="14.45" customHeight="1" x14ac:dyDescent="0.25">
      <c r="A59" s="133" t="s">
        <v>61</v>
      </c>
      <c r="B59" s="51" t="s">
        <v>344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f t="shared" si="15"/>
        <v>5490</v>
      </c>
      <c r="H59" s="99">
        <f t="shared" si="16"/>
        <v>5950</v>
      </c>
      <c r="I59" s="99">
        <f t="shared" si="17"/>
        <v>5950</v>
      </c>
      <c r="J59" s="99">
        <f t="shared" si="18"/>
        <v>7170</v>
      </c>
      <c r="K59" s="57"/>
      <c r="L59" s="156" t="s">
        <v>384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Q59" s="40" t="s">
        <v>471</v>
      </c>
      <c r="S59" s="101">
        <f t="shared" si="19"/>
        <v>4140</v>
      </c>
      <c r="T59" s="54">
        <f t="shared" si="20"/>
        <v>4600</v>
      </c>
      <c r="U59" s="103">
        <f t="shared" si="6"/>
        <v>4600</v>
      </c>
      <c r="V59" s="104">
        <f t="shared" si="21"/>
        <v>5823.6</v>
      </c>
      <c r="X59" s="40">
        <v>0</v>
      </c>
    </row>
    <row r="60" spans="1:29" s="40" customFormat="1" ht="18.75" x14ac:dyDescent="0.25">
      <c r="A60" s="133" t="s">
        <v>273</v>
      </c>
      <c r="B60" s="51" t="s">
        <v>344</v>
      </c>
      <c r="C60" s="94" t="s">
        <v>54</v>
      </c>
      <c r="D60" s="95" t="s">
        <v>383</v>
      </c>
      <c r="E60" s="96" t="s">
        <v>114</v>
      </c>
      <c r="F60" s="97" t="s">
        <v>270</v>
      </c>
      <c r="G60" s="98">
        <f t="shared" si="15"/>
        <v>5170</v>
      </c>
      <c r="H60" s="99">
        <f t="shared" si="16"/>
        <v>5600</v>
      </c>
      <c r="I60" s="99">
        <f t="shared" si="17"/>
        <v>5600</v>
      </c>
      <c r="J60" s="99">
        <f t="shared" si="18"/>
        <v>6730</v>
      </c>
      <c r="K60" s="57"/>
      <c r="L60" s="156" t="s">
        <v>384</v>
      </c>
      <c r="M60" s="52" t="s">
        <v>294</v>
      </c>
      <c r="N60" s="40">
        <v>0</v>
      </c>
      <c r="O60" s="53">
        <f>VLOOKUP(B60,DRAYAGE!$A$1:$C$107,3,FALSE)</f>
        <v>1345</v>
      </c>
      <c r="P60" s="40" t="s">
        <v>301</v>
      </c>
      <c r="Q60" s="40" t="s">
        <v>472</v>
      </c>
      <c r="S60" s="101">
        <f t="shared" si="19"/>
        <v>3825</v>
      </c>
      <c r="T60" s="54">
        <f t="shared" si="20"/>
        <v>4250</v>
      </c>
      <c r="U60" s="103">
        <f t="shared" si="6"/>
        <v>4250</v>
      </c>
      <c r="V60" s="104">
        <f t="shared" si="21"/>
        <v>5380.5</v>
      </c>
      <c r="X60" s="40">
        <v>0</v>
      </c>
    </row>
    <row r="61" spans="1:29" s="40" customFormat="1" ht="15.75" x14ac:dyDescent="0.25">
      <c r="A61" s="134" t="s">
        <v>389</v>
      </c>
      <c r="B61" s="88"/>
      <c r="C61" s="88"/>
      <c r="D61" s="88"/>
      <c r="E61" s="210"/>
      <c r="F61" s="211"/>
      <c r="G61" s="88"/>
      <c r="H61" s="88"/>
      <c r="I61" s="88"/>
      <c r="J61" s="88"/>
      <c r="K61" s="57"/>
      <c r="L61" s="89" t="s">
        <v>48</v>
      </c>
      <c r="M61" s="89" t="s">
        <v>261</v>
      </c>
      <c r="N61" s="90" t="s">
        <v>51</v>
      </c>
      <c r="O61" s="91" t="s">
        <v>50</v>
      </c>
      <c r="P61" s="91" t="s">
        <v>262</v>
      </c>
      <c r="Q61" s="91" t="s">
        <v>263</v>
      </c>
      <c r="R61" s="92" t="s">
        <v>52</v>
      </c>
      <c r="S61" s="92" t="s">
        <v>52</v>
      </c>
      <c r="T61" s="92" t="s">
        <v>53</v>
      </c>
      <c r="U61" s="92" t="s">
        <v>265</v>
      </c>
      <c r="V61" s="92" t="s">
        <v>266</v>
      </c>
      <c r="W61" s="92" t="s">
        <v>267</v>
      </c>
      <c r="X61" s="92" t="s">
        <v>268</v>
      </c>
      <c r="Y61" s="92" t="s">
        <v>52</v>
      </c>
      <c r="Z61" s="92" t="s">
        <v>53</v>
      </c>
      <c r="AA61" s="92" t="s">
        <v>265</v>
      </c>
      <c r="AB61" s="92" t="s">
        <v>266</v>
      </c>
      <c r="AC61" s="93" t="s">
        <v>269</v>
      </c>
    </row>
    <row r="62" spans="1:29" s="40" customFormat="1" ht="18.75" x14ac:dyDescent="0.25">
      <c r="A62" s="133" t="s">
        <v>55</v>
      </c>
      <c r="B62" s="51" t="s">
        <v>390</v>
      </c>
      <c r="C62" s="94" t="s">
        <v>54</v>
      </c>
      <c r="D62" s="95" t="s">
        <v>383</v>
      </c>
      <c r="E62" s="96" t="s">
        <v>114</v>
      </c>
      <c r="F62" s="97" t="s">
        <v>270</v>
      </c>
      <c r="G62" s="98">
        <f t="shared" ref="G62:G69" si="22">CEILING(S62+W62+X62+O62+N62+Y62,10)</f>
        <v>6420</v>
      </c>
      <c r="H62" s="99">
        <f t="shared" ref="H62:H69" si="23">CEILING(T62+W62+X62+O62+N62+Z62,10)</f>
        <v>6920</v>
      </c>
      <c r="I62" s="99">
        <f t="shared" ref="I62:I69" si="24">CEILING(U62+W62+X62+O62+N62+AA62,10)</f>
        <v>6920</v>
      </c>
      <c r="J62" s="99">
        <f t="shared" ref="J62:J69" si="25">CEILING(V62+W62+X62+O62+N62+AB62,10)</f>
        <v>8250</v>
      </c>
      <c r="K62" s="57"/>
      <c r="L62" s="156" t="s">
        <v>384</v>
      </c>
      <c r="M62" s="52" t="s">
        <v>397</v>
      </c>
      <c r="N62" s="40">
        <v>0</v>
      </c>
      <c r="O62" s="53">
        <f>VLOOKUP(B62,DRAYAGE!$A$1:$C$107,3,FALSE)</f>
        <v>1915</v>
      </c>
      <c r="P62" s="40" t="str">
        <f>VLOOKUP($B62,DRAYAGE!$A$1:$Q$23,14,FALSE)</f>
        <v>PCF, chassis split, drop fee</v>
      </c>
      <c r="Q62" s="40" t="s">
        <v>473</v>
      </c>
      <c r="R62" s="54">
        <v>11000</v>
      </c>
      <c r="S62" s="101">
        <f t="shared" si="19"/>
        <v>4500</v>
      </c>
      <c r="T62" s="54">
        <f>4700+300</f>
        <v>5000</v>
      </c>
      <c r="U62" s="103">
        <f t="shared" ref="U62:U69" si="26">T62</f>
        <v>5000</v>
      </c>
      <c r="V62" s="104">
        <f t="shared" ref="V62:V69" si="27">U62*1.266</f>
        <v>6330</v>
      </c>
    </row>
    <row r="63" spans="1:29" s="40" customFormat="1" ht="18.75" x14ac:dyDescent="0.25">
      <c r="A63" s="133" t="s">
        <v>55</v>
      </c>
      <c r="B63" s="51" t="s">
        <v>391</v>
      </c>
      <c r="C63" s="94" t="s">
        <v>54</v>
      </c>
      <c r="D63" s="95" t="s">
        <v>383</v>
      </c>
      <c r="E63" s="96" t="s">
        <v>114</v>
      </c>
      <c r="F63" s="97" t="s">
        <v>270</v>
      </c>
      <c r="G63" s="98">
        <f t="shared" si="22"/>
        <v>10940</v>
      </c>
      <c r="H63" s="99">
        <f t="shared" si="23"/>
        <v>11420</v>
      </c>
      <c r="I63" s="99">
        <f t="shared" si="24"/>
        <v>11420</v>
      </c>
      <c r="J63" s="99">
        <f t="shared" si="25"/>
        <v>12700</v>
      </c>
      <c r="K63" s="57"/>
      <c r="L63" s="156" t="s">
        <v>384</v>
      </c>
      <c r="M63" s="52" t="s">
        <v>398</v>
      </c>
      <c r="N63" s="40">
        <v>0</v>
      </c>
      <c r="O63" s="53">
        <f>VLOOKUP(B63,DRAYAGE!$A$1:$C$107,3,FALSE)</f>
        <v>6620</v>
      </c>
      <c r="P63" s="40" t="str">
        <f>VLOOKUP($B63,DRAYAGE!$A$1:$Q$23,14,FALSE)</f>
        <v>Rail fee, toll, drop</v>
      </c>
      <c r="Q63" s="40" t="s">
        <v>474</v>
      </c>
      <c r="R63" s="54">
        <v>11000</v>
      </c>
      <c r="S63" s="101">
        <f t="shared" si="19"/>
        <v>4320</v>
      </c>
      <c r="T63" s="54">
        <f>4500+300</f>
        <v>4800</v>
      </c>
      <c r="U63" s="103">
        <f t="shared" si="26"/>
        <v>4800</v>
      </c>
      <c r="V63" s="104">
        <f t="shared" si="27"/>
        <v>6076.8</v>
      </c>
    </row>
    <row r="64" spans="1:29" s="40" customFormat="1" ht="18.75" x14ac:dyDescent="0.25">
      <c r="A64" s="133" t="s">
        <v>55</v>
      </c>
      <c r="B64" s="51" t="s">
        <v>396</v>
      </c>
      <c r="C64" s="94" t="s">
        <v>54</v>
      </c>
      <c r="D64" s="95" t="s">
        <v>383</v>
      </c>
      <c r="E64" s="96" t="s">
        <v>114</v>
      </c>
      <c r="F64" s="97" t="s">
        <v>270</v>
      </c>
      <c r="G64" s="98">
        <f t="shared" si="22"/>
        <v>7910</v>
      </c>
      <c r="H64" s="99">
        <f t="shared" si="23"/>
        <v>8420</v>
      </c>
      <c r="I64" s="99">
        <f t="shared" si="24"/>
        <v>8420</v>
      </c>
      <c r="J64" s="99">
        <f t="shared" si="25"/>
        <v>9780</v>
      </c>
      <c r="K64" s="57"/>
      <c r="L64" s="156" t="s">
        <v>384</v>
      </c>
      <c r="M64" s="52" t="s">
        <v>399</v>
      </c>
      <c r="N64" s="40">
        <v>0</v>
      </c>
      <c r="O64" s="53">
        <f>VLOOKUP(B64,DRAYAGE!$A$1:$C$107,3,FALSE)</f>
        <v>3320</v>
      </c>
      <c r="P64" s="40" t="str">
        <f>VLOOKUP($B64,DRAYAGE!$A$1:$Q$23,14,FALSE)</f>
        <v>Rail fee, drop fee, toll fee</v>
      </c>
      <c r="Q64" s="40" t="s">
        <v>475</v>
      </c>
      <c r="R64" s="103">
        <v>11000</v>
      </c>
      <c r="S64" s="101">
        <f t="shared" si="19"/>
        <v>4590</v>
      </c>
      <c r="T64" s="54">
        <f>4800+300</f>
        <v>5100</v>
      </c>
      <c r="U64" s="103">
        <f t="shared" si="26"/>
        <v>5100</v>
      </c>
      <c r="V64" s="104">
        <f t="shared" si="27"/>
        <v>6456.6</v>
      </c>
    </row>
    <row r="65" spans="1:29" s="40" customFormat="1" ht="18.75" x14ac:dyDescent="0.25">
      <c r="A65" s="133" t="s">
        <v>55</v>
      </c>
      <c r="B65" s="51" t="s">
        <v>392</v>
      </c>
      <c r="C65" s="94" t="s">
        <v>54</v>
      </c>
      <c r="D65" s="95" t="s">
        <v>383</v>
      </c>
      <c r="E65" s="96" t="s">
        <v>114</v>
      </c>
      <c r="F65" s="97" t="s">
        <v>270</v>
      </c>
      <c r="G65" s="98">
        <f t="shared" si="22"/>
        <v>8480</v>
      </c>
      <c r="H65" s="99">
        <f t="shared" si="23"/>
        <v>8960</v>
      </c>
      <c r="I65" s="99">
        <f t="shared" si="24"/>
        <v>8960</v>
      </c>
      <c r="J65" s="99">
        <f t="shared" si="25"/>
        <v>10240</v>
      </c>
      <c r="K65" s="57"/>
      <c r="L65" s="156" t="s">
        <v>384</v>
      </c>
      <c r="M65" s="52" t="s">
        <v>398</v>
      </c>
      <c r="N65" s="40">
        <v>0</v>
      </c>
      <c r="O65" s="53">
        <f>VLOOKUP(B65,DRAYAGE!$A$1:$C$107,3,FALSE)</f>
        <v>4155</v>
      </c>
      <c r="P65" s="40" t="str">
        <f>VLOOKUP($B65,DRAYAGE!$A$1:$Q$23,14,FALSE)</f>
        <v>Rail fee, chassis split, drop, toll</v>
      </c>
      <c r="Q65" s="40" t="s">
        <v>476</v>
      </c>
      <c r="R65" s="103">
        <v>11000</v>
      </c>
      <c r="S65" s="101">
        <f t="shared" si="19"/>
        <v>4320</v>
      </c>
      <c r="T65" s="54">
        <f>T63</f>
        <v>4800</v>
      </c>
      <c r="U65" s="103">
        <f t="shared" si="26"/>
        <v>4800</v>
      </c>
      <c r="V65" s="104">
        <f t="shared" si="27"/>
        <v>6076.8</v>
      </c>
    </row>
    <row r="66" spans="1:29" s="40" customFormat="1" ht="18.75" x14ac:dyDescent="0.25">
      <c r="A66" s="133" t="s">
        <v>55</v>
      </c>
      <c r="B66" s="51" t="s">
        <v>395</v>
      </c>
      <c r="C66" s="94" t="s">
        <v>54</v>
      </c>
      <c r="D66" s="95" t="s">
        <v>383</v>
      </c>
      <c r="E66" s="96" t="s">
        <v>114</v>
      </c>
      <c r="F66" s="97" t="s">
        <v>270</v>
      </c>
      <c r="G66" s="98">
        <f t="shared" si="22"/>
        <v>7040</v>
      </c>
      <c r="H66" s="99">
        <f t="shared" si="23"/>
        <v>7560</v>
      </c>
      <c r="I66" s="99">
        <f t="shared" si="24"/>
        <v>7560</v>
      </c>
      <c r="J66" s="99">
        <f t="shared" si="25"/>
        <v>8970</v>
      </c>
      <c r="K66" s="57"/>
      <c r="L66" s="156" t="s">
        <v>384</v>
      </c>
      <c r="M66" s="52" t="s">
        <v>400</v>
      </c>
      <c r="N66" s="40">
        <v>0</v>
      </c>
      <c r="O66" s="53">
        <f>VLOOKUP(B66,DRAYAGE!$A$1:$C$107,3,FALSE)</f>
        <v>2280</v>
      </c>
      <c r="P66" s="40" t="str">
        <f>VLOOKUP($B66,DRAYAGE!$A$1:$Q$23,14,FALSE)</f>
        <v>Rail fee, chassis split, drop</v>
      </c>
      <c r="Q66" s="40" t="s">
        <v>477</v>
      </c>
      <c r="R66" s="54">
        <v>11000</v>
      </c>
      <c r="S66" s="101">
        <f t="shared" si="19"/>
        <v>4752</v>
      </c>
      <c r="T66" s="54">
        <f>4980+300</f>
        <v>5280</v>
      </c>
      <c r="U66" s="103">
        <f t="shared" si="26"/>
        <v>5280</v>
      </c>
      <c r="V66" s="104">
        <f t="shared" si="27"/>
        <v>6684.4800000000005</v>
      </c>
    </row>
    <row r="67" spans="1:29" s="40" customFormat="1" ht="18.75" x14ac:dyDescent="0.25">
      <c r="A67" s="133" t="s">
        <v>55</v>
      </c>
      <c r="B67" s="51" t="s">
        <v>393</v>
      </c>
      <c r="C67" s="94" t="s">
        <v>54</v>
      </c>
      <c r="D67" s="95" t="s">
        <v>383</v>
      </c>
      <c r="E67" s="96" t="s">
        <v>114</v>
      </c>
      <c r="F67" s="97" t="s">
        <v>270</v>
      </c>
      <c r="G67" s="98">
        <f t="shared" si="22"/>
        <v>7130</v>
      </c>
      <c r="H67" s="99">
        <f t="shared" si="23"/>
        <v>7610</v>
      </c>
      <c r="I67" s="99">
        <f t="shared" si="24"/>
        <v>7610</v>
      </c>
      <c r="J67" s="99">
        <f t="shared" si="25"/>
        <v>8890</v>
      </c>
      <c r="K67" s="57"/>
      <c r="L67" s="156" t="s">
        <v>384</v>
      </c>
      <c r="M67" s="52" t="s">
        <v>398</v>
      </c>
      <c r="N67" s="40">
        <v>0</v>
      </c>
      <c r="O67" s="53">
        <f>VLOOKUP(B67,DRAYAGE!$A$1:$C$107,3,FALSE)</f>
        <v>2805</v>
      </c>
      <c r="P67" s="40" t="str">
        <f>VLOOKUP($B67,DRAYAGE!$A$1:$Q$23,14,FALSE)</f>
        <v>Rail fee, chassis split, drop, toll</v>
      </c>
      <c r="Q67" s="40" t="s">
        <v>478</v>
      </c>
      <c r="R67" s="54">
        <v>11000</v>
      </c>
      <c r="S67" s="101">
        <f t="shared" si="19"/>
        <v>4320</v>
      </c>
      <c r="T67" s="54">
        <f>T63</f>
        <v>4800</v>
      </c>
      <c r="U67" s="103">
        <f t="shared" si="26"/>
        <v>4800</v>
      </c>
      <c r="V67" s="104">
        <f t="shared" si="27"/>
        <v>6076.8</v>
      </c>
    </row>
    <row r="68" spans="1:29" s="40" customFormat="1" ht="18.75" x14ac:dyDescent="0.25">
      <c r="A68" s="133" t="s">
        <v>55</v>
      </c>
      <c r="B68" s="51" t="s">
        <v>394</v>
      </c>
      <c r="C68" s="94" t="s">
        <v>54</v>
      </c>
      <c r="D68" s="95" t="s">
        <v>383</v>
      </c>
      <c r="E68" s="96" t="s">
        <v>114</v>
      </c>
      <c r="F68" s="97" t="s">
        <v>270</v>
      </c>
      <c r="G68" s="98">
        <f t="shared" si="22"/>
        <v>6450</v>
      </c>
      <c r="H68" s="99">
        <f t="shared" si="23"/>
        <v>6970</v>
      </c>
      <c r="I68" s="99">
        <f t="shared" si="24"/>
        <v>6970</v>
      </c>
      <c r="J68" s="99">
        <f t="shared" si="25"/>
        <v>8350</v>
      </c>
      <c r="K68" s="57"/>
      <c r="L68" s="156" t="s">
        <v>384</v>
      </c>
      <c r="M68" s="52" t="s">
        <v>401</v>
      </c>
      <c r="N68" s="40">
        <v>0</v>
      </c>
      <c r="O68" s="53">
        <f>VLOOKUP(B68,DRAYAGE!$A$1:$C$107,3,FALSE)</f>
        <v>1785</v>
      </c>
      <c r="P68" s="40" t="str">
        <f>VLOOKUP($B68,DRAYAGE!$A$1:$Q$23,14,FALSE)</f>
        <v>chassis split, drop</v>
      </c>
      <c r="Q68" s="40" t="s">
        <v>479</v>
      </c>
      <c r="R68" s="101">
        <v>9900</v>
      </c>
      <c r="S68" s="101">
        <f t="shared" si="19"/>
        <v>4662</v>
      </c>
      <c r="T68" s="54">
        <f>4880+300</f>
        <v>5180</v>
      </c>
      <c r="U68" s="103">
        <f t="shared" si="26"/>
        <v>5180</v>
      </c>
      <c r="V68" s="104">
        <f t="shared" si="27"/>
        <v>6557.88</v>
      </c>
    </row>
    <row r="69" spans="1:29" s="45" customFormat="1" ht="18.75" x14ac:dyDescent="0.25">
      <c r="A69" s="133" t="s">
        <v>55</v>
      </c>
      <c r="B69" s="51" t="s">
        <v>419</v>
      </c>
      <c r="C69" s="106" t="s">
        <v>54</v>
      </c>
      <c r="D69" s="171" t="s">
        <v>383</v>
      </c>
      <c r="E69" s="107" t="s">
        <v>114</v>
      </c>
      <c r="F69" s="108" t="s">
        <v>270</v>
      </c>
      <c r="G69" s="109">
        <f t="shared" si="22"/>
        <v>3400</v>
      </c>
      <c r="H69" s="110">
        <f t="shared" si="23"/>
        <v>3560</v>
      </c>
      <c r="I69" s="110">
        <f t="shared" si="24"/>
        <v>3560</v>
      </c>
      <c r="J69" s="110">
        <f t="shared" si="25"/>
        <v>3970</v>
      </c>
      <c r="K69" s="111"/>
      <c r="L69" s="172" t="s">
        <v>384</v>
      </c>
      <c r="M69" s="52" t="s">
        <v>292</v>
      </c>
      <c r="N69" s="45">
        <v>0</v>
      </c>
      <c r="O69" s="53">
        <f>1485+165+35+70+250</f>
        <v>2005</v>
      </c>
      <c r="P69" s="45" t="s">
        <v>420</v>
      </c>
      <c r="Q69" s="45" t="s">
        <v>480</v>
      </c>
      <c r="R69" s="101"/>
      <c r="S69" s="113">
        <f t="shared" si="19"/>
        <v>1395</v>
      </c>
      <c r="T69" s="54">
        <f>1450+100</f>
        <v>1550</v>
      </c>
      <c r="U69" s="173">
        <f t="shared" si="26"/>
        <v>1550</v>
      </c>
      <c r="V69" s="114">
        <f t="shared" si="27"/>
        <v>1962.3</v>
      </c>
    </row>
    <row r="70" spans="1:29" s="40" customFormat="1" ht="15.75" x14ac:dyDescent="0.25">
      <c r="A70" s="134" t="s">
        <v>436</v>
      </c>
      <c r="B70" s="88"/>
      <c r="C70" s="88"/>
      <c r="D70" s="88"/>
      <c r="E70" s="210"/>
      <c r="F70" s="211"/>
      <c r="G70" s="88"/>
      <c r="H70" s="88"/>
      <c r="I70" s="88"/>
      <c r="J70" s="88"/>
      <c r="K70" s="57"/>
      <c r="L70" s="89" t="s">
        <v>48</v>
      </c>
      <c r="M70" s="89" t="s">
        <v>261</v>
      </c>
      <c r="N70" s="90" t="s">
        <v>51</v>
      </c>
      <c r="O70" s="91" t="s">
        <v>50</v>
      </c>
      <c r="P70" s="91" t="s">
        <v>262</v>
      </c>
      <c r="Q70" s="91" t="s">
        <v>263</v>
      </c>
      <c r="R70" s="92" t="s">
        <v>52</v>
      </c>
      <c r="S70" s="92" t="s">
        <v>52</v>
      </c>
      <c r="T70" s="92" t="s">
        <v>53</v>
      </c>
      <c r="U70" s="92" t="s">
        <v>265</v>
      </c>
      <c r="V70" s="92" t="s">
        <v>266</v>
      </c>
      <c r="W70" s="92" t="s">
        <v>267</v>
      </c>
      <c r="X70" s="92" t="s">
        <v>268</v>
      </c>
      <c r="Y70" s="92" t="s">
        <v>52</v>
      </c>
      <c r="Z70" s="92" t="s">
        <v>53</v>
      </c>
      <c r="AA70" s="92" t="s">
        <v>265</v>
      </c>
      <c r="AB70" s="92" t="s">
        <v>266</v>
      </c>
      <c r="AC70" s="93" t="s">
        <v>269</v>
      </c>
    </row>
    <row r="71" spans="1:29" s="40" customFormat="1" ht="18.75" x14ac:dyDescent="0.25">
      <c r="A71" s="133" t="s">
        <v>437</v>
      </c>
      <c r="B71" s="51" t="s">
        <v>390</v>
      </c>
      <c r="C71" s="94" t="s">
        <v>54</v>
      </c>
      <c r="D71" s="95" t="s">
        <v>383</v>
      </c>
      <c r="E71" s="96" t="s">
        <v>114</v>
      </c>
      <c r="F71" s="97" t="s">
        <v>270</v>
      </c>
      <c r="G71" s="98">
        <f t="shared" ref="G71:G77" si="28">CEILING(S71+W71+X71+O71+N71+Y71,10)</f>
        <v>6580</v>
      </c>
      <c r="H71" s="99">
        <f t="shared" ref="H71:H77" si="29">CEILING(T71+W71+X71+O71+N71+Z71,10)</f>
        <v>7090</v>
      </c>
      <c r="I71" s="99">
        <f t="shared" ref="I71:I77" si="30">CEILING(U71+W71+X71+O71+N71+AA71,10)</f>
        <v>7090</v>
      </c>
      <c r="J71" s="99">
        <f t="shared" ref="J71:J77" si="31">CEILING(V71+W71+X71+O71+N71+AB71,10)</f>
        <v>8470</v>
      </c>
      <c r="K71" s="57"/>
      <c r="L71" s="156" t="s">
        <v>384</v>
      </c>
      <c r="M71" s="52" t="s">
        <v>397</v>
      </c>
      <c r="N71" s="40">
        <v>0</v>
      </c>
      <c r="O71" s="53">
        <f>VLOOKUP(B71,DRAYAGE!$A$1:$C$107,3,FALSE)</f>
        <v>1915</v>
      </c>
      <c r="P71" s="40" t="s">
        <v>411</v>
      </c>
      <c r="Q71" s="40" t="str">
        <f t="shared" ref="Q71:Q77" si="32">Q62</f>
        <v>LAX-144741/10-30-2022</v>
      </c>
      <c r="R71" s="101">
        <v>8865</v>
      </c>
      <c r="S71" s="101">
        <f t="shared" ref="S71:S77" si="33">0.9*T71</f>
        <v>4657.5</v>
      </c>
      <c r="T71" s="54">
        <f>T62+175</f>
        <v>5175</v>
      </c>
      <c r="U71" s="103">
        <f t="shared" ref="U71:U77" si="34">T71</f>
        <v>5175</v>
      </c>
      <c r="V71" s="104">
        <f t="shared" ref="V71:V77" si="35">U71*1.266</f>
        <v>6551.55</v>
      </c>
    </row>
    <row r="72" spans="1:29" s="40" customFormat="1" ht="18.75" x14ac:dyDescent="0.25">
      <c r="A72" s="133" t="s">
        <v>437</v>
      </c>
      <c r="B72" s="51" t="s">
        <v>391</v>
      </c>
      <c r="C72" s="94" t="s">
        <v>54</v>
      </c>
      <c r="D72" s="95" t="s">
        <v>383</v>
      </c>
      <c r="E72" s="96" t="s">
        <v>114</v>
      </c>
      <c r="F72" s="97" t="s">
        <v>270</v>
      </c>
      <c r="G72" s="98">
        <f t="shared" si="28"/>
        <v>11100</v>
      </c>
      <c r="H72" s="99">
        <f t="shared" si="29"/>
        <v>11600</v>
      </c>
      <c r="I72" s="99">
        <f t="shared" si="30"/>
        <v>11600</v>
      </c>
      <c r="J72" s="99">
        <f t="shared" si="31"/>
        <v>12920</v>
      </c>
      <c r="K72" s="57"/>
      <c r="L72" s="156" t="s">
        <v>384</v>
      </c>
      <c r="M72" s="52" t="s">
        <v>398</v>
      </c>
      <c r="N72" s="40">
        <v>0</v>
      </c>
      <c r="O72" s="53">
        <f>VLOOKUP(B72,DRAYAGE!$A$1:$C$107,3,FALSE)</f>
        <v>6620</v>
      </c>
      <c r="P72" s="40" t="s">
        <v>413</v>
      </c>
      <c r="Q72" s="40" t="str">
        <f t="shared" si="32"/>
        <v>LAX-144760/10-30-2022</v>
      </c>
      <c r="R72" s="101">
        <v>8820</v>
      </c>
      <c r="S72" s="101">
        <f t="shared" si="33"/>
        <v>4477.5</v>
      </c>
      <c r="T72" s="54">
        <f>T63+175</f>
        <v>4975</v>
      </c>
      <c r="U72" s="103">
        <f t="shared" si="34"/>
        <v>4975</v>
      </c>
      <c r="V72" s="104">
        <f t="shared" si="35"/>
        <v>6298.35</v>
      </c>
    </row>
    <row r="73" spans="1:29" s="40" customFormat="1" ht="18.75" x14ac:dyDescent="0.25">
      <c r="A73" s="133" t="s">
        <v>437</v>
      </c>
      <c r="B73" s="51" t="s">
        <v>396</v>
      </c>
      <c r="C73" s="94" t="s">
        <v>54</v>
      </c>
      <c r="D73" s="95" t="s">
        <v>383</v>
      </c>
      <c r="E73" s="96" t="s">
        <v>114</v>
      </c>
      <c r="F73" s="97" t="s">
        <v>270</v>
      </c>
      <c r="G73" s="98">
        <f t="shared" si="28"/>
        <v>8070</v>
      </c>
      <c r="H73" s="99">
        <f t="shared" si="29"/>
        <v>8600</v>
      </c>
      <c r="I73" s="99">
        <f t="shared" si="30"/>
        <v>8600</v>
      </c>
      <c r="J73" s="99">
        <f t="shared" si="31"/>
        <v>10000</v>
      </c>
      <c r="K73" s="57"/>
      <c r="L73" s="156" t="s">
        <v>384</v>
      </c>
      <c r="M73" s="52" t="s">
        <v>399</v>
      </c>
      <c r="N73" s="40">
        <v>0</v>
      </c>
      <c r="O73" s="53">
        <f>VLOOKUP(B73,DRAYAGE!$A$1:$C$107,3,FALSE)</f>
        <v>3320</v>
      </c>
      <c r="P73" s="40" t="s">
        <v>428</v>
      </c>
      <c r="Q73" s="40" t="str">
        <f t="shared" si="32"/>
        <v>LAX-144770/10-30-2022</v>
      </c>
      <c r="R73" s="101">
        <v>9225</v>
      </c>
      <c r="S73" s="101">
        <f t="shared" si="33"/>
        <v>4747.5</v>
      </c>
      <c r="T73" s="54">
        <f>T64+175</f>
        <v>5275</v>
      </c>
      <c r="U73" s="103">
        <f t="shared" si="34"/>
        <v>5275</v>
      </c>
      <c r="V73" s="104">
        <f t="shared" si="35"/>
        <v>6678.15</v>
      </c>
    </row>
    <row r="74" spans="1:29" s="40" customFormat="1" ht="18.75" x14ac:dyDescent="0.25">
      <c r="A74" s="133" t="s">
        <v>437</v>
      </c>
      <c r="B74" s="51" t="s">
        <v>392</v>
      </c>
      <c r="C74" s="94" t="s">
        <v>54</v>
      </c>
      <c r="D74" s="95" t="s">
        <v>383</v>
      </c>
      <c r="E74" s="96" t="s">
        <v>114</v>
      </c>
      <c r="F74" s="97" t="s">
        <v>270</v>
      </c>
      <c r="G74" s="98">
        <f t="shared" si="28"/>
        <v>8640</v>
      </c>
      <c r="H74" s="99">
        <f t="shared" si="29"/>
        <v>9130</v>
      </c>
      <c r="I74" s="99">
        <f t="shared" si="30"/>
        <v>9130</v>
      </c>
      <c r="J74" s="99">
        <f t="shared" si="31"/>
        <v>10460</v>
      </c>
      <c r="K74" s="57"/>
      <c r="L74" s="156" t="s">
        <v>384</v>
      </c>
      <c r="M74" s="52" t="s">
        <v>398</v>
      </c>
      <c r="N74" s="40">
        <v>0</v>
      </c>
      <c r="O74" s="53">
        <f>VLOOKUP(B74,DRAYAGE!$A$1:$C$107,3,FALSE)</f>
        <v>4155</v>
      </c>
      <c r="P74" s="40" t="s">
        <v>415</v>
      </c>
      <c r="Q74" s="40" t="str">
        <f t="shared" si="32"/>
        <v>LAX-144767/10-30-2022</v>
      </c>
      <c r="R74" s="101">
        <v>8820</v>
      </c>
      <c r="S74" s="101">
        <f t="shared" si="33"/>
        <v>4477.5</v>
      </c>
      <c r="T74" s="54">
        <f>T72</f>
        <v>4975</v>
      </c>
      <c r="U74" s="103">
        <f t="shared" si="34"/>
        <v>4975</v>
      </c>
      <c r="V74" s="104">
        <f t="shared" si="35"/>
        <v>6298.35</v>
      </c>
    </row>
    <row r="75" spans="1:29" s="40" customFormat="1" ht="18.75" x14ac:dyDescent="0.25">
      <c r="A75" s="133" t="s">
        <v>437</v>
      </c>
      <c r="B75" s="51" t="s">
        <v>395</v>
      </c>
      <c r="C75" s="94" t="s">
        <v>54</v>
      </c>
      <c r="D75" s="95" t="s">
        <v>383</v>
      </c>
      <c r="E75" s="96" t="s">
        <v>114</v>
      </c>
      <c r="F75" s="97" t="s">
        <v>270</v>
      </c>
      <c r="G75" s="98">
        <f t="shared" si="28"/>
        <v>7190</v>
      </c>
      <c r="H75" s="99">
        <f t="shared" si="29"/>
        <v>7740</v>
      </c>
      <c r="I75" s="99">
        <f t="shared" si="30"/>
        <v>7740</v>
      </c>
      <c r="J75" s="99">
        <f t="shared" si="31"/>
        <v>9190</v>
      </c>
      <c r="K75" s="57"/>
      <c r="L75" s="156" t="s">
        <v>384</v>
      </c>
      <c r="M75" s="52" t="s">
        <v>400</v>
      </c>
      <c r="N75" s="40">
        <v>0</v>
      </c>
      <c r="O75" s="53">
        <f>VLOOKUP(B75,DRAYAGE!$A$1:$C$107,3,FALSE)</f>
        <v>2280</v>
      </c>
      <c r="P75" s="40" t="s">
        <v>414</v>
      </c>
      <c r="Q75" s="40" t="str">
        <f t="shared" si="32"/>
        <v>LAX-144768/10-30-2022</v>
      </c>
      <c r="R75" s="101">
        <v>9225</v>
      </c>
      <c r="S75" s="101">
        <f t="shared" si="33"/>
        <v>4909.5</v>
      </c>
      <c r="T75" s="54">
        <f>T66+175</f>
        <v>5455</v>
      </c>
      <c r="U75" s="103">
        <f t="shared" si="34"/>
        <v>5455</v>
      </c>
      <c r="V75" s="104">
        <f t="shared" si="35"/>
        <v>6906.03</v>
      </c>
    </row>
    <row r="76" spans="1:29" s="40" customFormat="1" ht="18.75" x14ac:dyDescent="0.25">
      <c r="A76" s="133" t="s">
        <v>437</v>
      </c>
      <c r="B76" s="51" t="s">
        <v>393</v>
      </c>
      <c r="C76" s="94" t="s">
        <v>54</v>
      </c>
      <c r="D76" s="95" t="s">
        <v>383</v>
      </c>
      <c r="E76" s="96" t="s">
        <v>114</v>
      </c>
      <c r="F76" s="97" t="s">
        <v>270</v>
      </c>
      <c r="G76" s="98">
        <f t="shared" si="28"/>
        <v>7290</v>
      </c>
      <c r="H76" s="99">
        <f t="shared" si="29"/>
        <v>7780</v>
      </c>
      <c r="I76" s="99">
        <f t="shared" si="30"/>
        <v>7780</v>
      </c>
      <c r="J76" s="99">
        <f t="shared" si="31"/>
        <v>9110</v>
      </c>
      <c r="K76" s="57"/>
      <c r="L76" s="156" t="s">
        <v>384</v>
      </c>
      <c r="M76" s="52" t="s">
        <v>398</v>
      </c>
      <c r="N76" s="40">
        <v>0</v>
      </c>
      <c r="O76" s="53">
        <f>VLOOKUP(B76,DRAYAGE!$A$1:$C$107,3,FALSE)</f>
        <v>2805</v>
      </c>
      <c r="P76" s="40" t="s">
        <v>415</v>
      </c>
      <c r="Q76" s="40" t="str">
        <f t="shared" si="32"/>
        <v>LAX-144766/10-30-2022</v>
      </c>
      <c r="R76" s="101">
        <v>8820</v>
      </c>
      <c r="S76" s="101">
        <f t="shared" si="33"/>
        <v>4477.5</v>
      </c>
      <c r="T76" s="54">
        <f>T72</f>
        <v>4975</v>
      </c>
      <c r="U76" s="103">
        <f t="shared" si="34"/>
        <v>4975</v>
      </c>
      <c r="V76" s="104">
        <f t="shared" si="35"/>
        <v>6298.35</v>
      </c>
    </row>
    <row r="77" spans="1:29" s="40" customFormat="1" ht="14.45" customHeight="1" x14ac:dyDescent="0.25">
      <c r="A77" s="133" t="s">
        <v>437</v>
      </c>
      <c r="B77" s="51" t="s">
        <v>394</v>
      </c>
      <c r="C77" s="94" t="s">
        <v>54</v>
      </c>
      <c r="D77" s="95" t="s">
        <v>383</v>
      </c>
      <c r="E77" s="96" t="s">
        <v>114</v>
      </c>
      <c r="F77" s="97" t="s">
        <v>270</v>
      </c>
      <c r="G77" s="98">
        <f t="shared" si="28"/>
        <v>6610</v>
      </c>
      <c r="H77" s="99">
        <f t="shared" si="29"/>
        <v>7140</v>
      </c>
      <c r="I77" s="99">
        <f t="shared" si="30"/>
        <v>7140</v>
      </c>
      <c r="J77" s="99">
        <f t="shared" si="31"/>
        <v>8570</v>
      </c>
      <c r="K77" s="57"/>
      <c r="L77" s="156" t="s">
        <v>384</v>
      </c>
      <c r="M77" s="52" t="s">
        <v>401</v>
      </c>
      <c r="N77" s="40">
        <v>0</v>
      </c>
      <c r="O77" s="53">
        <f>VLOOKUP(B77,DRAYAGE!$A$1:$C$107,3,FALSE)</f>
        <v>1785</v>
      </c>
      <c r="P77" s="40" t="s">
        <v>416</v>
      </c>
      <c r="Q77" s="40" t="str">
        <f t="shared" si="32"/>
        <v>LAX-144761/10-30-2022</v>
      </c>
      <c r="R77" s="101">
        <v>8640</v>
      </c>
      <c r="S77" s="101">
        <f t="shared" si="33"/>
        <v>4819.5</v>
      </c>
      <c r="T77" s="54">
        <f>T68+175</f>
        <v>5355</v>
      </c>
      <c r="U77" s="103">
        <f t="shared" si="34"/>
        <v>5355</v>
      </c>
      <c r="V77" s="104">
        <f t="shared" si="35"/>
        <v>6779.43</v>
      </c>
    </row>
    <row r="78" spans="1:29" s="40" customFormat="1" ht="14.45" customHeight="1" x14ac:dyDescent="0.25">
      <c r="A78" s="212" t="s">
        <v>271</v>
      </c>
      <c r="B78" s="212"/>
      <c r="C78" s="212"/>
      <c r="D78" s="212"/>
      <c r="E78" s="212"/>
      <c r="F78" s="212"/>
      <c r="G78" s="212"/>
      <c r="H78" s="212"/>
      <c r="I78" s="212"/>
      <c r="J78" s="212"/>
      <c r="K78" s="57"/>
      <c r="L78" s="100"/>
      <c r="M78" s="100"/>
      <c r="R78" s="37"/>
      <c r="S78" s="37"/>
      <c r="T78" s="37"/>
      <c r="U78" s="37"/>
      <c r="V78" s="37"/>
    </row>
    <row r="79" spans="1:29" s="40" customFormat="1" ht="21.4" customHeight="1" x14ac:dyDescent="0.25">
      <c r="A79" s="167"/>
      <c r="B79" s="168"/>
      <c r="C79" s="168"/>
      <c r="D79" s="168"/>
      <c r="E79" s="168"/>
      <c r="F79" s="168"/>
      <c r="G79" s="168"/>
      <c r="H79" s="168"/>
      <c r="I79" s="168"/>
      <c r="J79" s="168"/>
      <c r="K79" s="57"/>
      <c r="L79" s="100"/>
      <c r="M79" s="100"/>
      <c r="S79" s="37"/>
      <c r="T79" s="37"/>
      <c r="U79" s="37"/>
      <c r="V79" s="37"/>
      <c r="W79" s="37"/>
    </row>
    <row r="80" spans="1:29" s="37" customFormat="1" ht="14.45" customHeight="1" x14ac:dyDescent="0.25">
      <c r="A80" s="180" t="s">
        <v>111</v>
      </c>
      <c r="B80" s="180"/>
      <c r="C80" s="180"/>
      <c r="D80" s="180"/>
      <c r="E80" s="180"/>
      <c r="F80" s="180"/>
      <c r="G80" s="180"/>
      <c r="H80" s="180"/>
      <c r="I80" s="180"/>
      <c r="J80" s="180"/>
      <c r="K80" s="57"/>
    </row>
    <row r="81" spans="1:17" s="37" customFormat="1" ht="14.45" customHeight="1" x14ac:dyDescent="0.25">
      <c r="A81" s="208" t="s">
        <v>112</v>
      </c>
      <c r="B81" s="208"/>
      <c r="C81" s="208"/>
      <c r="D81" s="208"/>
      <c r="E81" s="208"/>
      <c r="F81" s="208"/>
      <c r="G81" s="208"/>
      <c r="H81" s="208"/>
      <c r="I81" s="208"/>
      <c r="J81" s="208"/>
      <c r="K81" s="57"/>
    </row>
    <row r="82" spans="1:17" s="37" customFormat="1" ht="14.45" customHeight="1" x14ac:dyDescent="0.25">
      <c r="A82" s="186" t="s">
        <v>67</v>
      </c>
      <c r="B82" s="186"/>
      <c r="C82" s="186"/>
      <c r="D82" s="186"/>
      <c r="E82" s="186" t="s">
        <v>68</v>
      </c>
      <c r="F82" s="186"/>
      <c r="G82" s="186"/>
      <c r="H82" s="186"/>
      <c r="I82" s="186"/>
      <c r="J82" s="186"/>
      <c r="K82" s="57"/>
      <c r="L82" s="209" t="s">
        <v>113</v>
      </c>
      <c r="M82" s="209"/>
      <c r="N82" s="209"/>
      <c r="O82" s="209"/>
      <c r="P82" s="209"/>
      <c r="Q82" s="209"/>
    </row>
    <row r="83" spans="1:17" s="37" customFormat="1" ht="14.45" customHeight="1" x14ac:dyDescent="0.25">
      <c r="A83" s="196" t="s">
        <v>69</v>
      </c>
      <c r="B83" s="196"/>
      <c r="C83" s="196"/>
      <c r="D83" s="196"/>
      <c r="E83" s="58" t="s">
        <v>114</v>
      </c>
      <c r="F83" s="196" t="s">
        <v>70</v>
      </c>
      <c r="G83" s="196"/>
      <c r="H83" s="196"/>
      <c r="I83" s="196"/>
      <c r="J83" s="196"/>
      <c r="K83" s="57"/>
      <c r="L83" s="197" t="s">
        <v>115</v>
      </c>
      <c r="M83" s="197"/>
      <c r="N83" s="197"/>
      <c r="O83" s="197"/>
      <c r="P83" s="197"/>
      <c r="Q83" s="197"/>
    </row>
    <row r="84" spans="1:17" s="37" customFormat="1" ht="14.45" customHeight="1" x14ac:dyDescent="0.25">
      <c r="A84" s="196" t="s">
        <v>71</v>
      </c>
      <c r="B84" s="196"/>
      <c r="C84" s="196"/>
      <c r="D84" s="201"/>
      <c r="E84" s="58" t="s">
        <v>114</v>
      </c>
      <c r="F84" s="196" t="s">
        <v>116</v>
      </c>
      <c r="G84" s="196"/>
      <c r="H84" s="196"/>
      <c r="I84" s="196"/>
      <c r="J84" s="196"/>
      <c r="K84" s="57"/>
      <c r="L84" s="197"/>
      <c r="M84" s="197"/>
      <c r="N84" s="197"/>
      <c r="O84" s="197"/>
      <c r="P84" s="197"/>
      <c r="Q84" s="197"/>
    </row>
    <row r="85" spans="1:17" s="37" customFormat="1" ht="18" customHeight="1" x14ac:dyDescent="0.25">
      <c r="A85" s="196" t="s">
        <v>117</v>
      </c>
      <c r="B85" s="196"/>
      <c r="C85" s="196"/>
      <c r="D85" s="201"/>
      <c r="E85" s="58" t="s">
        <v>114</v>
      </c>
      <c r="F85" s="196" t="s">
        <v>306</v>
      </c>
      <c r="G85" s="196"/>
      <c r="H85" s="196"/>
      <c r="I85" s="196"/>
      <c r="J85" s="196"/>
      <c r="K85" s="57"/>
      <c r="L85" s="59" t="s">
        <v>118</v>
      </c>
      <c r="M85" s="129"/>
      <c r="N85" s="129"/>
      <c r="O85" s="129"/>
      <c r="P85" s="129"/>
      <c r="Q85" s="129"/>
    </row>
    <row r="86" spans="1:17" s="177" customFormat="1" ht="18" customHeight="1" x14ac:dyDescent="0.25">
      <c r="A86" s="224" t="s">
        <v>485</v>
      </c>
      <c r="B86" s="225"/>
      <c r="C86" s="225"/>
      <c r="D86" s="226"/>
      <c r="E86" s="115" t="s">
        <v>127</v>
      </c>
      <c r="F86" s="224" t="s">
        <v>278</v>
      </c>
      <c r="G86" s="225"/>
      <c r="H86" s="225"/>
      <c r="I86" s="225"/>
      <c r="J86" s="226"/>
      <c r="K86" s="174"/>
      <c r="L86" s="175"/>
      <c r="M86" s="176"/>
      <c r="N86" s="176"/>
      <c r="O86" s="176"/>
      <c r="P86" s="176"/>
      <c r="Q86" s="176"/>
    </row>
    <row r="87" spans="1:17" s="37" customFormat="1" ht="32.65" customHeight="1" x14ac:dyDescent="0.25">
      <c r="A87" s="202" t="s">
        <v>388</v>
      </c>
      <c r="B87" s="202"/>
      <c r="C87" s="202"/>
      <c r="D87" s="203"/>
      <c r="E87" s="58" t="s">
        <v>127</v>
      </c>
      <c r="F87" s="185" t="s">
        <v>423</v>
      </c>
      <c r="G87" s="185"/>
      <c r="H87" s="185"/>
      <c r="I87" s="185"/>
      <c r="J87" s="185"/>
      <c r="K87" s="57"/>
      <c r="L87" s="59" t="s">
        <v>118</v>
      </c>
      <c r="M87" s="129"/>
      <c r="N87" s="129"/>
      <c r="O87" s="129"/>
      <c r="P87" s="129"/>
      <c r="Q87" s="129"/>
    </row>
    <row r="88" spans="1:17" s="37" customFormat="1" ht="36.950000000000003" customHeight="1" x14ac:dyDescent="0.25">
      <c r="A88" s="196" t="s">
        <v>367</v>
      </c>
      <c r="B88" s="196"/>
      <c r="C88" s="196"/>
      <c r="D88" s="201"/>
      <c r="E88" s="58" t="s">
        <v>114</v>
      </c>
      <c r="F88" s="185" t="s">
        <v>368</v>
      </c>
      <c r="G88" s="185"/>
      <c r="H88" s="185"/>
      <c r="I88" s="185"/>
      <c r="J88" s="185"/>
      <c r="K88" s="57"/>
      <c r="L88" s="59" t="s">
        <v>118</v>
      </c>
      <c r="M88" s="129"/>
      <c r="N88" s="129"/>
      <c r="O88" s="129"/>
      <c r="P88" s="129"/>
      <c r="Q88" s="129"/>
    </row>
    <row r="89" spans="1:17" s="37" customFormat="1" ht="70.349999999999994" customHeight="1" x14ac:dyDescent="0.25">
      <c r="A89" s="204" t="s">
        <v>438</v>
      </c>
      <c r="B89" s="204"/>
      <c r="C89" s="204"/>
      <c r="D89" s="205"/>
      <c r="E89" s="58" t="s">
        <v>114</v>
      </c>
      <c r="F89" s="204" t="s">
        <v>439</v>
      </c>
      <c r="G89" s="204"/>
      <c r="H89" s="204"/>
      <c r="I89" s="204"/>
      <c r="J89" s="204"/>
      <c r="K89" s="132"/>
      <c r="L89" s="59" t="s">
        <v>118</v>
      </c>
      <c r="M89" s="129"/>
      <c r="N89" s="129"/>
      <c r="O89" s="129"/>
      <c r="P89" s="129"/>
      <c r="Q89" s="129"/>
    </row>
    <row r="90" spans="1:17" s="37" customFormat="1" ht="14.45" customHeight="1" x14ac:dyDescent="0.25">
      <c r="A90" s="196" t="s">
        <v>119</v>
      </c>
      <c r="B90" s="196"/>
      <c r="C90" s="196"/>
      <c r="D90" s="196"/>
      <c r="E90" s="58" t="s">
        <v>114</v>
      </c>
      <c r="F90" s="196" t="s">
        <v>120</v>
      </c>
      <c r="G90" s="196"/>
      <c r="H90" s="196"/>
      <c r="I90" s="196"/>
      <c r="J90" s="196"/>
      <c r="K90" s="132"/>
      <c r="L90" s="197" t="s">
        <v>121</v>
      </c>
      <c r="M90" s="197"/>
      <c r="N90" s="197"/>
      <c r="O90" s="197"/>
      <c r="P90" s="197"/>
      <c r="Q90" s="197"/>
    </row>
    <row r="91" spans="1:17" s="37" customFormat="1" ht="14.45" customHeight="1" x14ac:dyDescent="0.25">
      <c r="A91" s="196" t="s">
        <v>122</v>
      </c>
      <c r="B91" s="196"/>
      <c r="C91" s="196"/>
      <c r="D91" s="196"/>
      <c r="E91" s="58" t="s">
        <v>114</v>
      </c>
      <c r="F91" s="196" t="s">
        <v>123</v>
      </c>
      <c r="G91" s="196"/>
      <c r="H91" s="196"/>
      <c r="I91" s="196"/>
      <c r="J91" s="196"/>
      <c r="K91" s="132"/>
      <c r="L91" s="197"/>
      <c r="M91" s="197"/>
      <c r="N91" s="197"/>
      <c r="O91" s="197"/>
      <c r="P91" s="197"/>
      <c r="Q91" s="197"/>
    </row>
    <row r="92" spans="1:17" s="37" customFormat="1" ht="14.45" customHeight="1" x14ac:dyDescent="0.25">
      <c r="A92" s="196" t="s">
        <v>277</v>
      </c>
      <c r="B92" s="196"/>
      <c r="C92" s="196"/>
      <c r="D92" s="196"/>
      <c r="E92" s="58" t="s">
        <v>114</v>
      </c>
      <c r="F92" s="196" t="s">
        <v>278</v>
      </c>
      <c r="G92" s="196"/>
      <c r="H92" s="196"/>
      <c r="I92" s="196"/>
      <c r="J92" s="196"/>
      <c r="K92" s="132"/>
      <c r="L92" s="197"/>
      <c r="M92" s="197"/>
      <c r="N92" s="197"/>
      <c r="O92" s="197"/>
      <c r="P92" s="197"/>
      <c r="Q92" s="197"/>
    </row>
    <row r="93" spans="1:17" s="37" customFormat="1" ht="14.45" customHeight="1" x14ac:dyDescent="0.25">
      <c r="A93" s="196" t="s">
        <v>124</v>
      </c>
      <c r="B93" s="196"/>
      <c r="C93" s="196"/>
      <c r="D93" s="196"/>
      <c r="E93" s="58" t="s">
        <v>114</v>
      </c>
      <c r="F93" s="196" t="s">
        <v>125</v>
      </c>
      <c r="G93" s="196"/>
      <c r="H93" s="196"/>
      <c r="I93" s="196"/>
      <c r="J93" s="196"/>
      <c r="K93" s="132"/>
      <c r="L93" s="197"/>
      <c r="M93" s="197"/>
      <c r="N93" s="197"/>
      <c r="O93" s="197"/>
      <c r="P93" s="197"/>
      <c r="Q93" s="197"/>
    </row>
    <row r="94" spans="1:17" s="37" customFormat="1" ht="18.95" customHeight="1" x14ac:dyDescent="0.25">
      <c r="A94" s="196" t="s">
        <v>126</v>
      </c>
      <c r="B94" s="196"/>
      <c r="C94" s="196"/>
      <c r="D94" s="201"/>
      <c r="E94" s="58" t="s">
        <v>127</v>
      </c>
      <c r="F94" s="128" t="s">
        <v>409</v>
      </c>
      <c r="G94" s="185" t="s">
        <v>410</v>
      </c>
      <c r="H94" s="185"/>
      <c r="I94" s="185"/>
      <c r="J94" s="185"/>
      <c r="K94" s="132"/>
      <c r="L94" s="197" t="s">
        <v>130</v>
      </c>
      <c r="M94" s="197"/>
      <c r="N94" s="197"/>
      <c r="O94" s="197"/>
      <c r="P94" s="197"/>
      <c r="Q94" s="197"/>
    </row>
    <row r="95" spans="1:17" s="37" customFormat="1" ht="24.95" customHeight="1" x14ac:dyDescent="0.25">
      <c r="A95" s="196" t="s">
        <v>126</v>
      </c>
      <c r="B95" s="196"/>
      <c r="C95" s="196"/>
      <c r="D95" s="196"/>
      <c r="E95" s="58" t="s">
        <v>127</v>
      </c>
      <c r="F95" s="128" t="s">
        <v>131</v>
      </c>
      <c r="G95" s="185" t="s">
        <v>374</v>
      </c>
      <c r="H95" s="185"/>
      <c r="I95" s="185"/>
      <c r="J95" s="185"/>
      <c r="K95" s="132"/>
      <c r="L95" s="197" t="s">
        <v>130</v>
      </c>
      <c r="M95" s="197"/>
      <c r="N95" s="197"/>
      <c r="O95" s="197"/>
      <c r="P95" s="197"/>
      <c r="Q95" s="197"/>
    </row>
    <row r="96" spans="1:17" s="37" customFormat="1" ht="24.95" customHeight="1" x14ac:dyDescent="0.25">
      <c r="A96" s="196" t="s">
        <v>372</v>
      </c>
      <c r="B96" s="196"/>
      <c r="C96" s="196"/>
      <c r="D96" s="196"/>
      <c r="E96" s="58" t="s">
        <v>127</v>
      </c>
      <c r="F96" s="128" t="s">
        <v>131</v>
      </c>
      <c r="G96" s="185" t="s">
        <v>385</v>
      </c>
      <c r="H96" s="185"/>
      <c r="I96" s="185"/>
      <c r="J96" s="185"/>
      <c r="K96" s="132"/>
      <c r="L96" s="197" t="s">
        <v>130</v>
      </c>
      <c r="M96" s="197"/>
      <c r="N96" s="197"/>
      <c r="O96" s="197"/>
      <c r="P96" s="197"/>
      <c r="Q96" s="197"/>
    </row>
    <row r="97" spans="1:17" s="37" customFormat="1" ht="37.5" customHeight="1" x14ac:dyDescent="0.25">
      <c r="A97" s="198" t="s">
        <v>311</v>
      </c>
      <c r="B97" s="199"/>
      <c r="C97" s="199"/>
      <c r="D97" s="200"/>
      <c r="E97" s="198" t="s">
        <v>312</v>
      </c>
      <c r="F97" s="199"/>
      <c r="G97" s="199"/>
      <c r="H97" s="199"/>
      <c r="I97" s="199"/>
      <c r="J97" s="200"/>
      <c r="K97" s="132"/>
      <c r="L97" s="197"/>
      <c r="M97" s="197"/>
      <c r="N97" s="197"/>
      <c r="O97" s="197"/>
      <c r="P97" s="197"/>
      <c r="Q97" s="197"/>
    </row>
    <row r="98" spans="1:17" s="37" customFormat="1" ht="14.45" customHeight="1" x14ac:dyDescent="0.25">
      <c r="A98" s="180" t="s">
        <v>133</v>
      </c>
      <c r="B98" s="180"/>
      <c r="C98" s="180"/>
      <c r="D98" s="180"/>
      <c r="E98" s="180"/>
      <c r="F98" s="180"/>
      <c r="G98" s="180"/>
      <c r="H98" s="180"/>
      <c r="I98" s="180"/>
      <c r="J98" s="180"/>
      <c r="K98" s="57"/>
      <c r="L98" s="129"/>
      <c r="M98" s="129"/>
    </row>
    <row r="99" spans="1:17" s="37" customFormat="1" ht="14.45" customHeight="1" x14ac:dyDescent="0.2">
      <c r="A99" s="60" t="s">
        <v>134</v>
      </c>
      <c r="B99" s="60" t="s">
        <v>135</v>
      </c>
      <c r="C99" s="60" t="s">
        <v>136</v>
      </c>
      <c r="D99" s="193" t="s">
        <v>137</v>
      </c>
      <c r="E99" s="194"/>
      <c r="F99" s="195"/>
      <c r="G99" s="61" t="s">
        <v>138</v>
      </c>
      <c r="H99" s="60" t="s">
        <v>139</v>
      </c>
      <c r="I99" s="61" t="s">
        <v>140</v>
      </c>
      <c r="J99" s="61" t="s">
        <v>141</v>
      </c>
      <c r="K99" s="57"/>
      <c r="L99" s="129"/>
      <c r="M99" s="129"/>
    </row>
    <row r="100" spans="1:17" s="37" customFormat="1" ht="14.45" customHeight="1" x14ac:dyDescent="0.2">
      <c r="A100" s="62" t="s">
        <v>142</v>
      </c>
      <c r="B100" s="62" t="s">
        <v>49</v>
      </c>
      <c r="C100" s="62" t="s">
        <v>143</v>
      </c>
      <c r="D100" s="187" t="s">
        <v>144</v>
      </c>
      <c r="E100" s="188"/>
      <c r="F100" s="189"/>
      <c r="G100" s="63">
        <v>50</v>
      </c>
      <c r="H100" s="62" t="s">
        <v>145</v>
      </c>
      <c r="I100" s="63">
        <v>150</v>
      </c>
      <c r="J100" s="63" t="s">
        <v>110</v>
      </c>
      <c r="K100" s="57"/>
      <c r="L100" s="129"/>
      <c r="M100" s="129"/>
    </row>
    <row r="101" spans="1:17" s="37" customFormat="1" ht="14.45" customHeight="1" x14ac:dyDescent="0.2">
      <c r="A101" s="62" t="s">
        <v>142</v>
      </c>
      <c r="B101" s="62" t="s">
        <v>146</v>
      </c>
      <c r="C101" s="62" t="s">
        <v>147</v>
      </c>
      <c r="D101" s="187" t="s">
        <v>148</v>
      </c>
      <c r="E101" s="188"/>
      <c r="F101" s="189"/>
      <c r="G101" s="63">
        <v>3</v>
      </c>
      <c r="H101" s="62" t="s">
        <v>149</v>
      </c>
      <c r="I101" s="63">
        <v>3</v>
      </c>
      <c r="J101" s="63" t="s">
        <v>110</v>
      </c>
      <c r="K101" s="57"/>
      <c r="L101" s="129"/>
      <c r="M101" s="129"/>
    </row>
    <row r="102" spans="1:17" s="37" customFormat="1" ht="14.45" customHeight="1" x14ac:dyDescent="0.2">
      <c r="A102" s="62" t="s">
        <v>150</v>
      </c>
      <c r="B102" s="62" t="s">
        <v>146</v>
      </c>
      <c r="C102" s="62" t="s">
        <v>147</v>
      </c>
      <c r="D102" s="187" t="s">
        <v>151</v>
      </c>
      <c r="E102" s="188"/>
      <c r="F102" s="189"/>
      <c r="G102" s="63">
        <v>3</v>
      </c>
      <c r="H102" s="62" t="s">
        <v>152</v>
      </c>
      <c r="I102" s="63">
        <v>3</v>
      </c>
      <c r="J102" s="63" t="s">
        <v>110</v>
      </c>
      <c r="K102" s="57"/>
      <c r="L102" s="129"/>
      <c r="M102" s="129"/>
    </row>
    <row r="103" spans="1:17" s="37" customFormat="1" ht="14.45" customHeight="1" x14ac:dyDescent="0.2">
      <c r="A103" s="62" t="s">
        <v>173</v>
      </c>
      <c r="B103" s="62" t="s">
        <v>49</v>
      </c>
      <c r="C103" s="62" t="s">
        <v>143</v>
      </c>
      <c r="D103" s="187" t="s">
        <v>313</v>
      </c>
      <c r="E103" s="188"/>
      <c r="F103" s="189"/>
      <c r="G103" s="66">
        <v>75</v>
      </c>
      <c r="H103" s="62" t="s">
        <v>145</v>
      </c>
      <c r="I103" s="66">
        <f>75*3</f>
        <v>225</v>
      </c>
      <c r="J103" s="66" t="s">
        <v>314</v>
      </c>
      <c r="K103" s="132"/>
      <c r="L103" s="129"/>
      <c r="M103" s="129"/>
    </row>
    <row r="104" spans="1:17" s="37" customFormat="1" ht="14.45" customHeight="1" x14ac:dyDescent="0.2">
      <c r="A104" s="62" t="s">
        <v>142</v>
      </c>
      <c r="B104" s="62" t="s">
        <v>49</v>
      </c>
      <c r="C104" s="62" t="s">
        <v>143</v>
      </c>
      <c r="D104" s="187" t="s">
        <v>279</v>
      </c>
      <c r="E104" s="188"/>
      <c r="F104" s="189"/>
      <c r="G104" s="63">
        <v>150</v>
      </c>
      <c r="H104" s="62" t="s">
        <v>280</v>
      </c>
      <c r="I104" s="63" t="s">
        <v>153</v>
      </c>
      <c r="J104" s="63" t="s">
        <v>110</v>
      </c>
      <c r="K104" s="57"/>
      <c r="L104" s="129"/>
      <c r="M104" s="129"/>
    </row>
    <row r="105" spans="1:17" s="37" customFormat="1" ht="14.45" customHeight="1" x14ac:dyDescent="0.2">
      <c r="A105" s="62" t="s">
        <v>154</v>
      </c>
      <c r="B105" s="62" t="s">
        <v>49</v>
      </c>
      <c r="C105" s="62" t="s">
        <v>143</v>
      </c>
      <c r="D105" s="187" t="s">
        <v>155</v>
      </c>
      <c r="E105" s="188"/>
      <c r="F105" s="189"/>
      <c r="G105" s="63">
        <v>250</v>
      </c>
      <c r="H105" s="62" t="s">
        <v>49</v>
      </c>
      <c r="I105" s="63" t="s">
        <v>153</v>
      </c>
      <c r="J105" s="63" t="s">
        <v>110</v>
      </c>
      <c r="K105" s="57"/>
      <c r="L105" s="129"/>
      <c r="M105" s="129"/>
    </row>
    <row r="106" spans="1:17" s="37" customFormat="1" ht="14.45" customHeight="1" x14ac:dyDescent="0.2">
      <c r="A106" s="65" t="s">
        <v>156</v>
      </c>
      <c r="B106" s="65" t="s">
        <v>49</v>
      </c>
      <c r="C106" s="65" t="s">
        <v>143</v>
      </c>
      <c r="D106" s="187" t="s">
        <v>157</v>
      </c>
      <c r="E106" s="188"/>
      <c r="F106" s="189"/>
      <c r="G106" s="63">
        <v>250</v>
      </c>
      <c r="H106" s="62" t="s">
        <v>49</v>
      </c>
      <c r="I106" s="63" t="s">
        <v>153</v>
      </c>
      <c r="J106" s="63" t="s">
        <v>110</v>
      </c>
      <c r="K106" s="57"/>
      <c r="L106" s="129"/>
      <c r="M106" s="129"/>
    </row>
    <row r="107" spans="1:17" s="37" customFormat="1" ht="14.45" customHeight="1" x14ac:dyDescent="0.2">
      <c r="A107" s="62" t="s">
        <v>142</v>
      </c>
      <c r="B107" s="62" t="s">
        <v>49</v>
      </c>
      <c r="C107" s="62" t="s">
        <v>143</v>
      </c>
      <c r="D107" s="187" t="s">
        <v>281</v>
      </c>
      <c r="E107" s="188"/>
      <c r="F107" s="189"/>
      <c r="G107" s="63">
        <v>200</v>
      </c>
      <c r="H107" s="62" t="s">
        <v>280</v>
      </c>
      <c r="I107" s="63" t="s">
        <v>153</v>
      </c>
      <c r="J107" s="63" t="s">
        <v>110</v>
      </c>
      <c r="K107" s="57"/>
      <c r="L107" s="129"/>
      <c r="M107" s="129"/>
    </row>
    <row r="108" spans="1:17" s="37" customFormat="1" ht="14.45" customHeight="1" x14ac:dyDescent="0.2">
      <c r="A108" s="62" t="s">
        <v>142</v>
      </c>
      <c r="B108" s="62" t="s">
        <v>49</v>
      </c>
      <c r="C108" s="62" t="s">
        <v>143</v>
      </c>
      <c r="D108" s="187" t="s">
        <v>158</v>
      </c>
      <c r="E108" s="188"/>
      <c r="F108" s="189"/>
      <c r="G108" s="66">
        <v>150</v>
      </c>
      <c r="H108" s="62" t="s">
        <v>49</v>
      </c>
      <c r="I108" s="66" t="s">
        <v>153</v>
      </c>
      <c r="J108" s="63" t="s">
        <v>110</v>
      </c>
      <c r="K108" s="57"/>
      <c r="L108" s="129"/>
      <c r="M108" s="129"/>
    </row>
    <row r="109" spans="1:17" s="37" customFormat="1" ht="14.45" customHeight="1" x14ac:dyDescent="0.2">
      <c r="A109" s="62" t="s">
        <v>150</v>
      </c>
      <c r="B109" s="67" t="s">
        <v>49</v>
      </c>
      <c r="C109" s="62" t="s">
        <v>143</v>
      </c>
      <c r="D109" s="187" t="s">
        <v>159</v>
      </c>
      <c r="E109" s="188"/>
      <c r="F109" s="189"/>
      <c r="G109" s="68">
        <v>180</v>
      </c>
      <c r="H109" s="67" t="s">
        <v>49</v>
      </c>
      <c r="I109" s="68" t="s">
        <v>153</v>
      </c>
      <c r="J109" s="63" t="s">
        <v>110</v>
      </c>
      <c r="K109" s="57"/>
      <c r="L109" s="129"/>
      <c r="M109" s="129"/>
    </row>
    <row r="110" spans="1:17" s="37" customFormat="1" ht="14.45" customHeight="1" x14ac:dyDescent="0.2">
      <c r="A110" s="62" t="s">
        <v>160</v>
      </c>
      <c r="B110" s="67" t="s">
        <v>49</v>
      </c>
      <c r="C110" s="62" t="s">
        <v>143</v>
      </c>
      <c r="D110" s="187" t="s">
        <v>161</v>
      </c>
      <c r="E110" s="188"/>
      <c r="F110" s="189"/>
      <c r="G110" s="69">
        <v>47.9</v>
      </c>
      <c r="H110" s="67" t="s">
        <v>24</v>
      </c>
      <c r="I110" s="69">
        <v>47.9</v>
      </c>
      <c r="J110" s="63" t="s">
        <v>110</v>
      </c>
      <c r="K110" s="57"/>
      <c r="L110" s="129"/>
      <c r="M110" s="129"/>
    </row>
    <row r="111" spans="1:17" s="37" customFormat="1" ht="14.45" customHeight="1" x14ac:dyDescent="0.2">
      <c r="A111" s="62" t="s">
        <v>160</v>
      </c>
      <c r="B111" s="67" t="s">
        <v>49</v>
      </c>
      <c r="C111" s="62" t="s">
        <v>143</v>
      </c>
      <c r="D111" s="187" t="s">
        <v>161</v>
      </c>
      <c r="E111" s="188"/>
      <c r="F111" s="189"/>
      <c r="G111" s="69">
        <v>65.400000000000006</v>
      </c>
      <c r="H111" s="67" t="s">
        <v>162</v>
      </c>
      <c r="I111" s="69">
        <v>65.400000000000006</v>
      </c>
      <c r="J111" s="63" t="s">
        <v>110</v>
      </c>
      <c r="K111" s="57"/>
      <c r="L111" s="129"/>
      <c r="M111" s="129"/>
    </row>
    <row r="112" spans="1:17" s="37" customFormat="1" ht="14.1" customHeight="1" x14ac:dyDescent="0.2">
      <c r="A112" s="62" t="s">
        <v>163</v>
      </c>
      <c r="B112" s="67" t="s">
        <v>49</v>
      </c>
      <c r="C112" s="62" t="s">
        <v>143</v>
      </c>
      <c r="D112" s="187" t="s">
        <v>164</v>
      </c>
      <c r="E112" s="188"/>
      <c r="F112" s="189"/>
      <c r="G112" s="69">
        <v>48</v>
      </c>
      <c r="H112" s="67" t="s">
        <v>49</v>
      </c>
      <c r="I112" s="69">
        <v>48</v>
      </c>
      <c r="J112" s="63" t="s">
        <v>110</v>
      </c>
      <c r="K112" s="57"/>
      <c r="L112" s="129"/>
      <c r="M112" s="129"/>
    </row>
    <row r="113" spans="1:13" s="37" customFormat="1" ht="14.45" customHeight="1" x14ac:dyDescent="0.2">
      <c r="A113" s="62" t="s">
        <v>163</v>
      </c>
      <c r="B113" s="67" t="s">
        <v>49</v>
      </c>
      <c r="C113" s="62" t="s">
        <v>143</v>
      </c>
      <c r="D113" s="187" t="s">
        <v>165</v>
      </c>
      <c r="E113" s="188"/>
      <c r="F113" s="189"/>
      <c r="G113" s="69">
        <v>18</v>
      </c>
      <c r="H113" s="67" t="s">
        <v>49</v>
      </c>
      <c r="I113" s="69">
        <v>18</v>
      </c>
      <c r="J113" s="63" t="s">
        <v>110</v>
      </c>
      <c r="K113" s="57"/>
      <c r="L113" s="129"/>
      <c r="M113" s="129"/>
    </row>
    <row r="114" spans="1:13" s="37" customFormat="1" ht="14.45" customHeight="1" x14ac:dyDescent="0.2">
      <c r="A114" s="62" t="s">
        <v>163</v>
      </c>
      <c r="B114" s="67" t="s">
        <v>49</v>
      </c>
      <c r="C114" s="62" t="s">
        <v>143</v>
      </c>
      <c r="D114" s="187" t="s">
        <v>166</v>
      </c>
      <c r="E114" s="188"/>
      <c r="F114" s="189"/>
      <c r="G114" s="69">
        <v>42</v>
      </c>
      <c r="H114" s="67" t="s">
        <v>49</v>
      </c>
      <c r="I114" s="69">
        <v>42</v>
      </c>
      <c r="J114" s="63" t="s">
        <v>110</v>
      </c>
      <c r="K114" s="57"/>
      <c r="L114" s="129"/>
      <c r="M114" s="129"/>
    </row>
    <row r="115" spans="1:13" s="37" customFormat="1" ht="14.45" customHeight="1" x14ac:dyDescent="0.2">
      <c r="A115" s="62" t="s">
        <v>167</v>
      </c>
      <c r="B115" s="62" t="s">
        <v>49</v>
      </c>
      <c r="C115" s="62" t="s">
        <v>143</v>
      </c>
      <c r="D115" s="187" t="s">
        <v>168</v>
      </c>
      <c r="E115" s="188"/>
      <c r="F115" s="189"/>
      <c r="G115" s="66">
        <v>54</v>
      </c>
      <c r="H115" s="62" t="s">
        <v>49</v>
      </c>
      <c r="I115" s="66">
        <v>54</v>
      </c>
      <c r="J115" s="63" t="s">
        <v>110</v>
      </c>
      <c r="K115" s="57"/>
      <c r="L115" s="129"/>
      <c r="M115" s="129"/>
    </row>
    <row r="116" spans="1:13" s="37" customFormat="1" ht="14.45" customHeight="1" x14ac:dyDescent="0.2">
      <c r="A116" s="67" t="s">
        <v>169</v>
      </c>
      <c r="B116" s="67" t="s">
        <v>49</v>
      </c>
      <c r="C116" s="67" t="s">
        <v>147</v>
      </c>
      <c r="D116" s="187" t="s">
        <v>170</v>
      </c>
      <c r="E116" s="188"/>
      <c r="F116" s="189"/>
      <c r="G116" s="70">
        <v>35</v>
      </c>
      <c r="H116" s="70" t="s">
        <v>280</v>
      </c>
      <c r="I116" s="70">
        <v>35</v>
      </c>
      <c r="J116" s="63" t="s">
        <v>110</v>
      </c>
      <c r="K116" s="57"/>
      <c r="L116" s="129"/>
      <c r="M116" s="129"/>
    </row>
    <row r="117" spans="1:13" s="37" customFormat="1" ht="14.45" customHeight="1" x14ac:dyDescent="0.2">
      <c r="A117" s="62" t="s">
        <v>142</v>
      </c>
      <c r="B117" s="62" t="s">
        <v>49</v>
      </c>
      <c r="C117" s="62" t="s">
        <v>143</v>
      </c>
      <c r="D117" s="187" t="s">
        <v>171</v>
      </c>
      <c r="E117" s="188"/>
      <c r="F117" s="189"/>
      <c r="G117" s="63">
        <v>85</v>
      </c>
      <c r="H117" s="62" t="s">
        <v>172</v>
      </c>
      <c r="I117" s="63" t="s">
        <v>153</v>
      </c>
      <c r="J117" s="63" t="s">
        <v>110</v>
      </c>
      <c r="K117" s="57"/>
      <c r="L117" s="129"/>
      <c r="M117" s="129"/>
    </row>
    <row r="118" spans="1:13" s="37" customFormat="1" ht="14.45" customHeight="1" x14ac:dyDescent="0.2">
      <c r="A118" s="62" t="s">
        <v>173</v>
      </c>
      <c r="B118" s="62" t="s">
        <v>146</v>
      </c>
      <c r="C118" s="62" t="s">
        <v>147</v>
      </c>
      <c r="D118" s="187" t="s">
        <v>174</v>
      </c>
      <c r="E118" s="188"/>
      <c r="F118" s="189"/>
      <c r="G118" s="63">
        <v>4</v>
      </c>
      <c r="H118" s="62" t="s">
        <v>149</v>
      </c>
      <c r="I118" s="63">
        <v>4</v>
      </c>
      <c r="J118" s="63" t="s">
        <v>110</v>
      </c>
      <c r="K118" s="57"/>
      <c r="L118" s="129"/>
      <c r="M118" s="129"/>
    </row>
    <row r="119" spans="1:13" s="37" customFormat="1" ht="24" customHeight="1" x14ac:dyDescent="0.2">
      <c r="A119" s="62" t="s">
        <v>173</v>
      </c>
      <c r="B119" s="62" t="s">
        <v>49</v>
      </c>
      <c r="C119" s="62" t="s">
        <v>143</v>
      </c>
      <c r="D119" s="187" t="s">
        <v>175</v>
      </c>
      <c r="E119" s="188"/>
      <c r="F119" s="189"/>
      <c r="G119" s="137" t="s">
        <v>348</v>
      </c>
      <c r="H119" s="62" t="s">
        <v>24</v>
      </c>
      <c r="I119" s="66" t="s">
        <v>153</v>
      </c>
      <c r="J119" s="63" t="s">
        <v>282</v>
      </c>
      <c r="K119" s="57"/>
      <c r="L119" s="129"/>
      <c r="M119" s="129"/>
    </row>
    <row r="120" spans="1:13" s="37" customFormat="1" ht="27" customHeight="1" x14ac:dyDescent="0.2">
      <c r="A120" s="62" t="s">
        <v>173</v>
      </c>
      <c r="B120" s="62" t="s">
        <v>49</v>
      </c>
      <c r="C120" s="62" t="s">
        <v>143</v>
      </c>
      <c r="D120" s="187" t="s">
        <v>176</v>
      </c>
      <c r="E120" s="188"/>
      <c r="F120" s="189"/>
      <c r="G120" s="137" t="s">
        <v>348</v>
      </c>
      <c r="H120" s="62" t="s">
        <v>162</v>
      </c>
      <c r="I120" s="66" t="s">
        <v>153</v>
      </c>
      <c r="J120" s="63" t="s">
        <v>282</v>
      </c>
      <c r="K120" s="57"/>
      <c r="L120" s="129"/>
      <c r="M120" s="129"/>
    </row>
    <row r="121" spans="1:13" s="152" customFormat="1" ht="52.35" customHeight="1" x14ac:dyDescent="0.2">
      <c r="A121" s="67" t="s">
        <v>142</v>
      </c>
      <c r="B121" s="67" t="s">
        <v>49</v>
      </c>
      <c r="C121" s="147" t="s">
        <v>362</v>
      </c>
      <c r="D121" s="190" t="s">
        <v>363</v>
      </c>
      <c r="E121" s="191"/>
      <c r="F121" s="192"/>
      <c r="G121" s="146" t="s">
        <v>371</v>
      </c>
      <c r="H121" s="148" t="s">
        <v>280</v>
      </c>
      <c r="I121" s="69" t="s">
        <v>153</v>
      </c>
      <c r="J121" s="149" t="s">
        <v>365</v>
      </c>
      <c r="K121" s="111"/>
      <c r="L121" s="151"/>
      <c r="M121" s="151"/>
    </row>
    <row r="122" spans="1:13" s="37" customFormat="1" ht="14.45" customHeight="1" x14ac:dyDescent="0.2">
      <c r="A122" s="62" t="s">
        <v>173</v>
      </c>
      <c r="B122" s="62" t="s">
        <v>146</v>
      </c>
      <c r="C122" s="62" t="s">
        <v>147</v>
      </c>
      <c r="D122" s="187" t="s">
        <v>177</v>
      </c>
      <c r="E122" s="188"/>
      <c r="F122" s="189"/>
      <c r="G122" s="63">
        <v>2</v>
      </c>
      <c r="H122" s="62" t="s">
        <v>149</v>
      </c>
      <c r="I122" s="63">
        <v>2</v>
      </c>
      <c r="J122" s="63" t="s">
        <v>110</v>
      </c>
      <c r="K122" s="57"/>
      <c r="L122" s="129"/>
      <c r="M122" s="129"/>
    </row>
    <row r="123" spans="1:13" s="37" customFormat="1" ht="14.45" customHeight="1" x14ac:dyDescent="0.2">
      <c r="A123" s="62" t="s">
        <v>173</v>
      </c>
      <c r="B123" s="62" t="s">
        <v>146</v>
      </c>
      <c r="C123" s="62" t="s">
        <v>283</v>
      </c>
      <c r="D123" s="187" t="s">
        <v>284</v>
      </c>
      <c r="E123" s="188"/>
      <c r="F123" s="189"/>
      <c r="G123" s="63">
        <v>10</v>
      </c>
      <c r="H123" s="62" t="s">
        <v>285</v>
      </c>
      <c r="I123" s="63" t="s">
        <v>153</v>
      </c>
      <c r="J123" s="63" t="s">
        <v>110</v>
      </c>
      <c r="K123" s="57"/>
      <c r="L123" s="129"/>
      <c r="M123" s="129"/>
    </row>
    <row r="124" spans="1:13" s="37" customFormat="1" ht="14.45" customHeight="1" x14ac:dyDescent="0.2">
      <c r="A124" s="62" t="s">
        <v>142</v>
      </c>
      <c r="B124" s="62" t="s">
        <v>49</v>
      </c>
      <c r="C124" s="62" t="s">
        <v>143</v>
      </c>
      <c r="D124" s="187" t="s">
        <v>178</v>
      </c>
      <c r="E124" s="188"/>
      <c r="F124" s="189"/>
      <c r="G124" s="63">
        <v>50</v>
      </c>
      <c r="H124" s="62" t="s">
        <v>145</v>
      </c>
      <c r="I124" s="63" t="s">
        <v>153</v>
      </c>
      <c r="J124" s="63" t="s">
        <v>110</v>
      </c>
      <c r="K124" s="57"/>
      <c r="L124" s="129"/>
      <c r="M124" s="129"/>
    </row>
    <row r="125" spans="1:13" s="37" customFormat="1" ht="14.45" customHeight="1" x14ac:dyDescent="0.2">
      <c r="A125" s="62" t="s">
        <v>173</v>
      </c>
      <c r="B125" s="62" t="s">
        <v>49</v>
      </c>
      <c r="C125" s="62" t="s">
        <v>143</v>
      </c>
      <c r="D125" s="187" t="s">
        <v>179</v>
      </c>
      <c r="E125" s="188"/>
      <c r="F125" s="189"/>
      <c r="G125" s="63">
        <v>175</v>
      </c>
      <c r="H125" s="62" t="s">
        <v>49</v>
      </c>
      <c r="I125" s="63" t="s">
        <v>153</v>
      </c>
      <c r="J125" s="63" t="s">
        <v>110</v>
      </c>
      <c r="K125" s="57"/>
      <c r="L125" s="129"/>
      <c r="M125" s="129"/>
    </row>
    <row r="126" spans="1:13" s="37" customFormat="1" ht="14.45" customHeight="1" x14ac:dyDescent="0.2">
      <c r="A126" s="62" t="s">
        <v>142</v>
      </c>
      <c r="B126" s="62" t="s">
        <v>49</v>
      </c>
      <c r="C126" s="62" t="s">
        <v>147</v>
      </c>
      <c r="D126" s="187" t="s">
        <v>180</v>
      </c>
      <c r="E126" s="188"/>
      <c r="F126" s="189"/>
      <c r="G126" s="63">
        <v>40</v>
      </c>
      <c r="H126" s="62" t="s">
        <v>181</v>
      </c>
      <c r="I126" s="63" t="s">
        <v>153</v>
      </c>
      <c r="J126" s="63" t="s">
        <v>110</v>
      </c>
      <c r="K126" s="57"/>
      <c r="L126" s="129"/>
      <c r="M126" s="129"/>
    </row>
    <row r="127" spans="1:13" s="37" customFormat="1" ht="14.45" customHeight="1" x14ac:dyDescent="0.2">
      <c r="A127" s="62" t="s">
        <v>173</v>
      </c>
      <c r="B127" s="62" t="s">
        <v>146</v>
      </c>
      <c r="C127" s="62" t="s">
        <v>147</v>
      </c>
      <c r="D127" s="187" t="s">
        <v>182</v>
      </c>
      <c r="E127" s="188"/>
      <c r="F127" s="189"/>
      <c r="G127" s="63">
        <v>7.5</v>
      </c>
      <c r="H127" s="62" t="s">
        <v>152</v>
      </c>
      <c r="I127" s="63">
        <v>75</v>
      </c>
      <c r="J127" s="63" t="s">
        <v>110</v>
      </c>
      <c r="K127" s="57"/>
      <c r="L127" s="129"/>
      <c r="M127" s="129"/>
    </row>
    <row r="128" spans="1:13" s="37" customFormat="1" ht="14.45" customHeight="1" x14ac:dyDescent="0.2">
      <c r="A128" s="62" t="s">
        <v>142</v>
      </c>
      <c r="B128" s="62" t="s">
        <v>146</v>
      </c>
      <c r="C128" s="62" t="s">
        <v>147</v>
      </c>
      <c r="D128" s="187" t="s">
        <v>183</v>
      </c>
      <c r="E128" s="188"/>
      <c r="F128" s="189"/>
      <c r="G128" s="63">
        <v>20</v>
      </c>
      <c r="H128" s="62" t="s">
        <v>184</v>
      </c>
      <c r="I128" s="63" t="s">
        <v>153</v>
      </c>
      <c r="J128" s="63" t="s">
        <v>110</v>
      </c>
      <c r="K128" s="57"/>
      <c r="L128" s="129"/>
      <c r="M128" s="129"/>
    </row>
    <row r="129" spans="1:29" s="37" customFormat="1" ht="14.45" customHeight="1" x14ac:dyDescent="0.2">
      <c r="A129" s="62" t="s">
        <v>142</v>
      </c>
      <c r="B129" s="62" t="s">
        <v>146</v>
      </c>
      <c r="C129" s="62" t="s">
        <v>147</v>
      </c>
      <c r="D129" s="187" t="s">
        <v>185</v>
      </c>
      <c r="E129" s="188"/>
      <c r="F129" s="189"/>
      <c r="G129" s="63">
        <v>25</v>
      </c>
      <c r="H129" s="62" t="s">
        <v>184</v>
      </c>
      <c r="I129" s="63" t="s">
        <v>153</v>
      </c>
      <c r="J129" s="63" t="s">
        <v>110</v>
      </c>
      <c r="K129" s="57"/>
      <c r="L129" s="129"/>
      <c r="M129" s="129"/>
    </row>
    <row r="130" spans="1:29" s="37" customFormat="1" ht="14.45" customHeight="1" x14ac:dyDescent="0.2">
      <c r="A130" s="62" t="s">
        <v>142</v>
      </c>
      <c r="B130" s="62" t="s">
        <v>142</v>
      </c>
      <c r="C130" s="62" t="s">
        <v>147</v>
      </c>
      <c r="D130" s="187" t="s">
        <v>186</v>
      </c>
      <c r="E130" s="188"/>
      <c r="F130" s="189"/>
      <c r="G130" s="68">
        <v>75</v>
      </c>
      <c r="H130" s="62" t="s">
        <v>181</v>
      </c>
      <c r="I130" s="63" t="s">
        <v>153</v>
      </c>
      <c r="J130" s="63" t="s">
        <v>110</v>
      </c>
      <c r="K130" s="57"/>
      <c r="L130" s="129"/>
      <c r="M130" s="129"/>
    </row>
    <row r="131" spans="1:29" s="37" customFormat="1" ht="14.45" customHeight="1" x14ac:dyDescent="0.2">
      <c r="A131" s="62" t="s">
        <v>142</v>
      </c>
      <c r="B131" s="62" t="s">
        <v>142</v>
      </c>
      <c r="C131" s="62" t="s">
        <v>147</v>
      </c>
      <c r="D131" s="187" t="s">
        <v>187</v>
      </c>
      <c r="E131" s="188"/>
      <c r="F131" s="189"/>
      <c r="G131" s="63">
        <v>35</v>
      </c>
      <c r="H131" s="62" t="s">
        <v>181</v>
      </c>
      <c r="I131" s="63" t="s">
        <v>153</v>
      </c>
      <c r="J131" s="63" t="s">
        <v>110</v>
      </c>
      <c r="K131" s="57"/>
      <c r="L131" s="129"/>
      <c r="M131" s="129"/>
    </row>
    <row r="132" spans="1:29" s="37" customFormat="1" ht="14.45" customHeight="1" x14ac:dyDescent="0.2">
      <c r="A132" s="62" t="s">
        <v>142</v>
      </c>
      <c r="B132" s="62" t="s">
        <v>146</v>
      </c>
      <c r="C132" s="62" t="s">
        <v>143</v>
      </c>
      <c r="D132" s="187" t="s">
        <v>188</v>
      </c>
      <c r="E132" s="188"/>
      <c r="F132" s="189"/>
      <c r="G132" s="63">
        <v>100</v>
      </c>
      <c r="H132" s="62" t="s">
        <v>181</v>
      </c>
      <c r="I132" s="63" t="s">
        <v>153</v>
      </c>
      <c r="J132" s="63" t="s">
        <v>110</v>
      </c>
      <c r="K132" s="57"/>
      <c r="L132" s="129"/>
      <c r="M132" s="129"/>
    </row>
    <row r="133" spans="1:29" s="37" customFormat="1" ht="14.45" customHeight="1" x14ac:dyDescent="0.2">
      <c r="A133" s="62" t="s">
        <v>142</v>
      </c>
      <c r="B133" s="62" t="s">
        <v>146</v>
      </c>
      <c r="C133" s="62" t="s">
        <v>143</v>
      </c>
      <c r="D133" s="187" t="s">
        <v>189</v>
      </c>
      <c r="E133" s="188"/>
      <c r="F133" s="189"/>
      <c r="G133" s="63">
        <v>100</v>
      </c>
      <c r="H133" s="62" t="s">
        <v>190</v>
      </c>
      <c r="I133" s="63" t="s">
        <v>153</v>
      </c>
      <c r="J133" s="63" t="s">
        <v>110</v>
      </c>
      <c r="K133" s="57"/>
      <c r="O133" s="38"/>
      <c r="P133" s="38"/>
    </row>
    <row r="134" spans="1:29" s="37" customFormat="1" ht="14.45" customHeight="1" x14ac:dyDescent="0.2">
      <c r="A134" s="62" t="s">
        <v>142</v>
      </c>
      <c r="B134" s="62" t="s">
        <v>146</v>
      </c>
      <c r="C134" s="62" t="s">
        <v>143</v>
      </c>
      <c r="D134" s="187" t="s">
        <v>191</v>
      </c>
      <c r="E134" s="188"/>
      <c r="F134" s="189"/>
      <c r="G134" s="63">
        <v>100</v>
      </c>
      <c r="H134" s="62" t="s">
        <v>181</v>
      </c>
      <c r="I134" s="63" t="s">
        <v>153</v>
      </c>
      <c r="J134" s="63" t="s">
        <v>110</v>
      </c>
      <c r="K134" s="57"/>
      <c r="O134" s="39"/>
      <c r="P134" s="39"/>
    </row>
    <row r="135" spans="1:29" s="37" customFormat="1" ht="14.45" customHeight="1" x14ac:dyDescent="0.2">
      <c r="A135" s="62" t="s">
        <v>173</v>
      </c>
      <c r="B135" s="62" t="s">
        <v>146</v>
      </c>
      <c r="C135" s="62" t="s">
        <v>143</v>
      </c>
      <c r="D135" s="187" t="s">
        <v>189</v>
      </c>
      <c r="E135" s="188"/>
      <c r="F135" s="189"/>
      <c r="G135" s="63">
        <v>50</v>
      </c>
      <c r="H135" s="62" t="s">
        <v>192</v>
      </c>
      <c r="I135" s="63" t="s">
        <v>153</v>
      </c>
      <c r="J135" s="63" t="s">
        <v>110</v>
      </c>
      <c r="K135" s="57"/>
      <c r="O135" s="39"/>
      <c r="P135" s="39"/>
    </row>
    <row r="136" spans="1:29" s="37" customFormat="1" ht="14.45" customHeight="1" x14ac:dyDescent="0.2">
      <c r="A136" s="62" t="s">
        <v>173</v>
      </c>
      <c r="B136" s="62" t="s">
        <v>146</v>
      </c>
      <c r="C136" s="62" t="s">
        <v>143</v>
      </c>
      <c r="D136" s="187" t="s">
        <v>191</v>
      </c>
      <c r="E136" s="188"/>
      <c r="F136" s="189"/>
      <c r="G136" s="63">
        <v>50</v>
      </c>
      <c r="H136" s="62" t="s">
        <v>181</v>
      </c>
      <c r="I136" s="63" t="s">
        <v>153</v>
      </c>
      <c r="J136" s="63" t="s">
        <v>110</v>
      </c>
      <c r="K136" s="57"/>
      <c r="O136" s="38"/>
      <c r="P136" s="38"/>
    </row>
    <row r="137" spans="1:29" s="37" customFormat="1" ht="14.45" customHeight="1" x14ac:dyDescent="0.25">
      <c r="A137" s="62" t="s">
        <v>142</v>
      </c>
      <c r="B137" s="62" t="s">
        <v>146</v>
      </c>
      <c r="C137" s="62" t="s">
        <v>143</v>
      </c>
      <c r="D137" s="187" t="s">
        <v>193</v>
      </c>
      <c r="E137" s="188"/>
      <c r="F137" s="189"/>
      <c r="G137" s="63">
        <v>85</v>
      </c>
      <c r="H137" s="62" t="s">
        <v>194</v>
      </c>
      <c r="I137" s="63" t="s">
        <v>153</v>
      </c>
      <c r="J137" s="63" t="s">
        <v>110</v>
      </c>
      <c r="K137" s="57"/>
      <c r="O137" s="36"/>
      <c r="P137" s="36"/>
    </row>
    <row r="138" spans="1:29" s="37" customFormat="1" ht="14.45" customHeight="1" x14ac:dyDescent="0.25">
      <c r="A138" s="62" t="s">
        <v>173</v>
      </c>
      <c r="B138" s="62" t="s">
        <v>146</v>
      </c>
      <c r="C138" s="62" t="s">
        <v>195</v>
      </c>
      <c r="D138" s="187" t="s">
        <v>196</v>
      </c>
      <c r="E138" s="188"/>
      <c r="F138" s="189"/>
      <c r="G138" s="63">
        <v>0.1</v>
      </c>
      <c r="H138" s="62" t="s">
        <v>197</v>
      </c>
      <c r="I138" s="63">
        <v>150</v>
      </c>
      <c r="J138" s="63" t="s">
        <v>110</v>
      </c>
      <c r="K138" s="57"/>
      <c r="O138" s="36"/>
      <c r="P138" s="36"/>
    </row>
    <row r="139" spans="1:29" s="37" customFormat="1" ht="14.45" customHeight="1" x14ac:dyDescent="0.25">
      <c r="A139" s="62" t="s">
        <v>142</v>
      </c>
      <c r="B139" s="62" t="s">
        <v>49</v>
      </c>
      <c r="C139" s="62" t="s">
        <v>198</v>
      </c>
      <c r="D139" s="187" t="s">
        <v>199</v>
      </c>
      <c r="E139" s="188"/>
      <c r="F139" s="189"/>
      <c r="G139" s="63">
        <v>35</v>
      </c>
      <c r="H139" s="62" t="s">
        <v>181</v>
      </c>
      <c r="I139" s="63" t="s">
        <v>153</v>
      </c>
      <c r="J139" s="63" t="s">
        <v>110</v>
      </c>
      <c r="K139" s="57"/>
      <c r="O139" s="36"/>
      <c r="P139" s="36"/>
    </row>
    <row r="140" spans="1:29" s="37" customFormat="1" ht="14.45" customHeight="1" x14ac:dyDescent="0.25">
      <c r="A140" s="62" t="s">
        <v>142</v>
      </c>
      <c r="B140" s="62" t="s">
        <v>146</v>
      </c>
      <c r="C140" s="62" t="s">
        <v>198</v>
      </c>
      <c r="D140" s="187" t="s">
        <v>200</v>
      </c>
      <c r="E140" s="188"/>
      <c r="F140" s="189"/>
      <c r="G140" s="63">
        <v>7</v>
      </c>
      <c r="H140" s="62" t="s">
        <v>152</v>
      </c>
      <c r="I140" s="63">
        <v>7</v>
      </c>
      <c r="J140" s="63" t="s">
        <v>110</v>
      </c>
      <c r="K140" s="57"/>
      <c r="O140" s="36"/>
      <c r="P140" s="36"/>
    </row>
    <row r="141" spans="1:29" s="37" customFormat="1" ht="14.1" customHeight="1" x14ac:dyDescent="0.25">
      <c r="A141" s="62" t="s">
        <v>142</v>
      </c>
      <c r="B141" s="62" t="s">
        <v>142</v>
      </c>
      <c r="C141" s="62" t="s">
        <v>201</v>
      </c>
      <c r="D141" s="187" t="s">
        <v>202</v>
      </c>
      <c r="E141" s="188"/>
      <c r="F141" s="189"/>
      <c r="G141" s="63">
        <v>40</v>
      </c>
      <c r="H141" s="62" t="s">
        <v>203</v>
      </c>
      <c r="I141" s="63" t="s">
        <v>153</v>
      </c>
      <c r="J141" s="63" t="s">
        <v>110</v>
      </c>
      <c r="K141" s="57"/>
      <c r="O141" s="36"/>
      <c r="P141" s="36"/>
    </row>
    <row r="142" spans="1:29" s="37" customFormat="1" ht="14.1" customHeight="1" x14ac:dyDescent="0.25">
      <c r="A142" s="62" t="s">
        <v>142</v>
      </c>
      <c r="B142" s="62" t="s">
        <v>49</v>
      </c>
      <c r="C142" s="62" t="s">
        <v>143</v>
      </c>
      <c r="D142" s="187" t="s">
        <v>204</v>
      </c>
      <c r="E142" s="188"/>
      <c r="F142" s="189"/>
      <c r="G142" s="63">
        <v>50</v>
      </c>
      <c r="H142" s="62" t="s">
        <v>49</v>
      </c>
      <c r="I142" s="63" t="s">
        <v>153</v>
      </c>
      <c r="J142" s="63" t="s">
        <v>110</v>
      </c>
      <c r="K142" s="57"/>
      <c r="L142" s="38"/>
      <c r="M142" s="38"/>
      <c r="N142" s="38"/>
      <c r="O142" s="36"/>
      <c r="P142" s="36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 spans="1:29" s="39" customFormat="1" ht="14.1" customHeight="1" x14ac:dyDescent="0.25">
      <c r="A143" s="62" t="s">
        <v>142</v>
      </c>
      <c r="B143" s="62" t="s">
        <v>49</v>
      </c>
      <c r="C143" s="62" t="s">
        <v>143</v>
      </c>
      <c r="D143" s="187" t="s">
        <v>205</v>
      </c>
      <c r="E143" s="188"/>
      <c r="F143" s="189"/>
      <c r="G143" s="63">
        <v>200</v>
      </c>
      <c r="H143" s="62" t="s">
        <v>206</v>
      </c>
      <c r="I143" s="63" t="s">
        <v>153</v>
      </c>
      <c r="J143" s="63" t="s">
        <v>110</v>
      </c>
      <c r="K143" s="57"/>
      <c r="O143" s="36"/>
      <c r="P143" s="36"/>
    </row>
    <row r="144" spans="1:29" s="39" customFormat="1" ht="14.1" customHeight="1" x14ac:dyDescent="0.25">
      <c r="A144" s="62" t="s">
        <v>142</v>
      </c>
      <c r="B144" s="62" t="s">
        <v>49</v>
      </c>
      <c r="C144" s="62" t="s">
        <v>143</v>
      </c>
      <c r="D144" s="187" t="s">
        <v>207</v>
      </c>
      <c r="E144" s="188"/>
      <c r="F144" s="189"/>
      <c r="G144" s="63">
        <v>250</v>
      </c>
      <c r="H144" s="62" t="s">
        <v>208</v>
      </c>
      <c r="I144" s="63">
        <v>100</v>
      </c>
      <c r="J144" s="63" t="s">
        <v>110</v>
      </c>
      <c r="K144" s="57"/>
      <c r="L144" s="38"/>
      <c r="M144" s="38"/>
      <c r="N144" s="38"/>
      <c r="O144" s="36"/>
      <c r="P144" s="36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 spans="1:29" s="38" customFormat="1" ht="14.1" customHeight="1" x14ac:dyDescent="0.25">
      <c r="A145" s="62" t="s">
        <v>142</v>
      </c>
      <c r="B145" s="62" t="s">
        <v>49</v>
      </c>
      <c r="C145" s="62" t="s">
        <v>201</v>
      </c>
      <c r="D145" s="187" t="s">
        <v>209</v>
      </c>
      <c r="E145" s="188"/>
      <c r="F145" s="189"/>
      <c r="G145" s="63" t="s">
        <v>210</v>
      </c>
      <c r="H145" s="62"/>
      <c r="I145" s="63" t="s">
        <v>153</v>
      </c>
      <c r="J145" s="63" t="s">
        <v>110</v>
      </c>
      <c r="K145" s="57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:29" s="36" customFormat="1" x14ac:dyDescent="0.25">
      <c r="A146" s="62" t="s">
        <v>142</v>
      </c>
      <c r="B146" s="62" t="s">
        <v>49</v>
      </c>
      <c r="C146" s="62" t="s">
        <v>201</v>
      </c>
      <c r="D146" s="187" t="s">
        <v>211</v>
      </c>
      <c r="E146" s="188"/>
      <c r="F146" s="189"/>
      <c r="G146" s="63" t="s">
        <v>212</v>
      </c>
      <c r="H146" s="62"/>
      <c r="I146" s="63" t="s">
        <v>153</v>
      </c>
      <c r="J146" s="63" t="s">
        <v>110</v>
      </c>
      <c r="K146" s="72"/>
    </row>
    <row r="147" spans="1:29" s="36" customFormat="1" x14ac:dyDescent="0.25">
      <c r="A147" s="62" t="s">
        <v>213</v>
      </c>
      <c r="B147" s="62" t="s">
        <v>49</v>
      </c>
      <c r="C147" s="62" t="s">
        <v>214</v>
      </c>
      <c r="D147" s="187" t="s">
        <v>215</v>
      </c>
      <c r="E147" s="188"/>
      <c r="F147" s="189"/>
      <c r="G147" s="63">
        <v>100</v>
      </c>
      <c r="H147" s="62" t="s">
        <v>49</v>
      </c>
      <c r="I147" s="63">
        <v>100</v>
      </c>
      <c r="J147" s="63" t="s">
        <v>110</v>
      </c>
      <c r="K147" s="72"/>
    </row>
    <row r="148" spans="1:29" s="36" customFormat="1" x14ac:dyDescent="0.25">
      <c r="A148" s="62" t="s">
        <v>213</v>
      </c>
      <c r="B148" s="62" t="s">
        <v>216</v>
      </c>
      <c r="C148" s="62" t="s">
        <v>147</v>
      </c>
      <c r="D148" s="187" t="s">
        <v>217</v>
      </c>
      <c r="E148" s="188"/>
      <c r="F148" s="189"/>
      <c r="G148" s="63">
        <v>50</v>
      </c>
      <c r="H148" s="62"/>
      <c r="I148" s="63">
        <v>50</v>
      </c>
      <c r="J148" s="63" t="s">
        <v>110</v>
      </c>
      <c r="K148" s="72"/>
    </row>
    <row r="149" spans="1:29" s="36" customFormat="1" x14ac:dyDescent="0.25">
      <c r="A149" s="62" t="s">
        <v>150</v>
      </c>
      <c r="B149" s="62" t="s">
        <v>49</v>
      </c>
      <c r="C149" s="62" t="s">
        <v>218</v>
      </c>
      <c r="D149" s="187" t="s">
        <v>219</v>
      </c>
      <c r="E149" s="188"/>
      <c r="F149" s="189"/>
      <c r="G149" s="69" t="s">
        <v>220</v>
      </c>
      <c r="H149" s="67" t="s">
        <v>49</v>
      </c>
      <c r="I149" s="69" t="s">
        <v>153</v>
      </c>
      <c r="J149" s="63" t="s">
        <v>110</v>
      </c>
      <c r="K149" s="72"/>
    </row>
    <row r="150" spans="1:29" s="36" customFormat="1" x14ac:dyDescent="0.25">
      <c r="A150" s="62" t="s">
        <v>221</v>
      </c>
      <c r="B150" s="62" t="s">
        <v>49</v>
      </c>
      <c r="C150" s="62" t="s">
        <v>201</v>
      </c>
      <c r="D150" s="187" t="s">
        <v>222</v>
      </c>
      <c r="E150" s="188"/>
      <c r="F150" s="189"/>
      <c r="G150" s="69" t="s">
        <v>220</v>
      </c>
      <c r="H150" s="67" t="s">
        <v>49</v>
      </c>
      <c r="I150" s="69" t="s">
        <v>153</v>
      </c>
      <c r="J150" s="63" t="s">
        <v>110</v>
      </c>
      <c r="K150" s="72"/>
    </row>
    <row r="151" spans="1:29" s="36" customFormat="1" x14ac:dyDescent="0.25">
      <c r="A151" s="62" t="s">
        <v>142</v>
      </c>
      <c r="B151" s="62" t="s">
        <v>49</v>
      </c>
      <c r="C151" s="62" t="s">
        <v>223</v>
      </c>
      <c r="D151" s="187" t="s">
        <v>224</v>
      </c>
      <c r="E151" s="188"/>
      <c r="F151" s="189"/>
      <c r="G151" s="63" t="s">
        <v>225</v>
      </c>
      <c r="H151" s="62"/>
      <c r="I151" s="63" t="s">
        <v>153</v>
      </c>
      <c r="J151" s="63" t="s">
        <v>110</v>
      </c>
      <c r="K151" s="72"/>
    </row>
    <row r="152" spans="1:29" s="36" customFormat="1" x14ac:dyDescent="0.25">
      <c r="A152" s="62" t="s">
        <v>142</v>
      </c>
      <c r="B152" s="62" t="s">
        <v>49</v>
      </c>
      <c r="C152" s="62" t="s">
        <v>226</v>
      </c>
      <c r="D152" s="187" t="s">
        <v>227</v>
      </c>
      <c r="E152" s="188"/>
      <c r="F152" s="189"/>
      <c r="G152" s="66">
        <v>150</v>
      </c>
      <c r="H152" s="62" t="s">
        <v>49</v>
      </c>
      <c r="I152" s="66">
        <v>150</v>
      </c>
      <c r="J152" s="63" t="s">
        <v>110</v>
      </c>
      <c r="K152" s="72"/>
    </row>
    <row r="153" spans="1:29" s="36" customFormat="1" x14ac:dyDescent="0.25">
      <c r="A153" s="62" t="s">
        <v>142</v>
      </c>
      <c r="B153" s="62" t="s">
        <v>49</v>
      </c>
      <c r="C153" s="62" t="s">
        <v>228</v>
      </c>
      <c r="D153" s="187" t="s">
        <v>229</v>
      </c>
      <c r="E153" s="188"/>
      <c r="F153" s="189"/>
      <c r="G153" s="66">
        <v>25</v>
      </c>
      <c r="H153" s="62" t="s">
        <v>230</v>
      </c>
      <c r="I153" s="66">
        <v>25</v>
      </c>
      <c r="J153" s="63" t="s">
        <v>110</v>
      </c>
      <c r="K153" s="72"/>
    </row>
    <row r="154" spans="1:29" s="36" customFormat="1" x14ac:dyDescent="0.25">
      <c r="A154" s="62" t="s">
        <v>142</v>
      </c>
      <c r="B154" s="62" t="s">
        <v>146</v>
      </c>
      <c r="C154" s="62" t="s">
        <v>198</v>
      </c>
      <c r="D154" s="187" t="s">
        <v>231</v>
      </c>
      <c r="E154" s="188"/>
      <c r="F154" s="189"/>
      <c r="G154" s="66" t="s">
        <v>232</v>
      </c>
      <c r="H154" s="62" t="s">
        <v>149</v>
      </c>
      <c r="I154" s="66" t="s">
        <v>153</v>
      </c>
      <c r="J154" s="63" t="s">
        <v>110</v>
      </c>
      <c r="K154" s="72"/>
    </row>
    <row r="155" spans="1:29" s="36" customFormat="1" x14ac:dyDescent="0.25">
      <c r="A155" s="62" t="s">
        <v>173</v>
      </c>
      <c r="B155" s="62" t="s">
        <v>146</v>
      </c>
      <c r="C155" s="62" t="s">
        <v>233</v>
      </c>
      <c r="D155" s="187" t="s">
        <v>234</v>
      </c>
      <c r="E155" s="188"/>
      <c r="F155" s="189"/>
      <c r="G155" s="66">
        <v>0.5</v>
      </c>
      <c r="H155" s="62" t="s">
        <v>235</v>
      </c>
      <c r="I155" s="66">
        <v>50</v>
      </c>
      <c r="J155" s="63" t="s">
        <v>110</v>
      </c>
      <c r="K155" s="72"/>
    </row>
    <row r="156" spans="1:29" s="36" customFormat="1" x14ac:dyDescent="0.25">
      <c r="A156" s="62" t="s">
        <v>173</v>
      </c>
      <c r="B156" s="62" t="s">
        <v>146</v>
      </c>
      <c r="C156" s="62" t="s">
        <v>201</v>
      </c>
      <c r="D156" s="187" t="s">
        <v>237</v>
      </c>
      <c r="E156" s="188"/>
      <c r="F156" s="189"/>
      <c r="G156" s="66" t="s">
        <v>238</v>
      </c>
      <c r="H156" s="62" t="s">
        <v>235</v>
      </c>
      <c r="I156" s="66">
        <v>50</v>
      </c>
      <c r="J156" s="63" t="s">
        <v>110</v>
      </c>
      <c r="K156" s="72"/>
    </row>
    <row r="157" spans="1:29" s="36" customFormat="1" x14ac:dyDescent="0.25">
      <c r="A157" s="62" t="s">
        <v>239</v>
      </c>
      <c r="B157" s="62" t="s">
        <v>49</v>
      </c>
      <c r="C157" s="62" t="s">
        <v>143</v>
      </c>
      <c r="D157" s="187" t="s">
        <v>240</v>
      </c>
      <c r="E157" s="188"/>
      <c r="F157" s="189"/>
      <c r="G157" s="69" t="s">
        <v>220</v>
      </c>
      <c r="H157" s="67" t="s">
        <v>49</v>
      </c>
      <c r="I157" s="69" t="s">
        <v>153</v>
      </c>
      <c r="J157" s="63" t="s">
        <v>110</v>
      </c>
      <c r="K157" s="72"/>
    </row>
    <row r="158" spans="1:29" s="36" customFormat="1" x14ac:dyDescent="0.25">
      <c r="A158" s="62" t="s">
        <v>142</v>
      </c>
      <c r="B158" s="62" t="s">
        <v>142</v>
      </c>
      <c r="C158" s="62" t="s">
        <v>147</v>
      </c>
      <c r="D158" s="187" t="s">
        <v>241</v>
      </c>
      <c r="E158" s="188"/>
      <c r="F158" s="189"/>
      <c r="G158" s="66" t="s">
        <v>242</v>
      </c>
      <c r="H158" s="62"/>
      <c r="I158" s="66">
        <v>15</v>
      </c>
      <c r="J158" s="63" t="s">
        <v>110</v>
      </c>
      <c r="K158" s="72"/>
    </row>
    <row r="159" spans="1:29" s="36" customFormat="1" x14ac:dyDescent="0.25">
      <c r="A159" s="62" t="s">
        <v>243</v>
      </c>
      <c r="B159" s="62" t="s">
        <v>49</v>
      </c>
      <c r="C159" s="62" t="s">
        <v>143</v>
      </c>
      <c r="D159" s="187" t="s">
        <v>244</v>
      </c>
      <c r="E159" s="188"/>
      <c r="F159" s="189"/>
      <c r="G159" s="66">
        <v>200</v>
      </c>
      <c r="H159" s="62" t="s">
        <v>49</v>
      </c>
      <c r="I159" s="63">
        <v>200</v>
      </c>
      <c r="J159" s="63" t="s">
        <v>110</v>
      </c>
      <c r="K159" s="72"/>
    </row>
    <row r="160" spans="1:29" s="36" customFormat="1" x14ac:dyDescent="0.25">
      <c r="A160" s="62" t="s">
        <v>245</v>
      </c>
      <c r="B160" s="62" t="s">
        <v>49</v>
      </c>
      <c r="C160" s="62" t="s">
        <v>143</v>
      </c>
      <c r="D160" s="187" t="s">
        <v>246</v>
      </c>
      <c r="E160" s="188"/>
      <c r="F160" s="189"/>
      <c r="G160" s="66">
        <v>250</v>
      </c>
      <c r="H160" s="62" t="s">
        <v>49</v>
      </c>
      <c r="I160" s="63">
        <v>100</v>
      </c>
      <c r="J160" s="63" t="s">
        <v>110</v>
      </c>
      <c r="K160" s="72"/>
    </row>
    <row r="161" spans="1:11" s="36" customFormat="1" x14ac:dyDescent="0.25">
      <c r="A161" s="62" t="s">
        <v>247</v>
      </c>
      <c r="B161" s="62" t="s">
        <v>49</v>
      </c>
      <c r="C161" s="62" t="s">
        <v>143</v>
      </c>
      <c r="D161" s="187" t="s">
        <v>248</v>
      </c>
      <c r="E161" s="188"/>
      <c r="F161" s="189"/>
      <c r="G161" s="63">
        <v>250</v>
      </c>
      <c r="H161" s="62" t="s">
        <v>49</v>
      </c>
      <c r="I161" s="63">
        <v>200</v>
      </c>
      <c r="J161" s="63" t="s">
        <v>110</v>
      </c>
      <c r="K161" s="72"/>
    </row>
    <row r="162" spans="1:11" s="36" customFormat="1" x14ac:dyDescent="0.25">
      <c r="A162" s="62" t="s">
        <v>142</v>
      </c>
      <c r="B162" s="62" t="s">
        <v>49</v>
      </c>
      <c r="C162" s="62" t="s">
        <v>143</v>
      </c>
      <c r="D162" s="187" t="s">
        <v>249</v>
      </c>
      <c r="E162" s="188"/>
      <c r="F162" s="189"/>
      <c r="G162" s="63"/>
      <c r="H162" s="62" t="s">
        <v>49</v>
      </c>
      <c r="I162" s="63" t="s">
        <v>153</v>
      </c>
      <c r="J162" s="63" t="s">
        <v>110</v>
      </c>
      <c r="K162" s="72"/>
    </row>
    <row r="163" spans="1:11" s="36" customFormat="1" x14ac:dyDescent="0.25">
      <c r="A163" s="62" t="s">
        <v>250</v>
      </c>
      <c r="B163" s="62" t="s">
        <v>49</v>
      </c>
      <c r="C163" s="62" t="s">
        <v>143</v>
      </c>
      <c r="D163" s="187" t="s">
        <v>251</v>
      </c>
      <c r="E163" s="188"/>
      <c r="F163" s="189"/>
      <c r="G163" s="66">
        <v>350</v>
      </c>
      <c r="H163" s="62" t="s">
        <v>49</v>
      </c>
      <c r="I163" s="63">
        <v>350</v>
      </c>
      <c r="J163" s="63" t="s">
        <v>110</v>
      </c>
      <c r="K163" s="72"/>
    </row>
    <row r="164" spans="1:11" s="36" customFormat="1" x14ac:dyDescent="0.25">
      <c r="A164" s="118"/>
      <c r="B164" s="118"/>
      <c r="C164" s="118"/>
      <c r="D164" s="119"/>
      <c r="E164" s="119"/>
      <c r="F164" s="119"/>
      <c r="G164" s="120"/>
      <c r="H164" s="118"/>
      <c r="I164" s="121"/>
      <c r="J164" s="121"/>
      <c r="K164" s="72"/>
    </row>
    <row r="165" spans="1:11" s="36" customFormat="1" x14ac:dyDescent="0.25">
      <c r="A165" s="180" t="s">
        <v>72</v>
      </c>
      <c r="B165" s="180"/>
      <c r="C165" s="180"/>
      <c r="D165" s="180"/>
      <c r="E165" s="180"/>
      <c r="F165" s="180"/>
      <c r="G165" s="180"/>
      <c r="H165" s="180"/>
      <c r="I165" s="180"/>
      <c r="J165" s="180"/>
      <c r="K165" s="72"/>
    </row>
    <row r="166" spans="1:11" s="36" customFormat="1" x14ac:dyDescent="0.25">
      <c r="A166" s="186" t="s">
        <v>67</v>
      </c>
      <c r="B166" s="186"/>
      <c r="C166" s="186"/>
      <c r="D166" s="186"/>
      <c r="E166" s="186" t="s">
        <v>68</v>
      </c>
      <c r="F166" s="186"/>
      <c r="G166" s="186"/>
      <c r="H166" s="186"/>
      <c r="I166" s="186"/>
      <c r="J166" s="186"/>
      <c r="K166" s="72"/>
    </row>
    <row r="167" spans="1:11" s="36" customFormat="1" x14ac:dyDescent="0.25">
      <c r="A167" s="185" t="s">
        <v>73</v>
      </c>
      <c r="B167" s="185"/>
      <c r="C167" s="185"/>
      <c r="D167" s="185"/>
      <c r="E167" s="185" t="s">
        <v>254</v>
      </c>
      <c r="F167" s="185"/>
      <c r="G167" s="185"/>
      <c r="H167" s="185"/>
      <c r="I167" s="185"/>
      <c r="J167" s="185"/>
      <c r="K167" s="72"/>
    </row>
    <row r="168" spans="1:11" s="36" customFormat="1" ht="15" customHeight="1" x14ac:dyDescent="0.25">
      <c r="A168" s="185" t="s">
        <v>252</v>
      </c>
      <c r="B168" s="185"/>
      <c r="C168" s="185"/>
      <c r="D168" s="185"/>
      <c r="E168" s="185" t="s">
        <v>253</v>
      </c>
      <c r="F168" s="185"/>
      <c r="G168" s="185"/>
      <c r="H168" s="185"/>
      <c r="I168" s="185"/>
      <c r="J168" s="185"/>
      <c r="K168" s="72"/>
    </row>
    <row r="169" spans="1:11" s="36" customFormat="1" ht="15" customHeight="1" x14ac:dyDescent="0.25">
      <c r="A169" s="185" t="s">
        <v>74</v>
      </c>
      <c r="B169" s="185"/>
      <c r="C169" s="185"/>
      <c r="D169" s="185"/>
      <c r="E169" s="185" t="s">
        <v>75</v>
      </c>
      <c r="F169" s="185"/>
      <c r="G169" s="185"/>
      <c r="H169" s="185"/>
      <c r="I169" s="185"/>
      <c r="J169" s="185"/>
      <c r="K169" s="72"/>
    </row>
    <row r="170" spans="1:11" s="36" customFormat="1" x14ac:dyDescent="0.25">
      <c r="A170" s="185" t="s">
        <v>76</v>
      </c>
      <c r="B170" s="185"/>
      <c r="C170" s="185"/>
      <c r="D170" s="185"/>
      <c r="E170" s="185" t="s">
        <v>77</v>
      </c>
      <c r="F170" s="185"/>
      <c r="G170" s="185"/>
      <c r="H170" s="185"/>
      <c r="I170" s="185"/>
      <c r="J170" s="185"/>
      <c r="K170" s="72"/>
    </row>
    <row r="171" spans="1:11" s="36" customFormat="1" ht="15" customHeight="1" x14ac:dyDescent="0.25">
      <c r="A171" s="185" t="s">
        <v>78</v>
      </c>
      <c r="B171" s="185"/>
      <c r="C171" s="185"/>
      <c r="D171" s="185"/>
      <c r="E171" s="185" t="s">
        <v>79</v>
      </c>
      <c r="F171" s="185"/>
      <c r="G171" s="185"/>
      <c r="H171" s="185"/>
      <c r="I171" s="185"/>
      <c r="J171" s="185"/>
      <c r="K171" s="72"/>
    </row>
    <row r="172" spans="1:11" s="36" customFormat="1" ht="15" customHeight="1" x14ac:dyDescent="0.25">
      <c r="A172" s="180" t="s">
        <v>89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72"/>
    </row>
    <row r="173" spans="1:11" s="36" customFormat="1" x14ac:dyDescent="0.25">
      <c r="A173" s="181" t="s">
        <v>80</v>
      </c>
      <c r="B173" s="181"/>
      <c r="C173" s="181"/>
      <c r="D173" s="181"/>
      <c r="E173" s="181"/>
      <c r="F173" s="181"/>
      <c r="G173" s="181"/>
      <c r="H173" s="181"/>
      <c r="I173" s="181"/>
      <c r="J173" s="181"/>
      <c r="K173" s="72"/>
    </row>
    <row r="174" spans="1:11" s="36" customFormat="1" ht="15" customHeight="1" x14ac:dyDescent="0.25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72"/>
    </row>
    <row r="175" spans="1:11" s="36" customFormat="1" x14ac:dyDescent="0.25">
      <c r="A175" s="182" t="s">
        <v>90</v>
      </c>
      <c r="B175" s="182"/>
      <c r="C175" s="182"/>
      <c r="D175" s="182"/>
      <c r="E175" s="182"/>
      <c r="F175" s="182"/>
      <c r="G175" s="182"/>
      <c r="H175" s="182"/>
      <c r="I175" s="182"/>
      <c r="J175" s="182"/>
      <c r="K175" s="72"/>
    </row>
    <row r="176" spans="1:11" s="36" customFormat="1" ht="15" customHeight="1" x14ac:dyDescent="0.25">
      <c r="A176" s="182"/>
      <c r="B176" s="182"/>
      <c r="C176" s="182"/>
      <c r="D176" s="182"/>
      <c r="E176" s="182"/>
      <c r="F176" s="182"/>
      <c r="G176" s="182"/>
      <c r="H176" s="182"/>
      <c r="I176" s="182"/>
      <c r="J176" s="182"/>
      <c r="K176" s="72"/>
    </row>
    <row r="177" spans="1:10" s="42" customFormat="1" ht="13.9" customHeight="1" x14ac:dyDescent="0.25">
      <c r="A177" s="183" t="s">
        <v>483</v>
      </c>
      <c r="B177" s="183"/>
      <c r="C177" s="183"/>
      <c r="D177" s="183"/>
      <c r="E177" s="183"/>
      <c r="F177" s="183"/>
      <c r="G177" s="183"/>
      <c r="H177" s="183"/>
      <c r="I177" s="183"/>
      <c r="J177" s="48"/>
    </row>
    <row r="178" spans="1:10" s="49" customFormat="1" ht="13.9" customHeight="1" x14ac:dyDescent="0.25">
      <c r="A178" s="184" t="s">
        <v>484</v>
      </c>
      <c r="B178" s="184"/>
      <c r="C178" s="184"/>
      <c r="D178" s="184"/>
      <c r="E178" s="184"/>
      <c r="F178" s="184"/>
      <c r="G178" s="184"/>
      <c r="H178" s="184"/>
      <c r="I178" s="184"/>
      <c r="J178" s="48"/>
    </row>
    <row r="179" spans="1:10" x14ac:dyDescent="0.25">
      <c r="J179" s="48"/>
    </row>
    <row r="180" spans="1:10" x14ac:dyDescent="0.25">
      <c r="J180" s="48"/>
    </row>
    <row r="181" spans="1:10" x14ac:dyDescent="0.25">
      <c r="J181" s="48"/>
    </row>
  </sheetData>
  <protectedRanges>
    <protectedRange algorithmName="SHA-512" hashValue="VF6HSW3Iy4xJ9rvYE/9xGHEoimGCygSu8D4FeqmdsD954MzAHwkkxLcwSP9Q5ui8KTGpWBzFAFpp2yGVfuii3Q==" saltValue="Ht0jMOW+8eakbuvlYpVr7Q==" spinCount="100000" sqref="G55:J60 G30:J32 G34:J36 G38:J43 G62:J69 G79:J79 G71:J77 G13:J28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4:J44 G46:J49 G51:J53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78:J78" name="Range1_3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99:WWE163" xr:uid="{FA694B6A-433F-4FA4-84BF-050781CB5F76}">
    <filterColumn colId="3" showButton="0"/>
    <filterColumn colId="4" showButton="0"/>
  </autoFilter>
  <mergeCells count="154"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  <mergeCell ref="E12:F12"/>
    <mergeCell ref="E29:F29"/>
    <mergeCell ref="E33:F33"/>
    <mergeCell ref="E37:F37"/>
    <mergeCell ref="B6:C6"/>
    <mergeCell ref="G6:I6"/>
    <mergeCell ref="E8:I8"/>
    <mergeCell ref="A10:J10"/>
    <mergeCell ref="N10:R10"/>
    <mergeCell ref="A80:J80"/>
    <mergeCell ref="A81:J81"/>
    <mergeCell ref="A82:D82"/>
    <mergeCell ref="E82:J82"/>
    <mergeCell ref="L82:Q82"/>
    <mergeCell ref="A83:D83"/>
    <mergeCell ref="F83:J83"/>
    <mergeCell ref="L83:Q83"/>
    <mergeCell ref="E45:F45"/>
    <mergeCell ref="E50:F50"/>
    <mergeCell ref="E54:F54"/>
    <mergeCell ref="E61:F61"/>
    <mergeCell ref="E70:F70"/>
    <mergeCell ref="A78:J78"/>
    <mergeCell ref="A88:D88"/>
    <mergeCell ref="F88:J88"/>
    <mergeCell ref="A89:D89"/>
    <mergeCell ref="F89:J89"/>
    <mergeCell ref="A90:D90"/>
    <mergeCell ref="F90:J90"/>
    <mergeCell ref="A84:D84"/>
    <mergeCell ref="F84:J84"/>
    <mergeCell ref="L84:Q84"/>
    <mergeCell ref="A85:D85"/>
    <mergeCell ref="F85:J85"/>
    <mergeCell ref="A87:D87"/>
    <mergeCell ref="F87:J87"/>
    <mergeCell ref="A86:D86"/>
    <mergeCell ref="F86:J86"/>
    <mergeCell ref="A93:D93"/>
    <mergeCell ref="F93:J93"/>
    <mergeCell ref="L93:Q93"/>
    <mergeCell ref="A94:D94"/>
    <mergeCell ref="G94:J94"/>
    <mergeCell ref="L94:Q94"/>
    <mergeCell ref="L90:Q90"/>
    <mergeCell ref="A91:D91"/>
    <mergeCell ref="F91:J91"/>
    <mergeCell ref="L91:Q91"/>
    <mergeCell ref="A92:D92"/>
    <mergeCell ref="F92:J92"/>
    <mergeCell ref="L92:Q92"/>
    <mergeCell ref="A97:D97"/>
    <mergeCell ref="E97:J97"/>
    <mergeCell ref="L97:Q97"/>
    <mergeCell ref="A98:J98"/>
    <mergeCell ref="D99:F99"/>
    <mergeCell ref="D100:F100"/>
    <mergeCell ref="A95:D95"/>
    <mergeCell ref="G95:J95"/>
    <mergeCell ref="L95:Q95"/>
    <mergeCell ref="A96:D96"/>
    <mergeCell ref="G96:J96"/>
    <mergeCell ref="L96:Q96"/>
    <mergeCell ref="D107:F107"/>
    <mergeCell ref="D108:F108"/>
    <mergeCell ref="D109:F109"/>
    <mergeCell ref="D110:F110"/>
    <mergeCell ref="D111:F111"/>
    <mergeCell ref="D112:F112"/>
    <mergeCell ref="D101:F101"/>
    <mergeCell ref="D102:F102"/>
    <mergeCell ref="D103:F103"/>
    <mergeCell ref="D104:F104"/>
    <mergeCell ref="D105:F105"/>
    <mergeCell ref="D106:F106"/>
    <mergeCell ref="D119:F119"/>
    <mergeCell ref="D120:F120"/>
    <mergeCell ref="D121:F121"/>
    <mergeCell ref="D122:F122"/>
    <mergeCell ref="D123:F123"/>
    <mergeCell ref="D124:F124"/>
    <mergeCell ref="D113:F113"/>
    <mergeCell ref="D114:F114"/>
    <mergeCell ref="D115:F115"/>
    <mergeCell ref="D116:F116"/>
    <mergeCell ref="D117:F117"/>
    <mergeCell ref="D118:F118"/>
    <mergeCell ref="D131:F131"/>
    <mergeCell ref="D132:F132"/>
    <mergeCell ref="D133:F133"/>
    <mergeCell ref="D134:F134"/>
    <mergeCell ref="D135:F135"/>
    <mergeCell ref="D136:F136"/>
    <mergeCell ref="D125:F125"/>
    <mergeCell ref="D126:F126"/>
    <mergeCell ref="D127:F127"/>
    <mergeCell ref="D128:F128"/>
    <mergeCell ref="D129:F129"/>
    <mergeCell ref="D130:F130"/>
    <mergeCell ref="D143:F143"/>
    <mergeCell ref="D144:F144"/>
    <mergeCell ref="D145:F145"/>
    <mergeCell ref="D146:F146"/>
    <mergeCell ref="D147:F147"/>
    <mergeCell ref="D148:F148"/>
    <mergeCell ref="D137:F137"/>
    <mergeCell ref="D138:F138"/>
    <mergeCell ref="D139:F139"/>
    <mergeCell ref="D140:F140"/>
    <mergeCell ref="D141:F141"/>
    <mergeCell ref="D142:F142"/>
    <mergeCell ref="D155:F155"/>
    <mergeCell ref="D156:F156"/>
    <mergeCell ref="D157:F157"/>
    <mergeCell ref="D158:F158"/>
    <mergeCell ref="D159:F159"/>
    <mergeCell ref="D160:F160"/>
    <mergeCell ref="D149:F149"/>
    <mergeCell ref="D150:F150"/>
    <mergeCell ref="D151:F151"/>
    <mergeCell ref="D152:F152"/>
    <mergeCell ref="D153:F153"/>
    <mergeCell ref="D154:F154"/>
    <mergeCell ref="A167:D167"/>
    <mergeCell ref="E167:J167"/>
    <mergeCell ref="A168:D168"/>
    <mergeCell ref="E168:J168"/>
    <mergeCell ref="A169:D169"/>
    <mergeCell ref="E169:J169"/>
    <mergeCell ref="D161:F161"/>
    <mergeCell ref="D162:F162"/>
    <mergeCell ref="D163:F163"/>
    <mergeCell ref="A165:J165"/>
    <mergeCell ref="A166:D166"/>
    <mergeCell ref="E166:J166"/>
    <mergeCell ref="A175:J176"/>
    <mergeCell ref="A177:I177"/>
    <mergeCell ref="A178:I178"/>
    <mergeCell ref="A170:D170"/>
    <mergeCell ref="E170:J170"/>
    <mergeCell ref="A171:D171"/>
    <mergeCell ref="E171:J171"/>
    <mergeCell ref="A172:J172"/>
    <mergeCell ref="A173:J174"/>
  </mergeCells>
  <phoneticPr fontId="52" type="noConversion"/>
  <hyperlinks>
    <hyperlink ref="G6" r:id="rId1" xr:uid="{D8C612F2-B3C6-4BCD-9F70-28A2A2262F11}"/>
    <hyperlink ref="G4" r:id="rId2" display="jchang.lax@oecgroup.com" xr:uid="{388A329D-7A24-49F8-88B2-87970D277FB6}"/>
  </hyperlinks>
  <pageMargins left="0.35" right="0.35" top="0.35" bottom="0.35" header="0.3" footer="0.3"/>
  <pageSetup scale="47" fitToHeight="4" orientation="portrait" r:id="rId3"/>
  <rowBreaks count="1" manualBreakCount="1">
    <brk id="79" max="9" man="1"/>
  </rowBreaks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B2924-025F-4E7D-B423-B127F4DF1EF8}">
          <x14:formula1>
            <xm:f>'C:\Users\twang\AppData\Local\Microsoft\Windows\Temporary Internet Files\Content.Outlook\U7WJNCNV\[QUOTE TEMPLATE 05-01-21.xltx]Sheet1'!#REF!</xm:f>
          </x14:formula1>
          <xm:sqref>C71:C77 C34:C36 C30:C32 C46:C49 C38:C44 C55:C60 Q13:Q14 C62:C69 C13:C28</xm:sqref>
        </x14:dataValidation>
        <x14:dataValidation type="list" allowBlank="1" showInputMessage="1" showErrorMessage="1" xr:uid="{01B123DE-CF35-4294-A19E-2BA9A19FF34B}">
          <x14:formula1>
            <xm:f>'C:\Users\twang\AppData\Local\Microsoft\Windows\Temporary Internet Files\Content.Outlook\U7WJNCNV\[QUOTE TEMPLATE 05-01-21.xltx]Sheet1'!#REF!</xm:f>
          </x14:formula1>
          <xm:sqref>E90:E91 E55:E60 E71:E77 E34:E36 E30:E32 E93:E96 E46:E49 E38:E44 E62:E69 E83:E87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4C8C-0791-4257-AE92-E9C6F5917314}">
  <sheetPr filterMode="1">
    <pageSetUpPr fitToPage="1"/>
  </sheetPr>
  <dimension ref="A1:AC180"/>
  <sheetViews>
    <sheetView zoomScale="70" zoomScaleNormal="70" zoomScaleSheetLayoutView="40" workbookViewId="0">
      <pane xSplit="4" topLeftCell="E1" activePane="topRight" state="frozen"/>
      <selection activeCell="A19" sqref="A19"/>
      <selection pane="topRight" activeCell="G4" sqref="G4:I6"/>
    </sheetView>
  </sheetViews>
  <sheetFormatPr defaultColWidth="8.85546875" defaultRowHeight="15" x14ac:dyDescent="0.25"/>
  <cols>
    <col min="1" max="1" width="27.5703125" style="50" customWidth="1"/>
    <col min="2" max="2" width="55.28515625" style="50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15.7109375" style="50" customWidth="1"/>
    <col min="13" max="13" width="11.140625" style="50" customWidth="1"/>
    <col min="14" max="14" width="9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44866</v>
      </c>
      <c r="C8" s="45" t="s">
        <v>91</v>
      </c>
      <c r="D8" s="44">
        <v>44895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383</v>
      </c>
      <c r="E13" s="95" t="s">
        <v>127</v>
      </c>
      <c r="F13" s="97" t="s">
        <v>422</v>
      </c>
      <c r="G13" s="98">
        <f>CEILING(S13+W13+X13+O13+N13+Y13,10)</f>
        <v>2970</v>
      </c>
      <c r="H13" s="99">
        <f>CEILING(T13+W13+X13+O13+N13+Z13,10)</f>
        <v>3110</v>
      </c>
      <c r="I13" s="99">
        <f>CEILING(U13+W13+X13+O13+N13+AA13,10)</f>
        <v>3110</v>
      </c>
      <c r="J13" s="99">
        <f>CEILING(V13+W13+X13+O13+N13+AB13,10)</f>
        <v>3500</v>
      </c>
      <c r="K13" s="57"/>
      <c r="L13" s="156" t="s">
        <v>384</v>
      </c>
      <c r="M13" s="52" t="s">
        <v>292</v>
      </c>
      <c r="N13" s="40">
        <f>50*7</f>
        <v>350</v>
      </c>
      <c r="O13" s="53">
        <f>VLOOKUP(B13,DRAYAGE!$A$1:$C$107,3,FALSE)</f>
        <v>1310</v>
      </c>
      <c r="P13" s="40" t="s">
        <v>347</v>
      </c>
      <c r="S13" s="101">
        <f t="shared" ref="S13:S27" si="0">0.9*T13</f>
        <v>1305</v>
      </c>
      <c r="T13" s="54">
        <f>1350+100</f>
        <v>1450</v>
      </c>
      <c r="U13" s="103">
        <f>T13</f>
        <v>1450</v>
      </c>
      <c r="V13" s="104">
        <f>U13*1.266</f>
        <v>1835.7</v>
      </c>
      <c r="X13" s="40">
        <v>0</v>
      </c>
    </row>
    <row r="14" spans="1:29" s="40" customFormat="1" ht="18.75" x14ac:dyDescent="0.25">
      <c r="A14" s="133" t="s">
        <v>55</v>
      </c>
      <c r="B14" s="51" t="s">
        <v>338</v>
      </c>
      <c r="C14" s="94" t="s">
        <v>54</v>
      </c>
      <c r="D14" s="95" t="s">
        <v>383</v>
      </c>
      <c r="E14" s="95" t="s">
        <v>127</v>
      </c>
      <c r="F14" s="97" t="s">
        <v>422</v>
      </c>
      <c r="G14" s="98">
        <f t="shared" ref="G14:G27" si="1">CEILING(S14+W14+X14+O14+N14+Y14,10)</f>
        <v>2970</v>
      </c>
      <c r="H14" s="99">
        <f t="shared" ref="H14:H27" si="2">CEILING(T14+W14+X14+O14+N14+Z14,10)</f>
        <v>3110</v>
      </c>
      <c r="I14" s="99">
        <f t="shared" ref="I14:I27" si="3">CEILING(U14+W14+X14+O14+N14+AA14,10)</f>
        <v>3110</v>
      </c>
      <c r="J14" s="99">
        <f t="shared" ref="J14:J27" si="4">CEILING(V14+W14+X14+O14+N14+AB14,10)</f>
        <v>3500</v>
      </c>
      <c r="K14" s="57"/>
      <c r="L14" s="156" t="s">
        <v>384</v>
      </c>
      <c r="M14" s="52" t="s">
        <v>292</v>
      </c>
      <c r="N14" s="40">
        <f t="shared" ref="N14:N27" si="5">50*7</f>
        <v>350</v>
      </c>
      <c r="O14" s="53">
        <f>VLOOKUP(B14,DRAYAGE!$A$1:$C$107,3,FALSE)</f>
        <v>1310</v>
      </c>
      <c r="P14" s="40" t="s">
        <v>347</v>
      </c>
      <c r="S14" s="101">
        <f t="shared" si="0"/>
        <v>1305</v>
      </c>
      <c r="T14" s="54">
        <f>1350+100</f>
        <v>1450</v>
      </c>
      <c r="U14" s="103">
        <f t="shared" ref="U14:U60" si="6">T14</f>
        <v>1450</v>
      </c>
      <c r="V14" s="104">
        <f t="shared" ref="V14:V19" si="7">U14*1.266</f>
        <v>1835.7</v>
      </c>
      <c r="X14" s="40">
        <v>0</v>
      </c>
    </row>
    <row r="15" spans="1:29" s="40" customFormat="1" ht="18.75" x14ac:dyDescent="0.25">
      <c r="A15" s="133" t="s">
        <v>56</v>
      </c>
      <c r="B15" s="51" t="s">
        <v>338</v>
      </c>
      <c r="C15" s="94" t="s">
        <v>54</v>
      </c>
      <c r="D15" s="95" t="s">
        <v>383</v>
      </c>
      <c r="E15" s="95" t="s">
        <v>127</v>
      </c>
      <c r="F15" s="97" t="s">
        <v>422</v>
      </c>
      <c r="G15" s="98">
        <f t="shared" si="1"/>
        <v>2970</v>
      </c>
      <c r="H15" s="99">
        <f t="shared" si="2"/>
        <v>3110</v>
      </c>
      <c r="I15" s="99">
        <f t="shared" si="3"/>
        <v>3110</v>
      </c>
      <c r="J15" s="99">
        <f t="shared" si="4"/>
        <v>3500</v>
      </c>
      <c r="K15" s="57"/>
      <c r="L15" s="156" t="s">
        <v>384</v>
      </c>
      <c r="M15" s="52" t="s">
        <v>292</v>
      </c>
      <c r="N15" s="40">
        <f t="shared" si="5"/>
        <v>350</v>
      </c>
      <c r="O15" s="53">
        <f>VLOOKUP(B15,DRAYAGE!$A$1:$C$107,3,FALSE)</f>
        <v>1310</v>
      </c>
      <c r="P15" s="40" t="s">
        <v>347</v>
      </c>
      <c r="S15" s="101">
        <f t="shared" si="0"/>
        <v>1305</v>
      </c>
      <c r="T15" s="54">
        <f>1350+100</f>
        <v>1450</v>
      </c>
      <c r="U15" s="103">
        <f t="shared" si="6"/>
        <v>1450</v>
      </c>
      <c r="V15" s="104">
        <f t="shared" si="7"/>
        <v>1835.7</v>
      </c>
      <c r="X15" s="40">
        <v>0</v>
      </c>
    </row>
    <row r="16" spans="1:29" s="40" customFormat="1" ht="18.75" x14ac:dyDescent="0.25">
      <c r="A16" s="133" t="s">
        <v>57</v>
      </c>
      <c r="B16" s="51" t="s">
        <v>338</v>
      </c>
      <c r="C16" s="94" t="s">
        <v>54</v>
      </c>
      <c r="D16" s="95" t="s">
        <v>383</v>
      </c>
      <c r="E16" s="95" t="s">
        <v>127</v>
      </c>
      <c r="F16" s="97" t="s">
        <v>422</v>
      </c>
      <c r="G16" s="98">
        <f t="shared" si="1"/>
        <v>3060</v>
      </c>
      <c r="H16" s="99">
        <f t="shared" si="2"/>
        <v>3210</v>
      </c>
      <c r="I16" s="99">
        <f t="shared" si="3"/>
        <v>3210</v>
      </c>
      <c r="J16" s="99">
        <f t="shared" si="4"/>
        <v>3630</v>
      </c>
      <c r="K16" s="57"/>
      <c r="L16" s="156" t="s">
        <v>384</v>
      </c>
      <c r="M16" s="52" t="s">
        <v>292</v>
      </c>
      <c r="N16" s="40">
        <f t="shared" si="5"/>
        <v>350</v>
      </c>
      <c r="O16" s="53">
        <f>VLOOKUP(B16,DRAYAGE!$A$1:$C$107,3,FALSE)</f>
        <v>1310</v>
      </c>
      <c r="P16" s="40" t="s">
        <v>347</v>
      </c>
      <c r="S16" s="101">
        <f t="shared" si="0"/>
        <v>1395</v>
      </c>
      <c r="T16" s="54">
        <f>1450+100</f>
        <v>1550</v>
      </c>
      <c r="U16" s="103">
        <f t="shared" si="6"/>
        <v>1550</v>
      </c>
      <c r="V16" s="104">
        <f t="shared" si="7"/>
        <v>1962.3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383</v>
      </c>
      <c r="E17" s="95" t="s">
        <v>127</v>
      </c>
      <c r="F17" s="97" t="s">
        <v>422</v>
      </c>
      <c r="G17" s="98">
        <f t="shared" si="1"/>
        <v>3190</v>
      </c>
      <c r="H17" s="99">
        <f t="shared" si="2"/>
        <v>3360</v>
      </c>
      <c r="I17" s="99">
        <f t="shared" si="3"/>
        <v>3360</v>
      </c>
      <c r="J17" s="99">
        <f t="shared" si="4"/>
        <v>3820</v>
      </c>
      <c r="K17" s="57"/>
      <c r="L17" s="156" t="s">
        <v>384</v>
      </c>
      <c r="M17" s="52" t="s">
        <v>292</v>
      </c>
      <c r="N17" s="40">
        <f t="shared" si="5"/>
        <v>350</v>
      </c>
      <c r="O17" s="53">
        <f>VLOOKUP(B17,DRAYAGE!$A$1:$C$107,3,FALSE)</f>
        <v>1310</v>
      </c>
      <c r="P17" s="40" t="s">
        <v>347</v>
      </c>
      <c r="S17" s="101">
        <f>0.9*T17</f>
        <v>1530</v>
      </c>
      <c r="T17" s="54">
        <f>1450+100+150</f>
        <v>1700</v>
      </c>
      <c r="U17" s="103">
        <f>T17</f>
        <v>1700</v>
      </c>
      <c r="V17" s="104">
        <f>U17*1.266</f>
        <v>2152.1999999999998</v>
      </c>
      <c r="X17" s="40">
        <v>0</v>
      </c>
    </row>
    <row r="18" spans="1:29" s="40" customFormat="1" ht="18.75" x14ac:dyDescent="0.25">
      <c r="A18" s="133" t="s">
        <v>366</v>
      </c>
      <c r="B18" s="51" t="s">
        <v>338</v>
      </c>
      <c r="C18" s="94" t="s">
        <v>54</v>
      </c>
      <c r="D18" s="95" t="s">
        <v>383</v>
      </c>
      <c r="E18" s="95" t="s">
        <v>127</v>
      </c>
      <c r="F18" s="97" t="s">
        <v>422</v>
      </c>
      <c r="G18" s="98">
        <f t="shared" si="1"/>
        <v>3550</v>
      </c>
      <c r="H18" s="99">
        <f t="shared" si="2"/>
        <v>3760</v>
      </c>
      <c r="I18" s="99">
        <f t="shared" si="3"/>
        <v>3760</v>
      </c>
      <c r="J18" s="99">
        <f t="shared" si="4"/>
        <v>4320</v>
      </c>
      <c r="K18" s="57"/>
      <c r="L18" s="156" t="s">
        <v>384</v>
      </c>
      <c r="M18" s="52" t="s">
        <v>292</v>
      </c>
      <c r="N18" s="40">
        <f t="shared" si="5"/>
        <v>350</v>
      </c>
      <c r="O18" s="53">
        <f>VLOOKUP(B18,DRAYAGE!$A$1:$C$107,3,FALSE)</f>
        <v>1310</v>
      </c>
      <c r="P18" s="40" t="s">
        <v>347</v>
      </c>
      <c r="S18" s="101">
        <f>0.9*T18</f>
        <v>1890</v>
      </c>
      <c r="T18" s="54">
        <f>T16+550</f>
        <v>2100</v>
      </c>
      <c r="U18" s="103">
        <f>T18</f>
        <v>2100</v>
      </c>
      <c r="V18" s="104">
        <f>U18*1.266</f>
        <v>2658.6</v>
      </c>
      <c r="X18" s="40">
        <v>0</v>
      </c>
    </row>
    <row r="19" spans="1:29" s="40" customFormat="1" ht="18.75" x14ac:dyDescent="0.25">
      <c r="A19" s="133" t="s">
        <v>59</v>
      </c>
      <c r="B19" s="51" t="s">
        <v>338</v>
      </c>
      <c r="C19" s="94" t="s">
        <v>54</v>
      </c>
      <c r="D19" s="95" t="s">
        <v>383</v>
      </c>
      <c r="E19" s="95" t="s">
        <v>127</v>
      </c>
      <c r="F19" s="97" t="s">
        <v>422</v>
      </c>
      <c r="G19" s="98">
        <f t="shared" si="1"/>
        <v>2970</v>
      </c>
      <c r="H19" s="99">
        <f t="shared" si="2"/>
        <v>3110</v>
      </c>
      <c r="I19" s="99">
        <f t="shared" si="3"/>
        <v>3110</v>
      </c>
      <c r="J19" s="99">
        <f t="shared" si="4"/>
        <v>3500</v>
      </c>
      <c r="K19" s="57"/>
      <c r="L19" s="156" t="s">
        <v>384</v>
      </c>
      <c r="M19" s="52" t="s">
        <v>292</v>
      </c>
      <c r="N19" s="40">
        <f t="shared" si="5"/>
        <v>350</v>
      </c>
      <c r="O19" s="53">
        <f>VLOOKUP(B19,DRAYAGE!$A$1:$C$107,3,FALSE)</f>
        <v>1310</v>
      </c>
      <c r="P19" s="40" t="s">
        <v>347</v>
      </c>
      <c r="S19" s="101">
        <f t="shared" si="0"/>
        <v>1305</v>
      </c>
      <c r="T19" s="54">
        <f>T13</f>
        <v>1450</v>
      </c>
      <c r="U19" s="103">
        <f t="shared" si="6"/>
        <v>1450</v>
      </c>
      <c r="V19" s="104">
        <f t="shared" si="7"/>
        <v>1835.7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383</v>
      </c>
      <c r="E20" s="95" t="s">
        <v>127</v>
      </c>
      <c r="F20" s="97" t="s">
        <v>422</v>
      </c>
      <c r="G20" s="98">
        <f t="shared" si="1"/>
        <v>2970</v>
      </c>
      <c r="H20" s="99">
        <f t="shared" si="2"/>
        <v>3110</v>
      </c>
      <c r="I20" s="99">
        <f t="shared" si="3"/>
        <v>3110</v>
      </c>
      <c r="J20" s="99">
        <f t="shared" si="4"/>
        <v>3500</v>
      </c>
      <c r="K20" s="57"/>
      <c r="L20" s="156" t="s">
        <v>384</v>
      </c>
      <c r="M20" s="52" t="s">
        <v>292</v>
      </c>
      <c r="N20" s="40">
        <f t="shared" si="5"/>
        <v>350</v>
      </c>
      <c r="O20" s="53">
        <f>VLOOKUP(B20,DRAYAGE!$A$1:$C$107,3,FALSE)</f>
        <v>1310</v>
      </c>
      <c r="P20" s="40" t="s">
        <v>347</v>
      </c>
      <c r="S20" s="101">
        <f t="shared" si="0"/>
        <v>1305</v>
      </c>
      <c r="T20" s="54">
        <f>T13</f>
        <v>1450</v>
      </c>
      <c r="U20" s="103">
        <f t="shared" si="6"/>
        <v>1450</v>
      </c>
      <c r="V20" s="104">
        <f>U20*1.266</f>
        <v>1835.7</v>
      </c>
      <c r="X20" s="40">
        <v>0</v>
      </c>
    </row>
    <row r="21" spans="1:29" s="40" customFormat="1" ht="18.75" x14ac:dyDescent="0.25">
      <c r="A21" s="133" t="s">
        <v>376</v>
      </c>
      <c r="B21" s="51" t="s">
        <v>338</v>
      </c>
      <c r="C21" s="94" t="s">
        <v>54</v>
      </c>
      <c r="D21" s="95" t="s">
        <v>383</v>
      </c>
      <c r="E21" s="95" t="s">
        <v>127</v>
      </c>
      <c r="F21" s="97" t="s">
        <v>422</v>
      </c>
      <c r="G21" s="98">
        <f t="shared" si="1"/>
        <v>2970</v>
      </c>
      <c r="H21" s="99">
        <f t="shared" si="2"/>
        <v>3110</v>
      </c>
      <c r="I21" s="99">
        <f t="shared" si="3"/>
        <v>3110</v>
      </c>
      <c r="J21" s="99">
        <f t="shared" si="4"/>
        <v>3500</v>
      </c>
      <c r="K21" s="57"/>
      <c r="L21" s="156" t="s">
        <v>384</v>
      </c>
      <c r="M21" s="52" t="s">
        <v>292</v>
      </c>
      <c r="N21" s="40">
        <f t="shared" si="5"/>
        <v>350</v>
      </c>
      <c r="O21" s="53">
        <f>VLOOKUP(B21,DRAYAGE!$A$1:$C$107,3,FALSE)</f>
        <v>1310</v>
      </c>
      <c r="P21" s="40" t="s">
        <v>347</v>
      </c>
      <c r="S21" s="101">
        <f t="shared" si="0"/>
        <v>1305</v>
      </c>
      <c r="T21" s="54">
        <f>T13</f>
        <v>1450</v>
      </c>
      <c r="U21" s="103">
        <f t="shared" si="6"/>
        <v>1450</v>
      </c>
      <c r="V21" s="104">
        <f t="shared" ref="V21:V27" si="8">U21*1.266</f>
        <v>1835.7</v>
      </c>
      <c r="X21" s="40">
        <v>0</v>
      </c>
    </row>
    <row r="22" spans="1:29" s="40" customFormat="1" ht="18.75" x14ac:dyDescent="0.25">
      <c r="A22" s="133" t="s">
        <v>108</v>
      </c>
      <c r="B22" s="51" t="s">
        <v>338</v>
      </c>
      <c r="C22" s="94" t="s">
        <v>54</v>
      </c>
      <c r="D22" s="95" t="s">
        <v>383</v>
      </c>
      <c r="E22" s="95" t="s">
        <v>127</v>
      </c>
      <c r="F22" s="97" t="s">
        <v>422</v>
      </c>
      <c r="G22" s="98">
        <f t="shared" si="1"/>
        <v>3060</v>
      </c>
      <c r="H22" s="99">
        <f t="shared" si="2"/>
        <v>3210</v>
      </c>
      <c r="I22" s="99">
        <f t="shared" si="3"/>
        <v>3210</v>
      </c>
      <c r="J22" s="99">
        <f t="shared" si="4"/>
        <v>3630</v>
      </c>
      <c r="K22" s="57"/>
      <c r="L22" s="156" t="s">
        <v>384</v>
      </c>
      <c r="M22" s="52" t="s">
        <v>292</v>
      </c>
      <c r="N22" s="40">
        <f t="shared" si="5"/>
        <v>350</v>
      </c>
      <c r="O22" s="53">
        <f>VLOOKUP(B22,DRAYAGE!$A$1:$C$107,3,FALSE)</f>
        <v>1310</v>
      </c>
      <c r="P22" s="40" t="s">
        <v>347</v>
      </c>
      <c r="S22" s="101">
        <f t="shared" si="0"/>
        <v>1395</v>
      </c>
      <c r="T22" s="54">
        <f>T16</f>
        <v>1550</v>
      </c>
      <c r="U22" s="103">
        <f t="shared" si="6"/>
        <v>1550</v>
      </c>
      <c r="V22" s="104">
        <f t="shared" si="8"/>
        <v>1962.3</v>
      </c>
      <c r="X22" s="40">
        <v>0</v>
      </c>
    </row>
    <row r="23" spans="1:29" s="40" customFormat="1" ht="18.75" x14ac:dyDescent="0.25">
      <c r="A23" s="133" t="s">
        <v>62</v>
      </c>
      <c r="B23" s="51" t="s">
        <v>338</v>
      </c>
      <c r="C23" s="94" t="s">
        <v>54</v>
      </c>
      <c r="D23" s="95" t="s">
        <v>383</v>
      </c>
      <c r="E23" s="95" t="s">
        <v>127</v>
      </c>
      <c r="F23" s="97" t="s">
        <v>422</v>
      </c>
      <c r="G23" s="98">
        <f t="shared" si="1"/>
        <v>3060</v>
      </c>
      <c r="H23" s="99">
        <f t="shared" si="2"/>
        <v>3210</v>
      </c>
      <c r="I23" s="99">
        <f t="shared" si="3"/>
        <v>3210</v>
      </c>
      <c r="J23" s="99">
        <f t="shared" si="4"/>
        <v>3630</v>
      </c>
      <c r="K23" s="57"/>
      <c r="L23" s="156" t="s">
        <v>384</v>
      </c>
      <c r="M23" s="52" t="s">
        <v>292</v>
      </c>
      <c r="N23" s="40">
        <f t="shared" si="5"/>
        <v>350</v>
      </c>
      <c r="O23" s="53">
        <f>VLOOKUP(B23,DRAYAGE!$A$1:$C$107,3,FALSE)</f>
        <v>1310</v>
      </c>
      <c r="P23" s="40" t="s">
        <v>347</v>
      </c>
      <c r="S23" s="101">
        <f t="shared" si="0"/>
        <v>1395</v>
      </c>
      <c r="T23" s="54">
        <f>T16</f>
        <v>1550</v>
      </c>
      <c r="U23" s="103">
        <f t="shared" si="6"/>
        <v>1550</v>
      </c>
      <c r="V23" s="104">
        <f t="shared" si="8"/>
        <v>1962.3</v>
      </c>
      <c r="X23" s="40">
        <v>0</v>
      </c>
      <c r="Y23" s="40">
        <f>0.9*Z23</f>
        <v>0</v>
      </c>
      <c r="AA23" s="40">
        <f>Z23</f>
        <v>0</v>
      </c>
      <c r="AB23" s="40">
        <f>Z23*1.266</f>
        <v>0</v>
      </c>
    </row>
    <row r="24" spans="1:29" s="40" customFormat="1" ht="18.75" x14ac:dyDescent="0.25">
      <c r="A24" s="133" t="s">
        <v>66</v>
      </c>
      <c r="B24" s="51" t="s">
        <v>338</v>
      </c>
      <c r="C24" s="94" t="s">
        <v>54</v>
      </c>
      <c r="D24" s="95" t="s">
        <v>383</v>
      </c>
      <c r="E24" s="95" t="s">
        <v>127</v>
      </c>
      <c r="F24" s="97" t="s">
        <v>422</v>
      </c>
      <c r="G24" s="98">
        <f t="shared" si="1"/>
        <v>3280</v>
      </c>
      <c r="H24" s="99">
        <f t="shared" si="2"/>
        <v>3460</v>
      </c>
      <c r="I24" s="99">
        <f t="shared" si="3"/>
        <v>3460</v>
      </c>
      <c r="J24" s="99">
        <f t="shared" si="4"/>
        <v>3940</v>
      </c>
      <c r="K24" s="57"/>
      <c r="L24" s="156" t="s">
        <v>384</v>
      </c>
      <c r="M24" s="52" t="s">
        <v>292</v>
      </c>
      <c r="N24" s="40">
        <f t="shared" si="5"/>
        <v>350</v>
      </c>
      <c r="O24" s="53">
        <f>VLOOKUP(B24,DRAYAGE!$A$1:$C$107,3,FALSE)</f>
        <v>1310</v>
      </c>
      <c r="P24" s="40" t="s">
        <v>347</v>
      </c>
      <c r="S24" s="101">
        <f t="shared" si="0"/>
        <v>1620</v>
      </c>
      <c r="T24" s="54">
        <f>T20+350</f>
        <v>1800</v>
      </c>
      <c r="U24" s="103">
        <f t="shared" si="6"/>
        <v>1800</v>
      </c>
      <c r="V24" s="104">
        <f t="shared" si="8"/>
        <v>2278.8000000000002</v>
      </c>
      <c r="X24" s="40">
        <v>0</v>
      </c>
    </row>
    <row r="25" spans="1:29" s="40" customFormat="1" ht="18.75" x14ac:dyDescent="0.25">
      <c r="A25" s="133" t="s">
        <v>65</v>
      </c>
      <c r="B25" s="51" t="s">
        <v>338</v>
      </c>
      <c r="C25" s="94" t="s">
        <v>54</v>
      </c>
      <c r="D25" s="95" t="s">
        <v>383</v>
      </c>
      <c r="E25" s="95" t="s">
        <v>127</v>
      </c>
      <c r="F25" s="97" t="s">
        <v>422</v>
      </c>
      <c r="G25" s="98">
        <f t="shared" si="1"/>
        <v>3260</v>
      </c>
      <c r="H25" s="99">
        <f t="shared" si="2"/>
        <v>3440</v>
      </c>
      <c r="I25" s="99">
        <f t="shared" si="3"/>
        <v>3440</v>
      </c>
      <c r="J25" s="99">
        <f t="shared" si="4"/>
        <v>3910</v>
      </c>
      <c r="K25" s="57"/>
      <c r="L25" s="156" t="s">
        <v>384</v>
      </c>
      <c r="M25" s="52" t="s">
        <v>292</v>
      </c>
      <c r="N25" s="40">
        <f t="shared" si="5"/>
        <v>350</v>
      </c>
      <c r="O25" s="53">
        <f>VLOOKUP(B25,DRAYAGE!$A$1:$C$107,3,FALSE)</f>
        <v>1310</v>
      </c>
      <c r="P25" s="40" t="s">
        <v>347</v>
      </c>
      <c r="S25" s="101">
        <f t="shared" si="0"/>
        <v>1597.5</v>
      </c>
      <c r="T25" s="54">
        <f>T20+325</f>
        <v>1775</v>
      </c>
      <c r="U25" s="103">
        <f t="shared" si="6"/>
        <v>1775</v>
      </c>
      <c r="V25" s="104">
        <f t="shared" si="8"/>
        <v>2247.15</v>
      </c>
      <c r="X25" s="40">
        <v>0</v>
      </c>
      <c r="Y25" s="40">
        <f>0.9*Z25</f>
        <v>0</v>
      </c>
      <c r="AA25" s="40">
        <f>Z25</f>
        <v>0</v>
      </c>
      <c r="AB25" s="40">
        <f>Z25*1.266</f>
        <v>0</v>
      </c>
    </row>
    <row r="26" spans="1:29" s="40" customFormat="1" ht="18.75" x14ac:dyDescent="0.25">
      <c r="A26" s="133" t="s">
        <v>63</v>
      </c>
      <c r="B26" s="51" t="s">
        <v>338</v>
      </c>
      <c r="C26" s="94" t="s">
        <v>54</v>
      </c>
      <c r="D26" s="95" t="s">
        <v>383</v>
      </c>
      <c r="E26" s="95" t="s">
        <v>127</v>
      </c>
      <c r="F26" s="97" t="s">
        <v>422</v>
      </c>
      <c r="G26" s="98">
        <f t="shared" si="1"/>
        <v>3280</v>
      </c>
      <c r="H26" s="99">
        <f t="shared" si="2"/>
        <v>3460</v>
      </c>
      <c r="I26" s="99">
        <f t="shared" si="3"/>
        <v>3460</v>
      </c>
      <c r="J26" s="99">
        <f t="shared" si="4"/>
        <v>3940</v>
      </c>
      <c r="K26" s="57"/>
      <c r="L26" s="156" t="s">
        <v>384</v>
      </c>
      <c r="M26" s="52" t="s">
        <v>292</v>
      </c>
      <c r="N26" s="40">
        <f t="shared" si="5"/>
        <v>350</v>
      </c>
      <c r="O26" s="53">
        <f>VLOOKUP(B26,DRAYAGE!$A$1:$C$107,3,FALSE)</f>
        <v>1310</v>
      </c>
      <c r="P26" s="40" t="s">
        <v>347</v>
      </c>
      <c r="S26" s="101">
        <f t="shared" si="0"/>
        <v>1620</v>
      </c>
      <c r="T26" s="54">
        <f>T20+350</f>
        <v>1800</v>
      </c>
      <c r="U26" s="103">
        <f t="shared" si="6"/>
        <v>1800</v>
      </c>
      <c r="V26" s="104">
        <f t="shared" si="8"/>
        <v>2278.8000000000002</v>
      </c>
      <c r="X26" s="40">
        <v>0</v>
      </c>
      <c r="Y26" s="40">
        <f>0.9*Z26</f>
        <v>0</v>
      </c>
      <c r="AA26" s="40">
        <f>Z26</f>
        <v>0</v>
      </c>
      <c r="AB26" s="40">
        <f>Z26*1.266</f>
        <v>0</v>
      </c>
    </row>
    <row r="27" spans="1:29" s="45" customFormat="1" ht="18.75" x14ac:dyDescent="0.25">
      <c r="A27" s="133" t="s">
        <v>275</v>
      </c>
      <c r="B27" s="51" t="s">
        <v>338</v>
      </c>
      <c r="C27" s="106" t="s">
        <v>54</v>
      </c>
      <c r="D27" s="95" t="s">
        <v>383</v>
      </c>
      <c r="E27" s="95" t="s">
        <v>127</v>
      </c>
      <c r="F27" s="97" t="s">
        <v>422</v>
      </c>
      <c r="G27" s="98">
        <f t="shared" si="1"/>
        <v>3240</v>
      </c>
      <c r="H27" s="99">
        <f t="shared" si="2"/>
        <v>3410</v>
      </c>
      <c r="I27" s="99">
        <f t="shared" si="3"/>
        <v>3410</v>
      </c>
      <c r="J27" s="99">
        <f t="shared" si="4"/>
        <v>3880</v>
      </c>
      <c r="K27" s="111"/>
      <c r="L27" s="156" t="s">
        <v>384</v>
      </c>
      <c r="M27" s="52" t="s">
        <v>292</v>
      </c>
      <c r="N27" s="40">
        <f t="shared" si="5"/>
        <v>350</v>
      </c>
      <c r="O27" s="53">
        <f>VLOOKUP(B27,DRAYAGE!$A$1:$C$107,3,FALSE)</f>
        <v>1310</v>
      </c>
      <c r="P27" s="40" t="s">
        <v>347</v>
      </c>
      <c r="R27" s="105"/>
      <c r="S27" s="113">
        <f t="shared" si="0"/>
        <v>1575</v>
      </c>
      <c r="T27" s="54">
        <f>T20+300</f>
        <v>1750</v>
      </c>
      <c r="U27" s="103">
        <f t="shared" si="6"/>
        <v>1750</v>
      </c>
      <c r="V27" s="114">
        <f t="shared" si="8"/>
        <v>2215.5</v>
      </c>
      <c r="X27" s="45">
        <v>0</v>
      </c>
      <c r="Y27" s="40">
        <f>0.9*Z27</f>
        <v>0</v>
      </c>
      <c r="AA27" s="40">
        <f>Z27</f>
        <v>0</v>
      </c>
      <c r="AB27" s="40">
        <f>Z27*1.266</f>
        <v>0</v>
      </c>
    </row>
    <row r="28" spans="1:29" s="45" customFormat="1" ht="18.75" x14ac:dyDescent="0.25">
      <c r="A28" s="133" t="s">
        <v>437</v>
      </c>
      <c r="B28" s="51" t="s">
        <v>338</v>
      </c>
      <c r="C28" s="106" t="s">
        <v>54</v>
      </c>
      <c r="D28" s="95" t="s">
        <v>383</v>
      </c>
      <c r="E28" s="95" t="s">
        <v>127</v>
      </c>
      <c r="F28" s="97" t="s">
        <v>422</v>
      </c>
      <c r="G28" s="98">
        <f>CEILING(S28+W28+X28+O28+N28+Y28,10)</f>
        <v>3170</v>
      </c>
      <c r="H28" s="99">
        <f>CEILING(T28+W28+X28+O28+N28+Z28,10)</f>
        <v>3340</v>
      </c>
      <c r="I28" s="99">
        <f>CEILING(U28+W28+X28+O28+N28+AA28,10)</f>
        <v>3340</v>
      </c>
      <c r="J28" s="99">
        <f>CEILING(V28+W28+X28+O28+N28+AB28,10)</f>
        <v>3790</v>
      </c>
      <c r="K28" s="111"/>
      <c r="L28" s="156" t="s">
        <v>384</v>
      </c>
      <c r="M28" s="52" t="s">
        <v>292</v>
      </c>
      <c r="N28" s="40">
        <v>350</v>
      </c>
      <c r="O28" s="53">
        <v>1310</v>
      </c>
      <c r="P28" s="40" t="s">
        <v>347</v>
      </c>
      <c r="R28" s="113">
        <v>1620</v>
      </c>
      <c r="S28" s="113">
        <f>0.9*T28</f>
        <v>1507.5</v>
      </c>
      <c r="T28" s="54">
        <f>1450+100+125</f>
        <v>1675</v>
      </c>
      <c r="U28" s="103">
        <f>T28</f>
        <v>1675</v>
      </c>
      <c r="V28" s="114">
        <f>U28*1.266</f>
        <v>2120.5500000000002</v>
      </c>
      <c r="W28" s="45">
        <v>0</v>
      </c>
      <c r="X28" s="40">
        <v>0</v>
      </c>
      <c r="Z28" s="40">
        <v>0</v>
      </c>
      <c r="AA28" s="40">
        <v>0</v>
      </c>
    </row>
    <row r="29" spans="1:29" s="40" customFormat="1" ht="14.45" customHeight="1" x14ac:dyDescent="0.25">
      <c r="A29" s="134" t="s">
        <v>333</v>
      </c>
      <c r="B29" s="88"/>
      <c r="C29" s="88"/>
      <c r="D29" s="88"/>
      <c r="E29" s="210"/>
      <c r="F29" s="211"/>
      <c r="G29" s="88"/>
      <c r="H29" s="88"/>
      <c r="I29" s="88"/>
      <c r="J29" s="88"/>
      <c r="K29" s="57"/>
      <c r="L29" s="89" t="s">
        <v>48</v>
      </c>
      <c r="M29" s="89" t="s">
        <v>261</v>
      </c>
      <c r="N29" s="90" t="s">
        <v>51</v>
      </c>
      <c r="O29" s="91" t="s">
        <v>50</v>
      </c>
      <c r="P29" s="91" t="s">
        <v>262</v>
      </c>
      <c r="Q29" s="91" t="s">
        <v>263</v>
      </c>
      <c r="R29" s="91" t="s">
        <v>264</v>
      </c>
      <c r="S29" s="92" t="s">
        <v>52</v>
      </c>
      <c r="T29" s="92" t="s">
        <v>53</v>
      </c>
      <c r="U29" s="92" t="s">
        <v>265</v>
      </c>
      <c r="V29" s="92" t="s">
        <v>266</v>
      </c>
      <c r="W29" s="92" t="s">
        <v>267</v>
      </c>
      <c r="X29" s="92" t="s">
        <v>268</v>
      </c>
      <c r="Y29" s="92" t="s">
        <v>52</v>
      </c>
      <c r="Z29" s="92" t="s">
        <v>53</v>
      </c>
      <c r="AA29" s="92" t="s">
        <v>265</v>
      </c>
      <c r="AB29" s="92" t="s">
        <v>266</v>
      </c>
      <c r="AC29" s="93" t="s">
        <v>269</v>
      </c>
    </row>
    <row r="30" spans="1:29" s="40" customFormat="1" ht="14.45" customHeight="1" x14ac:dyDescent="0.25">
      <c r="A30" s="133" t="s">
        <v>58</v>
      </c>
      <c r="B30" s="51" t="s">
        <v>339</v>
      </c>
      <c r="C30" s="94" t="s">
        <v>54</v>
      </c>
      <c r="D30" s="95" t="s">
        <v>383</v>
      </c>
      <c r="E30" s="96" t="s">
        <v>114</v>
      </c>
      <c r="F30" s="97" t="s">
        <v>270</v>
      </c>
      <c r="G30" s="98">
        <f>CEILING(S30+W30+X30+O30+N30+Y30,10)</f>
        <v>7120</v>
      </c>
      <c r="H30" s="99">
        <f>CEILING(T30+W30+X30+O30+N30+Z30,10)</f>
        <v>7620</v>
      </c>
      <c r="I30" s="99">
        <f>CEILING(U30+W30+X30+O30+N30+AA30,10)</f>
        <v>7620</v>
      </c>
      <c r="J30" s="99">
        <f>CEILING(V30+W30+X30+O30+N30+AB30,10)</f>
        <v>8940</v>
      </c>
      <c r="K30" s="57"/>
      <c r="L30" s="156" t="s">
        <v>384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S30" s="101">
        <f>0.9*T30</f>
        <v>4455</v>
      </c>
      <c r="T30" s="54">
        <f>4500+150+300</f>
        <v>4950</v>
      </c>
      <c r="U30" s="103">
        <f t="shared" si="6"/>
        <v>4950</v>
      </c>
      <c r="V30" s="104">
        <f>U30*1.266</f>
        <v>6266.7</v>
      </c>
    </row>
    <row r="31" spans="1:29" s="40" customFormat="1" ht="14.45" customHeight="1" x14ac:dyDescent="0.25">
      <c r="A31" s="133" t="s">
        <v>55</v>
      </c>
      <c r="B31" s="51" t="s">
        <v>339</v>
      </c>
      <c r="C31" s="94" t="s">
        <v>54</v>
      </c>
      <c r="D31" s="95" t="s">
        <v>383</v>
      </c>
      <c r="E31" s="96" t="s">
        <v>114</v>
      </c>
      <c r="F31" s="97" t="s">
        <v>270</v>
      </c>
      <c r="G31" s="98">
        <f>CEILING(S31+W31+X31+O31+N31+Y31,10)</f>
        <v>6850</v>
      </c>
      <c r="H31" s="99">
        <f>CEILING(T31+W31+X31+O31+N31+Z31,10)</f>
        <v>7320</v>
      </c>
      <c r="I31" s="99">
        <f>CEILING(U31+W31+X31+O31+N31+AA31,10)</f>
        <v>7320</v>
      </c>
      <c r="J31" s="99">
        <f>CEILING(V31+W31+X31+O31+N31+AB31,10)</f>
        <v>8560</v>
      </c>
      <c r="K31" s="57"/>
      <c r="L31" s="156" t="s">
        <v>384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S31" s="101">
        <f>0.9*T31</f>
        <v>4185</v>
      </c>
      <c r="T31" s="54">
        <f>4500+150</f>
        <v>4650</v>
      </c>
      <c r="U31" s="103">
        <f t="shared" si="6"/>
        <v>4650</v>
      </c>
      <c r="V31" s="104">
        <f>U31*1.266</f>
        <v>5886.9</v>
      </c>
    </row>
    <row r="32" spans="1:29" s="40" customFormat="1" ht="14.45" customHeight="1" x14ac:dyDescent="0.25">
      <c r="A32" s="133" t="s">
        <v>61</v>
      </c>
      <c r="B32" s="51" t="s">
        <v>339</v>
      </c>
      <c r="C32" s="94" t="s">
        <v>54</v>
      </c>
      <c r="D32" s="95" t="s">
        <v>383</v>
      </c>
      <c r="E32" s="96" t="s">
        <v>114</v>
      </c>
      <c r="F32" s="97" t="s">
        <v>270</v>
      </c>
      <c r="G32" s="98">
        <f>CEILING(S32+W32+X32+O32+N32+Y32,10)</f>
        <v>6850</v>
      </c>
      <c r="H32" s="99">
        <f>CEILING(T32+W32+X32+O32+N32+Z32,10)</f>
        <v>7320</v>
      </c>
      <c r="I32" s="99">
        <f>CEILING(U32+W32+X32+O32+N32+AA32,10)</f>
        <v>7320</v>
      </c>
      <c r="J32" s="99">
        <f>CEILING(V32+W32+X32+O32+N32+AB32,10)</f>
        <v>8560</v>
      </c>
      <c r="K32" s="57"/>
      <c r="L32" s="156" t="s">
        <v>384</v>
      </c>
      <c r="M32" s="52" t="s">
        <v>293</v>
      </c>
      <c r="N32" s="40">
        <v>0</v>
      </c>
      <c r="O32" s="53">
        <f>VLOOKUP(B32,DRAYAGE!$A$1:$C$107,3,FALSE)</f>
        <v>2665</v>
      </c>
      <c r="P32" s="40" t="s">
        <v>299</v>
      </c>
      <c r="S32" s="101">
        <f>0.9*T32</f>
        <v>4185</v>
      </c>
      <c r="T32" s="54">
        <f>4500+150</f>
        <v>4650</v>
      </c>
      <c r="U32" s="103">
        <f t="shared" si="6"/>
        <v>4650</v>
      </c>
      <c r="V32" s="104">
        <f>U32*1.266</f>
        <v>5886.9</v>
      </c>
    </row>
    <row r="33" spans="1:29" s="40" customFormat="1" ht="14.45" customHeight="1" x14ac:dyDescent="0.25">
      <c r="A33" s="134" t="s">
        <v>334</v>
      </c>
      <c r="B33" s="88"/>
      <c r="C33" s="88"/>
      <c r="D33" s="88"/>
      <c r="E33" s="210"/>
      <c r="F33" s="211"/>
      <c r="G33" s="88"/>
      <c r="H33" s="88"/>
      <c r="I33" s="88"/>
      <c r="J33" s="88"/>
      <c r="K33" s="57"/>
      <c r="L33" s="89" t="s">
        <v>48</v>
      </c>
      <c r="M33" s="89" t="s">
        <v>261</v>
      </c>
      <c r="N33" s="90" t="s">
        <v>51</v>
      </c>
      <c r="O33" s="91" t="s">
        <v>50</v>
      </c>
      <c r="P33" s="91" t="s">
        <v>262</v>
      </c>
      <c r="Q33" s="91" t="s">
        <v>263</v>
      </c>
      <c r="R33" s="91" t="s">
        <v>264</v>
      </c>
      <c r="S33" s="92" t="s">
        <v>52</v>
      </c>
      <c r="T33" s="92" t="s">
        <v>53</v>
      </c>
      <c r="U33" s="92" t="s">
        <v>265</v>
      </c>
      <c r="V33" s="92" t="s">
        <v>266</v>
      </c>
      <c r="W33" s="92" t="s">
        <v>267</v>
      </c>
      <c r="X33" s="92" t="s">
        <v>268</v>
      </c>
      <c r="Y33" s="92" t="s">
        <v>52</v>
      </c>
      <c r="Z33" s="92" t="s">
        <v>53</v>
      </c>
      <c r="AA33" s="92" t="s">
        <v>265</v>
      </c>
      <c r="AB33" s="92" t="s">
        <v>266</v>
      </c>
      <c r="AC33" s="93" t="s">
        <v>269</v>
      </c>
    </row>
    <row r="34" spans="1:29" s="40" customFormat="1" ht="14.45" customHeight="1" x14ac:dyDescent="0.25">
      <c r="A34" s="133" t="s">
        <v>58</v>
      </c>
      <c r="B34" s="51" t="s">
        <v>341</v>
      </c>
      <c r="C34" s="94" t="s">
        <v>54</v>
      </c>
      <c r="D34" s="95" t="s">
        <v>383</v>
      </c>
      <c r="E34" s="96" t="s">
        <v>114</v>
      </c>
      <c r="F34" s="97" t="s">
        <v>270</v>
      </c>
      <c r="G34" s="98">
        <f>CEILING(S34+W34+X34+O34+N34+Y34,10)</f>
        <v>6150</v>
      </c>
      <c r="H34" s="99">
        <f>CEILING(T34+W34+X34+O34+N34+Z34,10)</f>
        <v>6640</v>
      </c>
      <c r="I34" s="99">
        <f>CEILING(U34+W34+X34+O34+N34+AA34,10)</f>
        <v>6640</v>
      </c>
      <c r="J34" s="99">
        <f>CEILING(V34+W34+X34+O34+N34+AB34,10)</f>
        <v>7960</v>
      </c>
      <c r="K34" s="57"/>
      <c r="L34" s="156" t="s">
        <v>384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S34" s="101">
        <f>0.9*T34</f>
        <v>4455</v>
      </c>
      <c r="T34" s="54">
        <f>T30</f>
        <v>4950</v>
      </c>
      <c r="U34" s="103">
        <f t="shared" si="6"/>
        <v>4950</v>
      </c>
      <c r="V34" s="104">
        <f>U34*1.266</f>
        <v>6266.7</v>
      </c>
      <c r="X34" s="40">
        <v>0</v>
      </c>
    </row>
    <row r="35" spans="1:29" s="40" customFormat="1" ht="14.45" customHeight="1" x14ac:dyDescent="0.25">
      <c r="A35" s="133" t="s">
        <v>55</v>
      </c>
      <c r="B35" s="51" t="s">
        <v>341</v>
      </c>
      <c r="C35" s="94" t="s">
        <v>54</v>
      </c>
      <c r="D35" s="95" t="s">
        <v>383</v>
      </c>
      <c r="E35" s="96" t="s">
        <v>114</v>
      </c>
      <c r="F35" s="97" t="s">
        <v>270</v>
      </c>
      <c r="G35" s="98">
        <f>CEILING(S35+W35+X35+O35+N35+Y35,10)</f>
        <v>5880</v>
      </c>
      <c r="H35" s="99">
        <f>CEILING(T35+W35+X35+O35+N35+Z35,10)</f>
        <v>6340</v>
      </c>
      <c r="I35" s="99">
        <f>CEILING(U35+W35+X35+O35+N35+AA35,10)</f>
        <v>6340</v>
      </c>
      <c r="J35" s="99">
        <f>CEILING(V35+W35+X35+O35+N35+AB35,10)</f>
        <v>7580</v>
      </c>
      <c r="K35" s="57"/>
      <c r="L35" s="156" t="s">
        <v>384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S35" s="101">
        <f>0.9*T35</f>
        <v>4185</v>
      </c>
      <c r="T35" s="54">
        <f>T31</f>
        <v>4650</v>
      </c>
      <c r="U35" s="103">
        <f t="shared" si="6"/>
        <v>4650</v>
      </c>
      <c r="V35" s="104">
        <f>U35*1.266</f>
        <v>5886.9</v>
      </c>
      <c r="X35" s="40">
        <v>0</v>
      </c>
    </row>
    <row r="36" spans="1:29" s="40" customFormat="1" ht="14.45" customHeight="1" x14ac:dyDescent="0.25">
      <c r="A36" s="133" t="s">
        <v>61</v>
      </c>
      <c r="B36" s="51" t="s">
        <v>341</v>
      </c>
      <c r="C36" s="94" t="s">
        <v>54</v>
      </c>
      <c r="D36" s="95" t="s">
        <v>383</v>
      </c>
      <c r="E36" s="96" t="s">
        <v>114</v>
      </c>
      <c r="F36" s="97" t="s">
        <v>270</v>
      </c>
      <c r="G36" s="98">
        <f>CEILING(S36+W36+X36+O36+N36+Y36,10)</f>
        <v>5880</v>
      </c>
      <c r="H36" s="99">
        <f>CEILING(T36+W36+X36+O36+N36+Z36,10)</f>
        <v>6340</v>
      </c>
      <c r="I36" s="99">
        <f>CEILING(U36+W36+X36+O36+N36+AA36,10)</f>
        <v>6340</v>
      </c>
      <c r="J36" s="99">
        <f>CEILING(V36+W36+X36+O36+N36+AB36,10)</f>
        <v>7580</v>
      </c>
      <c r="K36" s="57"/>
      <c r="L36" s="156" t="s">
        <v>384</v>
      </c>
      <c r="M36" s="52" t="s">
        <v>293</v>
      </c>
      <c r="N36" s="40">
        <v>0</v>
      </c>
      <c r="O36" s="53">
        <f>VLOOKUP(B36,DRAYAGE!$A$1:$C$107,3,FALSE)</f>
        <v>1690</v>
      </c>
      <c r="P36" s="40" t="s">
        <v>299</v>
      </c>
      <c r="S36" s="101">
        <f>0.9*T36</f>
        <v>4185</v>
      </c>
      <c r="T36" s="54">
        <f>T32</f>
        <v>4650</v>
      </c>
      <c r="U36" s="103">
        <f t="shared" si="6"/>
        <v>4650</v>
      </c>
      <c r="V36" s="104">
        <f>U36*1.266</f>
        <v>5886.9</v>
      </c>
      <c r="X36" s="40">
        <v>0</v>
      </c>
    </row>
    <row r="37" spans="1:29" s="40" customFormat="1" ht="14.45" customHeight="1" x14ac:dyDescent="0.25">
      <c r="A37" s="134" t="s">
        <v>335</v>
      </c>
      <c r="B37" s="88"/>
      <c r="C37" s="88"/>
      <c r="D37" s="88"/>
      <c r="E37" s="210"/>
      <c r="F37" s="211"/>
      <c r="G37" s="88"/>
      <c r="H37" s="88"/>
      <c r="I37" s="88"/>
      <c r="J37" s="88"/>
      <c r="K37" s="57"/>
      <c r="L37" s="89" t="s">
        <v>48</v>
      </c>
      <c r="M37" s="89" t="s">
        <v>261</v>
      </c>
      <c r="N37" s="90" t="s">
        <v>51</v>
      </c>
      <c r="O37" s="91" t="s">
        <v>50</v>
      </c>
      <c r="P37" s="91" t="s">
        <v>262</v>
      </c>
      <c r="Q37" s="91" t="s">
        <v>263</v>
      </c>
      <c r="R37" s="91" t="s">
        <v>264</v>
      </c>
      <c r="S37" s="92" t="s">
        <v>52</v>
      </c>
      <c r="T37" s="92" t="s">
        <v>53</v>
      </c>
      <c r="U37" s="92" t="s">
        <v>265</v>
      </c>
      <c r="V37" s="92" t="s">
        <v>266</v>
      </c>
      <c r="W37" s="92" t="s">
        <v>267</v>
      </c>
      <c r="X37" s="92" t="s">
        <v>268</v>
      </c>
      <c r="Y37" s="92" t="s">
        <v>52</v>
      </c>
      <c r="Z37" s="92" t="s">
        <v>53</v>
      </c>
      <c r="AA37" s="92" t="s">
        <v>265</v>
      </c>
      <c r="AB37" s="92" t="s">
        <v>266</v>
      </c>
      <c r="AC37" s="93" t="s">
        <v>269</v>
      </c>
    </row>
    <row r="38" spans="1:29" s="40" customFormat="1" ht="18.75" x14ac:dyDescent="0.25">
      <c r="A38" s="133" t="s">
        <v>81</v>
      </c>
      <c r="B38" s="51" t="s">
        <v>340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 t="shared" ref="G38:G44" si="9">CEILING(S38+W38+X38+O38+N38+Y38,10)</f>
        <v>6130</v>
      </c>
      <c r="H38" s="99">
        <f t="shared" ref="H38:H44" si="10">CEILING(T38+W38+X38+O38+N38+Z38,10)</f>
        <v>6610</v>
      </c>
      <c r="I38" s="99">
        <f t="shared" ref="I38:I44" si="11">CEILING(U38+W38+X38+O38+N38+AA38,10)</f>
        <v>6610</v>
      </c>
      <c r="J38" s="99">
        <f t="shared" ref="J38:J44" si="12">CEILING(V38+W38+X38+O38+N38+AB38,10)</f>
        <v>7890</v>
      </c>
      <c r="K38" s="57"/>
      <c r="L38" s="156" t="s">
        <v>384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S38" s="101">
        <f t="shared" ref="S38:S44" si="13">0.9*T38</f>
        <v>4320</v>
      </c>
      <c r="T38" s="54">
        <f>4700+100</f>
        <v>4800</v>
      </c>
      <c r="U38" s="103">
        <f t="shared" si="6"/>
        <v>4800</v>
      </c>
      <c r="V38" s="104">
        <f t="shared" ref="V38:V44" si="14">U38*1.266</f>
        <v>6076.8</v>
      </c>
      <c r="X38" s="40">
        <v>0</v>
      </c>
    </row>
    <row r="39" spans="1:29" s="40" customFormat="1" ht="27" customHeight="1" x14ac:dyDescent="0.25">
      <c r="A39" s="133" t="s">
        <v>55</v>
      </c>
      <c r="B39" s="51" t="s">
        <v>340</v>
      </c>
      <c r="C39" s="94" t="s">
        <v>54</v>
      </c>
      <c r="D39" s="95" t="s">
        <v>383</v>
      </c>
      <c r="E39" s="96" t="s">
        <v>114</v>
      </c>
      <c r="F39" s="97" t="s">
        <v>270</v>
      </c>
      <c r="G39" s="98">
        <f t="shared" si="9"/>
        <v>6130</v>
      </c>
      <c r="H39" s="99">
        <f t="shared" si="10"/>
        <v>6610</v>
      </c>
      <c r="I39" s="99">
        <f t="shared" si="11"/>
        <v>6610</v>
      </c>
      <c r="J39" s="99">
        <f t="shared" si="12"/>
        <v>7890</v>
      </c>
      <c r="K39" s="57"/>
      <c r="L39" s="156" t="s">
        <v>384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S39" s="101">
        <f t="shared" si="13"/>
        <v>4320</v>
      </c>
      <c r="T39" s="54">
        <f>4700+100</f>
        <v>4800</v>
      </c>
      <c r="U39" s="103">
        <f t="shared" si="6"/>
        <v>4800</v>
      </c>
      <c r="V39" s="104">
        <f t="shared" si="14"/>
        <v>6076.8</v>
      </c>
      <c r="X39" s="40">
        <v>0</v>
      </c>
    </row>
    <row r="40" spans="1:29" s="40" customFormat="1" ht="14.45" customHeight="1" x14ac:dyDescent="0.25">
      <c r="A40" s="133" t="s">
        <v>59</v>
      </c>
      <c r="B40" s="51" t="s">
        <v>340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 t="shared" si="9"/>
        <v>6130</v>
      </c>
      <c r="H40" s="99">
        <f t="shared" si="10"/>
        <v>6610</v>
      </c>
      <c r="I40" s="99">
        <f t="shared" si="11"/>
        <v>6610</v>
      </c>
      <c r="J40" s="99">
        <f t="shared" si="12"/>
        <v>7890</v>
      </c>
      <c r="K40" s="57"/>
      <c r="L40" s="156" t="s">
        <v>384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S40" s="101">
        <f t="shared" si="13"/>
        <v>4320</v>
      </c>
      <c r="T40" s="54">
        <f>T38</f>
        <v>4800</v>
      </c>
      <c r="U40" s="103">
        <f t="shared" si="6"/>
        <v>4800</v>
      </c>
      <c r="V40" s="104">
        <f t="shared" si="14"/>
        <v>6076.8</v>
      </c>
      <c r="X40" s="40">
        <v>0</v>
      </c>
    </row>
    <row r="41" spans="1:29" s="40" customFormat="1" ht="18.75" x14ac:dyDescent="0.25">
      <c r="A41" s="133" t="s">
        <v>60</v>
      </c>
      <c r="B41" s="51" t="s">
        <v>340</v>
      </c>
      <c r="C41" s="94" t="s">
        <v>54</v>
      </c>
      <c r="D41" s="95" t="s">
        <v>383</v>
      </c>
      <c r="E41" s="96" t="s">
        <v>114</v>
      </c>
      <c r="F41" s="97" t="s">
        <v>270</v>
      </c>
      <c r="G41" s="98">
        <f t="shared" si="9"/>
        <v>6130</v>
      </c>
      <c r="H41" s="99">
        <f t="shared" si="10"/>
        <v>6610</v>
      </c>
      <c r="I41" s="99">
        <f t="shared" si="11"/>
        <v>6610</v>
      </c>
      <c r="J41" s="99">
        <f t="shared" si="12"/>
        <v>7890</v>
      </c>
      <c r="K41" s="57"/>
      <c r="L41" s="156" t="s">
        <v>384</v>
      </c>
      <c r="M41" s="52" t="s">
        <v>294</v>
      </c>
      <c r="N41" s="40">
        <v>0</v>
      </c>
      <c r="O41" s="53">
        <f>VLOOKUP(B41,DRAYAGE!$A$1:$C$107,3,FALSE)</f>
        <v>1805</v>
      </c>
      <c r="P41" s="40" t="s">
        <v>300</v>
      </c>
      <c r="S41" s="101">
        <f t="shared" si="13"/>
        <v>4320</v>
      </c>
      <c r="T41" s="54">
        <f>4700+100</f>
        <v>4800</v>
      </c>
      <c r="U41" s="103">
        <f t="shared" si="6"/>
        <v>4800</v>
      </c>
      <c r="V41" s="104">
        <f t="shared" si="14"/>
        <v>6076.8</v>
      </c>
      <c r="X41" s="40">
        <v>0</v>
      </c>
    </row>
    <row r="42" spans="1:29" s="45" customFormat="1" ht="14.45" customHeight="1" x14ac:dyDescent="0.25">
      <c r="A42" s="133" t="s">
        <v>61</v>
      </c>
      <c r="B42" s="51" t="s">
        <v>340</v>
      </c>
      <c r="C42" s="106" t="s">
        <v>54</v>
      </c>
      <c r="D42" s="95" t="s">
        <v>383</v>
      </c>
      <c r="E42" s="107" t="s">
        <v>114</v>
      </c>
      <c r="F42" s="108" t="s">
        <v>270</v>
      </c>
      <c r="G42" s="109">
        <f t="shared" si="9"/>
        <v>6130</v>
      </c>
      <c r="H42" s="110">
        <f t="shared" si="10"/>
        <v>6610</v>
      </c>
      <c r="I42" s="110">
        <f t="shared" si="11"/>
        <v>6610</v>
      </c>
      <c r="J42" s="110">
        <f t="shared" si="12"/>
        <v>7890</v>
      </c>
      <c r="K42" s="111"/>
      <c r="L42" s="156" t="s">
        <v>384</v>
      </c>
      <c r="M42" s="52" t="s">
        <v>294</v>
      </c>
      <c r="N42" s="45">
        <v>0</v>
      </c>
      <c r="O42" s="53">
        <f>VLOOKUP(B42,DRAYAGE!$A$1:$C$107,3,FALSE)</f>
        <v>1805</v>
      </c>
      <c r="P42" s="40" t="s">
        <v>300</v>
      </c>
      <c r="R42" s="40"/>
      <c r="S42" s="113">
        <f t="shared" si="13"/>
        <v>4320</v>
      </c>
      <c r="T42" s="54">
        <f>T38</f>
        <v>4800</v>
      </c>
      <c r="U42" s="103">
        <f t="shared" si="6"/>
        <v>4800</v>
      </c>
      <c r="V42" s="114">
        <f t="shared" si="14"/>
        <v>6076.8</v>
      </c>
      <c r="X42" s="45">
        <v>0</v>
      </c>
      <c r="Y42" s="40"/>
      <c r="Z42" s="40"/>
      <c r="AA42" s="40"/>
      <c r="AB42" s="40"/>
    </row>
    <row r="43" spans="1:29" s="40" customFormat="1" ht="18.75" x14ac:dyDescent="0.25">
      <c r="A43" s="133" t="s">
        <v>273</v>
      </c>
      <c r="B43" s="51" t="s">
        <v>340</v>
      </c>
      <c r="C43" s="94" t="s">
        <v>54</v>
      </c>
      <c r="D43" s="95" t="s">
        <v>383</v>
      </c>
      <c r="E43" s="96" t="s">
        <v>114</v>
      </c>
      <c r="F43" s="97" t="s">
        <v>270</v>
      </c>
      <c r="G43" s="98">
        <f t="shared" si="9"/>
        <v>6260</v>
      </c>
      <c r="H43" s="99">
        <f t="shared" si="10"/>
        <v>6760</v>
      </c>
      <c r="I43" s="99">
        <f t="shared" si="11"/>
        <v>6760</v>
      </c>
      <c r="J43" s="99">
        <f t="shared" si="12"/>
        <v>8080</v>
      </c>
      <c r="K43" s="57"/>
      <c r="L43" s="156" t="s">
        <v>384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S43" s="101">
        <f t="shared" si="13"/>
        <v>4455</v>
      </c>
      <c r="T43" s="54">
        <f>4700+100+150</f>
        <v>4950</v>
      </c>
      <c r="U43" s="103">
        <f t="shared" si="6"/>
        <v>4950</v>
      </c>
      <c r="V43" s="104">
        <f t="shared" si="14"/>
        <v>6266.7</v>
      </c>
      <c r="X43" s="40">
        <v>0</v>
      </c>
    </row>
    <row r="44" spans="1:29" s="40" customFormat="1" ht="14.45" customHeight="1" x14ac:dyDescent="0.25">
      <c r="A44" s="133" t="s">
        <v>58</v>
      </c>
      <c r="B44" s="51" t="s">
        <v>340</v>
      </c>
      <c r="C44" s="94" t="s">
        <v>54</v>
      </c>
      <c r="D44" s="95" t="s">
        <v>383</v>
      </c>
      <c r="E44" s="96" t="s">
        <v>114</v>
      </c>
      <c r="F44" s="97" t="s">
        <v>270</v>
      </c>
      <c r="G44" s="98">
        <f t="shared" si="9"/>
        <v>6400</v>
      </c>
      <c r="H44" s="99">
        <f t="shared" si="10"/>
        <v>6910</v>
      </c>
      <c r="I44" s="99">
        <f t="shared" si="11"/>
        <v>6910</v>
      </c>
      <c r="J44" s="99">
        <f t="shared" si="12"/>
        <v>8270</v>
      </c>
      <c r="K44" s="57"/>
      <c r="L44" s="156" t="s">
        <v>384</v>
      </c>
      <c r="M44" s="52" t="s">
        <v>294</v>
      </c>
      <c r="N44" s="40">
        <v>0</v>
      </c>
      <c r="O44" s="53">
        <f>VLOOKUP(B44,DRAYAGE!$A$1:$C$107,3,FALSE)</f>
        <v>1805</v>
      </c>
      <c r="P44" s="40" t="s">
        <v>300</v>
      </c>
      <c r="S44" s="101">
        <f t="shared" si="13"/>
        <v>4590</v>
      </c>
      <c r="T44" s="54">
        <f>T38+300</f>
        <v>5100</v>
      </c>
      <c r="U44" s="103">
        <f t="shared" si="6"/>
        <v>5100</v>
      </c>
      <c r="V44" s="104">
        <f t="shared" si="14"/>
        <v>6456.6</v>
      </c>
      <c r="X44" s="40">
        <v>0</v>
      </c>
    </row>
    <row r="45" spans="1:29" s="40" customFormat="1" ht="14.45" customHeight="1" x14ac:dyDescent="0.25">
      <c r="A45" s="134" t="s">
        <v>98</v>
      </c>
      <c r="B45" s="88"/>
      <c r="C45" s="88"/>
      <c r="D45" s="88"/>
      <c r="E45" s="210"/>
      <c r="F45" s="211"/>
      <c r="G45" s="88"/>
      <c r="H45" s="88"/>
      <c r="I45" s="88"/>
      <c r="J45" s="88"/>
      <c r="K45" s="57"/>
      <c r="L45" s="89" t="s">
        <v>48</v>
      </c>
      <c r="M45" s="89" t="s">
        <v>261</v>
      </c>
      <c r="N45" s="90" t="s">
        <v>51</v>
      </c>
      <c r="O45" s="91" t="s">
        <v>50</v>
      </c>
      <c r="P45" s="91" t="s">
        <v>262</v>
      </c>
      <c r="Q45" s="91" t="s">
        <v>263</v>
      </c>
      <c r="R45" s="92" t="s">
        <v>52</v>
      </c>
      <c r="S45" s="92" t="s">
        <v>52</v>
      </c>
      <c r="T45" s="92" t="s">
        <v>53</v>
      </c>
      <c r="U45" s="92" t="s">
        <v>265</v>
      </c>
      <c r="V45" s="92" t="s">
        <v>266</v>
      </c>
      <c r="W45" s="92" t="s">
        <v>267</v>
      </c>
      <c r="X45" s="92" t="s">
        <v>268</v>
      </c>
      <c r="Y45" s="92" t="s">
        <v>52</v>
      </c>
      <c r="Z45" s="92" t="s">
        <v>53</v>
      </c>
      <c r="AA45" s="92" t="s">
        <v>265</v>
      </c>
      <c r="AB45" s="92" t="s">
        <v>266</v>
      </c>
      <c r="AC45" s="93" t="s">
        <v>269</v>
      </c>
    </row>
    <row r="46" spans="1:29" s="40" customFormat="1" ht="14.45" customHeight="1" x14ac:dyDescent="0.25">
      <c r="A46" s="133" t="s">
        <v>331</v>
      </c>
      <c r="B46" s="51" t="s">
        <v>342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>CEILING(S46+W46+X46+O46+N46+Y46,10)</f>
        <v>7120</v>
      </c>
      <c r="H46" s="99">
        <f>CEILING(T46+W46+X46+O46+N46+Z46,10)</f>
        <v>7570</v>
      </c>
      <c r="I46" s="99">
        <f>CEILING(U46+W46+X46+O46+N46+AA46,10)</f>
        <v>7570</v>
      </c>
      <c r="J46" s="99">
        <f>CEILING(V46+W46+X46+O46+N46+AB46,10)</f>
        <v>8790</v>
      </c>
      <c r="K46" s="57"/>
      <c r="L46" s="156" t="s">
        <v>384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R46" s="101">
        <v>19800</v>
      </c>
      <c r="S46" s="101">
        <f>0.9*T46</f>
        <v>4117.5</v>
      </c>
      <c r="T46" s="54">
        <f>4400+175</f>
        <v>4575</v>
      </c>
      <c r="U46" s="103">
        <f>T46</f>
        <v>4575</v>
      </c>
      <c r="V46" s="104">
        <f>U46*1.266</f>
        <v>5791.95</v>
      </c>
      <c r="W46" s="40">
        <v>0</v>
      </c>
    </row>
    <row r="47" spans="1:29" s="40" customFormat="1" ht="14.45" customHeight="1" x14ac:dyDescent="0.25">
      <c r="A47" s="133" t="s">
        <v>328</v>
      </c>
      <c r="B47" s="51" t="s">
        <v>342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>CEILING(S47+W47+X47+O47+N47+Y47,10)</f>
        <v>7120</v>
      </c>
      <c r="H47" s="99">
        <f>CEILING(T47+W47+X47+O47+N47+Z47,10)</f>
        <v>7570</v>
      </c>
      <c r="I47" s="99">
        <f>CEILING(U47+W47+X47+O47+N47+AA47,10)</f>
        <v>7570</v>
      </c>
      <c r="J47" s="99">
        <f>CEILING(V47+W47+X47+O47+N47+AB47,10)</f>
        <v>8790</v>
      </c>
      <c r="K47" s="57"/>
      <c r="L47" s="156" t="s">
        <v>384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R47" s="101">
        <v>19800</v>
      </c>
      <c r="S47" s="101">
        <f>0.9*T47</f>
        <v>4117.5</v>
      </c>
      <c r="T47" s="54">
        <f>4400+175</f>
        <v>4575</v>
      </c>
      <c r="U47" s="103">
        <f>T47</f>
        <v>4575</v>
      </c>
      <c r="V47" s="104">
        <f>U47*1.266</f>
        <v>5791.95</v>
      </c>
      <c r="W47" s="40">
        <v>0</v>
      </c>
    </row>
    <row r="48" spans="1:29" s="40" customFormat="1" ht="14.45" customHeight="1" x14ac:dyDescent="0.25">
      <c r="A48" s="133" t="s">
        <v>58</v>
      </c>
      <c r="B48" s="51" t="s">
        <v>342</v>
      </c>
      <c r="C48" s="94" t="s">
        <v>54</v>
      </c>
      <c r="D48" s="95" t="s">
        <v>383</v>
      </c>
      <c r="E48" s="96" t="s">
        <v>114</v>
      </c>
      <c r="F48" s="97" t="s">
        <v>270</v>
      </c>
      <c r="G48" s="98">
        <f>CEILING(S48+W48+X48+O48+N48+Y48,10)</f>
        <v>7430</v>
      </c>
      <c r="H48" s="99">
        <f>CEILING(T48+W48+X48+O48+N48+Z48,10)</f>
        <v>7920</v>
      </c>
      <c r="I48" s="99">
        <f>CEILING(U48+W48+X48+O48+N48+AA48,10)</f>
        <v>7920</v>
      </c>
      <c r="J48" s="99">
        <f>CEILING(V48+W48+X48+O48+N48+AB48,10)</f>
        <v>9240</v>
      </c>
      <c r="K48" s="57"/>
      <c r="L48" s="156" t="s">
        <v>384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R48" s="101">
        <v>19800</v>
      </c>
      <c r="S48" s="101">
        <f>0.9*T48</f>
        <v>4432.5</v>
      </c>
      <c r="T48" s="54">
        <f>4450+175+300</f>
        <v>4925</v>
      </c>
      <c r="U48" s="103">
        <f>T48</f>
        <v>4925</v>
      </c>
      <c r="V48" s="104">
        <f>U48*1.266</f>
        <v>6235.05</v>
      </c>
      <c r="W48" s="40">
        <v>0</v>
      </c>
    </row>
    <row r="49" spans="1:29" s="40" customFormat="1" ht="14.45" customHeight="1" x14ac:dyDescent="0.25">
      <c r="A49" s="133" t="s">
        <v>330</v>
      </c>
      <c r="B49" s="51" t="s">
        <v>342</v>
      </c>
      <c r="C49" s="94" t="s">
        <v>54</v>
      </c>
      <c r="D49" s="95" t="s">
        <v>383</v>
      </c>
      <c r="E49" s="96" t="s">
        <v>114</v>
      </c>
      <c r="F49" s="97" t="s">
        <v>270</v>
      </c>
      <c r="G49" s="98">
        <f>CEILING(S49+W49+X49+O49+N49+Y49,10)</f>
        <v>7120</v>
      </c>
      <c r="H49" s="99">
        <f>CEILING(T49+W49+X49+O49+N49+Z49,10)</f>
        <v>7570</v>
      </c>
      <c r="I49" s="99">
        <f>CEILING(U49+W49+X49+O49+N49+AA49,10)</f>
        <v>7570</v>
      </c>
      <c r="J49" s="99">
        <f>CEILING(V49+W49+X49+O49+N49+AB49,10)</f>
        <v>8790</v>
      </c>
      <c r="K49" s="57"/>
      <c r="L49" s="156" t="s">
        <v>384</v>
      </c>
      <c r="M49" s="52" t="s">
        <v>293</v>
      </c>
      <c r="N49" s="40">
        <v>0</v>
      </c>
      <c r="O49" s="53">
        <f>VLOOKUP(B49,DRAYAGE!$A$1:$C$107,3,FALSE)</f>
        <v>2995</v>
      </c>
      <c r="P49" s="40" t="s">
        <v>302</v>
      </c>
      <c r="R49" s="101">
        <v>19800</v>
      </c>
      <c r="S49" s="101">
        <f>0.9*T49</f>
        <v>4117.5</v>
      </c>
      <c r="T49" s="54">
        <f>T46</f>
        <v>4575</v>
      </c>
      <c r="U49" s="103">
        <f>T49</f>
        <v>4575</v>
      </c>
      <c r="V49" s="104">
        <f>U49*1.266</f>
        <v>5791.95</v>
      </c>
      <c r="W49" s="40">
        <v>0</v>
      </c>
    </row>
    <row r="50" spans="1:29" s="40" customFormat="1" ht="14.45" customHeight="1" x14ac:dyDescent="0.25">
      <c r="A50" s="134" t="s">
        <v>336</v>
      </c>
      <c r="B50" s="88"/>
      <c r="C50" s="88"/>
      <c r="D50" s="88"/>
      <c r="E50" s="210"/>
      <c r="F50" s="211"/>
      <c r="G50" s="88"/>
      <c r="H50" s="88"/>
      <c r="I50" s="88"/>
      <c r="J50" s="88"/>
      <c r="K50" s="57"/>
      <c r="L50" s="89" t="s">
        <v>48</v>
      </c>
      <c r="M50" s="89" t="s">
        <v>261</v>
      </c>
      <c r="N50" s="90" t="s">
        <v>51</v>
      </c>
      <c r="O50" s="91" t="s">
        <v>50</v>
      </c>
      <c r="P50" s="91" t="s">
        <v>262</v>
      </c>
      <c r="Q50" s="91" t="s">
        <v>263</v>
      </c>
      <c r="R50" s="92" t="s">
        <v>52</v>
      </c>
      <c r="S50" s="92" t="s">
        <v>52</v>
      </c>
      <c r="T50" s="92" t="s">
        <v>53</v>
      </c>
      <c r="U50" s="92" t="s">
        <v>265</v>
      </c>
      <c r="V50" s="92" t="s">
        <v>266</v>
      </c>
      <c r="W50" s="92" t="s">
        <v>267</v>
      </c>
      <c r="X50" s="92" t="s">
        <v>268</v>
      </c>
      <c r="Y50" s="92" t="s">
        <v>52</v>
      </c>
      <c r="Z50" s="92" t="s">
        <v>53</v>
      </c>
      <c r="AA50" s="92" t="s">
        <v>265</v>
      </c>
      <c r="AB50" s="92" t="s">
        <v>266</v>
      </c>
      <c r="AC50" s="93" t="s">
        <v>269</v>
      </c>
    </row>
    <row r="51" spans="1:29" s="40" customFormat="1" ht="14.45" customHeight="1" x14ac:dyDescent="0.25">
      <c r="A51" s="133" t="s">
        <v>326</v>
      </c>
      <c r="B51" s="51" t="s">
        <v>343</v>
      </c>
      <c r="C51" s="94" t="s">
        <v>54</v>
      </c>
      <c r="D51" s="95" t="s">
        <v>383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56" t="s">
        <v>384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R51" s="101">
        <v>18000</v>
      </c>
      <c r="S51" s="101">
        <f>0.9*T51</f>
        <v>4815</v>
      </c>
      <c r="T51" s="54">
        <f>5200+150</f>
        <v>5350</v>
      </c>
      <c r="U51" s="103">
        <f>T51</f>
        <v>5350</v>
      </c>
      <c r="V51" s="104">
        <f>U51*1.266</f>
        <v>6773.1</v>
      </c>
      <c r="W51" s="40">
        <v>0</v>
      </c>
    </row>
    <row r="52" spans="1:29" s="40" customFormat="1" ht="14.45" customHeight="1" x14ac:dyDescent="0.25">
      <c r="A52" s="133" t="s">
        <v>327</v>
      </c>
      <c r="B52" s="51" t="s">
        <v>343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v>18510</v>
      </c>
      <c r="H52" s="99">
        <v>20510</v>
      </c>
      <c r="I52" s="99">
        <v>20510</v>
      </c>
      <c r="J52" s="99">
        <v>25830</v>
      </c>
      <c r="K52" s="57"/>
      <c r="L52" s="156" t="s">
        <v>384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R52" s="101">
        <v>18000</v>
      </c>
      <c r="S52" s="101">
        <f>0.9*T52</f>
        <v>4815</v>
      </c>
      <c r="T52" s="54">
        <f>T51</f>
        <v>5350</v>
      </c>
      <c r="U52" s="103">
        <f>T52</f>
        <v>5350</v>
      </c>
      <c r="V52" s="104">
        <f>U52*1.266</f>
        <v>6773.1</v>
      </c>
      <c r="W52" s="40">
        <v>0</v>
      </c>
    </row>
    <row r="53" spans="1:29" s="40" customFormat="1" ht="14.45" customHeight="1" x14ac:dyDescent="0.25">
      <c r="A53" s="133" t="s">
        <v>328</v>
      </c>
      <c r="B53" s="51" t="s">
        <v>343</v>
      </c>
      <c r="C53" s="94" t="s">
        <v>54</v>
      </c>
      <c r="D53" s="95" t="s">
        <v>383</v>
      </c>
      <c r="E53" s="96" t="s">
        <v>114</v>
      </c>
      <c r="F53" s="97" t="s">
        <v>270</v>
      </c>
      <c r="G53" s="98">
        <v>18510</v>
      </c>
      <c r="H53" s="99">
        <v>20510</v>
      </c>
      <c r="I53" s="99">
        <v>20510</v>
      </c>
      <c r="J53" s="99">
        <v>25830</v>
      </c>
      <c r="K53" s="57"/>
      <c r="L53" s="156" t="s">
        <v>384</v>
      </c>
      <c r="M53" s="52" t="s">
        <v>295</v>
      </c>
      <c r="N53" s="40">
        <v>0</v>
      </c>
      <c r="O53" s="53">
        <f>VLOOKUP(B53,DRAYAGE!$A$1:$C$107,3,FALSE)</f>
        <v>1185</v>
      </c>
      <c r="P53" s="40" t="s">
        <v>361</v>
      </c>
      <c r="R53" s="101">
        <v>18000</v>
      </c>
      <c r="S53" s="101">
        <f>0.9*T53</f>
        <v>4815</v>
      </c>
      <c r="T53" s="54">
        <f>T52</f>
        <v>5350</v>
      </c>
      <c r="U53" s="103">
        <f>T53</f>
        <v>5350</v>
      </c>
      <c r="V53" s="104">
        <f>U53*1.266</f>
        <v>6773.1</v>
      </c>
      <c r="W53" s="40">
        <v>0</v>
      </c>
    </row>
    <row r="54" spans="1:29" s="40" customFormat="1" ht="14.45" customHeight="1" x14ac:dyDescent="0.25">
      <c r="A54" s="134" t="s">
        <v>337</v>
      </c>
      <c r="B54" s="88"/>
      <c r="C54" s="88"/>
      <c r="D54" s="88"/>
      <c r="E54" s="210"/>
      <c r="F54" s="211"/>
      <c r="G54" s="88"/>
      <c r="H54" s="88"/>
      <c r="I54" s="88"/>
      <c r="J54" s="88"/>
      <c r="K54" s="57"/>
      <c r="L54" s="89" t="s">
        <v>48</v>
      </c>
      <c r="M54" s="89" t="s">
        <v>261</v>
      </c>
      <c r="N54" s="90" t="s">
        <v>51</v>
      </c>
      <c r="O54" s="91" t="s">
        <v>50</v>
      </c>
      <c r="P54" s="91" t="s">
        <v>262</v>
      </c>
      <c r="Q54" s="91" t="s">
        <v>263</v>
      </c>
      <c r="R54" s="91" t="s">
        <v>264</v>
      </c>
      <c r="S54" s="92" t="s">
        <v>52</v>
      </c>
      <c r="T54" s="92" t="s">
        <v>53</v>
      </c>
      <c r="U54" s="92" t="s">
        <v>265</v>
      </c>
      <c r="V54" s="92" t="s">
        <v>266</v>
      </c>
      <c r="W54" s="92" t="s">
        <v>267</v>
      </c>
      <c r="X54" s="92" t="s">
        <v>268</v>
      </c>
      <c r="Y54" s="92" t="s">
        <v>52</v>
      </c>
      <c r="Z54" s="92" t="s">
        <v>53</v>
      </c>
      <c r="AA54" s="92" t="s">
        <v>265</v>
      </c>
      <c r="AB54" s="92" t="s">
        <v>266</v>
      </c>
      <c r="AC54" s="93" t="s">
        <v>269</v>
      </c>
    </row>
    <row r="55" spans="1:29" s="40" customFormat="1" ht="18.75" x14ac:dyDescent="0.25">
      <c r="A55" s="133" t="s">
        <v>81</v>
      </c>
      <c r="B55" s="51" t="s">
        <v>344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 t="shared" ref="G55:G60" si="15">CEILING(S55+W55+X55+O55+N55+Y55,10)</f>
        <v>5670</v>
      </c>
      <c r="H55" s="99">
        <f t="shared" ref="H55:H60" si="16">CEILING(T55+W55+X55+O55+N55+Z55,10)</f>
        <v>6150</v>
      </c>
      <c r="I55" s="99">
        <f t="shared" ref="I55:I60" si="17">CEILING(U55+W55+X55+O55+N55+AA55,10)</f>
        <v>6150</v>
      </c>
      <c r="J55" s="99">
        <f t="shared" ref="J55:J60" si="18">CEILING(V55+W55+X55+O55+N55+AB55,10)</f>
        <v>7430</v>
      </c>
      <c r="K55" s="57"/>
      <c r="L55" s="156" t="s">
        <v>384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S55" s="101">
        <f t="shared" ref="S55:S69" si="19">0.9*T55</f>
        <v>4320</v>
      </c>
      <c r="T55" s="54">
        <f t="shared" ref="T55:T60" si="20">T38</f>
        <v>4800</v>
      </c>
      <c r="U55" s="103">
        <f t="shared" si="6"/>
        <v>4800</v>
      </c>
      <c r="V55" s="104">
        <f t="shared" ref="V55:V60" si="21">U55*1.266</f>
        <v>6076.8</v>
      </c>
      <c r="X55" s="40">
        <v>0</v>
      </c>
    </row>
    <row r="56" spans="1:29" s="40" customFormat="1" ht="14.45" customHeight="1" x14ac:dyDescent="0.25">
      <c r="A56" s="133" t="s">
        <v>55</v>
      </c>
      <c r="B56" s="51" t="s">
        <v>344</v>
      </c>
      <c r="C56" s="94" t="s">
        <v>54</v>
      </c>
      <c r="D56" s="95" t="s">
        <v>383</v>
      </c>
      <c r="E56" s="96" t="s">
        <v>114</v>
      </c>
      <c r="F56" s="97" t="s">
        <v>270</v>
      </c>
      <c r="G56" s="98">
        <f t="shared" si="15"/>
        <v>5670</v>
      </c>
      <c r="H56" s="99">
        <f t="shared" si="16"/>
        <v>6150</v>
      </c>
      <c r="I56" s="99">
        <f t="shared" si="17"/>
        <v>6150</v>
      </c>
      <c r="J56" s="99">
        <f t="shared" si="18"/>
        <v>7430</v>
      </c>
      <c r="K56" s="57"/>
      <c r="L56" s="156" t="s">
        <v>384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S56" s="101">
        <f t="shared" si="19"/>
        <v>4320</v>
      </c>
      <c r="T56" s="54">
        <f t="shared" si="20"/>
        <v>4800</v>
      </c>
      <c r="U56" s="103">
        <f t="shared" si="6"/>
        <v>4800</v>
      </c>
      <c r="V56" s="104">
        <f t="shared" si="21"/>
        <v>6076.8</v>
      </c>
      <c r="X56" s="40">
        <v>0</v>
      </c>
    </row>
    <row r="57" spans="1:29" s="40" customFormat="1" ht="14.45" customHeight="1" x14ac:dyDescent="0.25">
      <c r="A57" s="133" t="s">
        <v>59</v>
      </c>
      <c r="B57" s="51" t="s">
        <v>344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f t="shared" si="15"/>
        <v>5670</v>
      </c>
      <c r="H57" s="99">
        <f t="shared" si="16"/>
        <v>6150</v>
      </c>
      <c r="I57" s="99">
        <f t="shared" si="17"/>
        <v>6150</v>
      </c>
      <c r="J57" s="99">
        <f t="shared" si="18"/>
        <v>7430</v>
      </c>
      <c r="K57" s="57"/>
      <c r="L57" s="156" t="s">
        <v>384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S57" s="101">
        <f t="shared" si="19"/>
        <v>4320</v>
      </c>
      <c r="T57" s="54">
        <f t="shared" si="20"/>
        <v>4800</v>
      </c>
      <c r="U57" s="103">
        <f t="shared" si="6"/>
        <v>4800</v>
      </c>
      <c r="V57" s="104">
        <f t="shared" si="21"/>
        <v>6076.8</v>
      </c>
      <c r="X57" s="40">
        <v>0</v>
      </c>
    </row>
    <row r="58" spans="1:29" s="40" customFormat="1" ht="18.75" x14ac:dyDescent="0.25">
      <c r="A58" s="133" t="s">
        <v>60</v>
      </c>
      <c r="B58" s="51" t="s">
        <v>344</v>
      </c>
      <c r="C58" s="94" t="s">
        <v>54</v>
      </c>
      <c r="D58" s="95" t="s">
        <v>383</v>
      </c>
      <c r="E58" s="96" t="s">
        <v>114</v>
      </c>
      <c r="F58" s="97" t="s">
        <v>270</v>
      </c>
      <c r="G58" s="98">
        <f t="shared" si="15"/>
        <v>5670</v>
      </c>
      <c r="H58" s="99">
        <f t="shared" si="16"/>
        <v>6150</v>
      </c>
      <c r="I58" s="99">
        <f t="shared" si="17"/>
        <v>6150</v>
      </c>
      <c r="J58" s="99">
        <f t="shared" si="18"/>
        <v>7430</v>
      </c>
      <c r="K58" s="57"/>
      <c r="L58" s="156" t="s">
        <v>384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S58" s="101">
        <f t="shared" si="19"/>
        <v>4320</v>
      </c>
      <c r="T58" s="54">
        <f t="shared" si="20"/>
        <v>4800</v>
      </c>
      <c r="U58" s="103">
        <f t="shared" si="6"/>
        <v>4800</v>
      </c>
      <c r="V58" s="104">
        <f t="shared" si="21"/>
        <v>6076.8</v>
      </c>
      <c r="X58" s="40">
        <v>0</v>
      </c>
    </row>
    <row r="59" spans="1:29" s="40" customFormat="1" ht="14.45" customHeight="1" x14ac:dyDescent="0.25">
      <c r="A59" s="133" t="s">
        <v>61</v>
      </c>
      <c r="B59" s="51" t="s">
        <v>344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f t="shared" si="15"/>
        <v>5670</v>
      </c>
      <c r="H59" s="99">
        <f t="shared" si="16"/>
        <v>6150</v>
      </c>
      <c r="I59" s="99">
        <f t="shared" si="17"/>
        <v>6150</v>
      </c>
      <c r="J59" s="99">
        <f t="shared" si="18"/>
        <v>7430</v>
      </c>
      <c r="K59" s="57"/>
      <c r="L59" s="156" t="s">
        <v>384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S59" s="101">
        <f t="shared" si="19"/>
        <v>4320</v>
      </c>
      <c r="T59" s="54">
        <f t="shared" si="20"/>
        <v>4800</v>
      </c>
      <c r="U59" s="103">
        <f t="shared" si="6"/>
        <v>4800</v>
      </c>
      <c r="V59" s="104">
        <f t="shared" si="21"/>
        <v>6076.8</v>
      </c>
      <c r="X59" s="40">
        <v>0</v>
      </c>
    </row>
    <row r="60" spans="1:29" s="40" customFormat="1" ht="18.75" x14ac:dyDescent="0.25">
      <c r="A60" s="133" t="s">
        <v>273</v>
      </c>
      <c r="B60" s="51" t="s">
        <v>344</v>
      </c>
      <c r="C60" s="94" t="s">
        <v>54</v>
      </c>
      <c r="D60" s="95" t="s">
        <v>383</v>
      </c>
      <c r="E60" s="96" t="s">
        <v>114</v>
      </c>
      <c r="F60" s="97" t="s">
        <v>270</v>
      </c>
      <c r="G60" s="98">
        <f t="shared" si="15"/>
        <v>5800</v>
      </c>
      <c r="H60" s="99">
        <f t="shared" si="16"/>
        <v>6300</v>
      </c>
      <c r="I60" s="99">
        <f t="shared" si="17"/>
        <v>6300</v>
      </c>
      <c r="J60" s="99">
        <f t="shared" si="18"/>
        <v>7620</v>
      </c>
      <c r="K60" s="57"/>
      <c r="L60" s="156" t="s">
        <v>384</v>
      </c>
      <c r="M60" s="52" t="s">
        <v>294</v>
      </c>
      <c r="N60" s="40">
        <v>0</v>
      </c>
      <c r="O60" s="53">
        <f>VLOOKUP(B60,DRAYAGE!$A$1:$C$107,3,FALSE)</f>
        <v>1345</v>
      </c>
      <c r="P60" s="40" t="s">
        <v>301</v>
      </c>
      <c r="S60" s="101">
        <f t="shared" si="19"/>
        <v>4455</v>
      </c>
      <c r="T60" s="54">
        <f t="shared" si="20"/>
        <v>4950</v>
      </c>
      <c r="U60" s="103">
        <f t="shared" si="6"/>
        <v>4950</v>
      </c>
      <c r="V60" s="104">
        <f t="shared" si="21"/>
        <v>6266.7</v>
      </c>
      <c r="X60" s="40">
        <v>0</v>
      </c>
    </row>
    <row r="61" spans="1:29" s="40" customFormat="1" ht="15.75" x14ac:dyDescent="0.25">
      <c r="A61" s="134" t="s">
        <v>389</v>
      </c>
      <c r="B61" s="88"/>
      <c r="C61" s="88"/>
      <c r="D61" s="88"/>
      <c r="E61" s="210"/>
      <c r="F61" s="211"/>
      <c r="G61" s="88"/>
      <c r="H61" s="88"/>
      <c r="I61" s="88"/>
      <c r="J61" s="88"/>
      <c r="K61" s="57"/>
      <c r="L61" s="89" t="s">
        <v>48</v>
      </c>
      <c r="M61" s="89" t="s">
        <v>261</v>
      </c>
      <c r="N61" s="90" t="s">
        <v>51</v>
      </c>
      <c r="O61" s="91" t="s">
        <v>50</v>
      </c>
      <c r="P61" s="91" t="s">
        <v>262</v>
      </c>
      <c r="Q61" s="91" t="s">
        <v>263</v>
      </c>
      <c r="R61" s="92" t="s">
        <v>52</v>
      </c>
      <c r="S61" s="92" t="s">
        <v>52</v>
      </c>
      <c r="T61" s="92" t="s">
        <v>53</v>
      </c>
      <c r="U61" s="92" t="s">
        <v>265</v>
      </c>
      <c r="V61" s="92" t="s">
        <v>266</v>
      </c>
      <c r="W61" s="92" t="s">
        <v>267</v>
      </c>
      <c r="X61" s="92" t="s">
        <v>268</v>
      </c>
      <c r="Y61" s="92" t="s">
        <v>52</v>
      </c>
      <c r="Z61" s="92" t="s">
        <v>53</v>
      </c>
      <c r="AA61" s="92" t="s">
        <v>265</v>
      </c>
      <c r="AB61" s="92" t="s">
        <v>266</v>
      </c>
      <c r="AC61" s="93" t="s">
        <v>269</v>
      </c>
    </row>
    <row r="62" spans="1:29" s="40" customFormat="1" ht="18.75" x14ac:dyDescent="0.25">
      <c r="A62" s="133" t="s">
        <v>55</v>
      </c>
      <c r="B62" s="51" t="s">
        <v>390</v>
      </c>
      <c r="C62" s="94" t="s">
        <v>54</v>
      </c>
      <c r="D62" s="95" t="s">
        <v>383</v>
      </c>
      <c r="E62" s="96" t="s">
        <v>114</v>
      </c>
      <c r="F62" s="97" t="s">
        <v>270</v>
      </c>
      <c r="G62" s="98">
        <f t="shared" ref="G62:G69" si="22">CEILING(S62+W62+X62+O62+N62+Y62,10)</f>
        <v>6760</v>
      </c>
      <c r="H62" s="99">
        <f t="shared" ref="H62:H69" si="23">CEILING(T62+W62+X62+O62+N62+Z62,10)</f>
        <v>7290</v>
      </c>
      <c r="I62" s="99">
        <f t="shared" ref="I62:I69" si="24">CEILING(U62+W62+X62+O62+N62+AA62,10)</f>
        <v>7290</v>
      </c>
      <c r="J62" s="99">
        <f t="shared" ref="J62:J69" si="25">CEILING(V62+W62+X62+O62+N62+AB62,10)</f>
        <v>8720</v>
      </c>
      <c r="K62" s="57"/>
      <c r="L62" s="156" t="s">
        <v>384</v>
      </c>
      <c r="M62" s="52" t="s">
        <v>397</v>
      </c>
      <c r="N62" s="40">
        <v>0</v>
      </c>
      <c r="O62" s="53">
        <f>VLOOKUP(B62,DRAYAGE!$A$1:$C$107,3,FALSE)</f>
        <v>1915</v>
      </c>
      <c r="P62" s="40" t="str">
        <f>VLOOKUP($B62,DRAYAGE!$A$1:$Q$23,14,FALSE)</f>
        <v>PCF, chassis split, drop fee</v>
      </c>
      <c r="R62" s="54">
        <v>11000</v>
      </c>
      <c r="S62" s="101">
        <f t="shared" si="19"/>
        <v>4837.5</v>
      </c>
      <c r="T62" s="54">
        <f>5200+175</f>
        <v>5375</v>
      </c>
      <c r="U62" s="103">
        <f t="shared" ref="U62:U69" si="26">T62</f>
        <v>5375</v>
      </c>
      <c r="V62" s="104">
        <f t="shared" ref="V62:V69" si="27">U62*1.266</f>
        <v>6804.75</v>
      </c>
    </row>
    <row r="63" spans="1:29" s="40" customFormat="1" ht="18.75" x14ac:dyDescent="0.25">
      <c r="A63" s="133" t="s">
        <v>55</v>
      </c>
      <c r="B63" s="51" t="s">
        <v>391</v>
      </c>
      <c r="C63" s="94" t="s">
        <v>54</v>
      </c>
      <c r="D63" s="95" t="s">
        <v>383</v>
      </c>
      <c r="E63" s="96" t="s">
        <v>114</v>
      </c>
      <c r="F63" s="97" t="s">
        <v>270</v>
      </c>
      <c r="G63" s="98">
        <f t="shared" si="22"/>
        <v>11730</v>
      </c>
      <c r="H63" s="99">
        <f t="shared" si="23"/>
        <v>12300</v>
      </c>
      <c r="I63" s="99">
        <f t="shared" si="24"/>
        <v>12300</v>
      </c>
      <c r="J63" s="99">
        <f t="shared" si="25"/>
        <v>13810</v>
      </c>
      <c r="K63" s="57"/>
      <c r="L63" s="156" t="s">
        <v>384</v>
      </c>
      <c r="M63" s="52" t="s">
        <v>398</v>
      </c>
      <c r="N63" s="40">
        <v>0</v>
      </c>
      <c r="O63" s="53">
        <f>VLOOKUP(B63,DRAYAGE!$A$1:$C$107,3,FALSE)</f>
        <v>6620</v>
      </c>
      <c r="P63" s="40" t="str">
        <f>VLOOKUP($B63,DRAYAGE!$A$1:$Q$23,14,FALSE)</f>
        <v>Rail fee, toll, drop</v>
      </c>
      <c r="R63" s="54">
        <v>11000</v>
      </c>
      <c r="S63" s="101">
        <f t="shared" si="19"/>
        <v>5107.5</v>
      </c>
      <c r="T63" s="54">
        <f>5500+175</f>
        <v>5675</v>
      </c>
      <c r="U63" s="103">
        <f t="shared" si="26"/>
        <v>5675</v>
      </c>
      <c r="V63" s="104">
        <f t="shared" si="27"/>
        <v>7184.55</v>
      </c>
    </row>
    <row r="64" spans="1:29" s="40" customFormat="1" ht="18.75" x14ac:dyDescent="0.25">
      <c r="A64" s="133" t="s">
        <v>55</v>
      </c>
      <c r="B64" s="51" t="s">
        <v>396</v>
      </c>
      <c r="C64" s="94" t="s">
        <v>54</v>
      </c>
      <c r="D64" s="95" t="s">
        <v>383</v>
      </c>
      <c r="E64" s="96" t="s">
        <v>114</v>
      </c>
      <c r="F64" s="97" t="s">
        <v>270</v>
      </c>
      <c r="G64" s="98">
        <f t="shared" si="22"/>
        <v>8430</v>
      </c>
      <c r="H64" s="99">
        <f t="shared" si="23"/>
        <v>9000</v>
      </c>
      <c r="I64" s="99">
        <f t="shared" si="24"/>
        <v>9000</v>
      </c>
      <c r="J64" s="99">
        <f t="shared" si="25"/>
        <v>10510</v>
      </c>
      <c r="K64" s="57"/>
      <c r="L64" s="156" t="s">
        <v>384</v>
      </c>
      <c r="M64" s="52" t="s">
        <v>399</v>
      </c>
      <c r="N64" s="40">
        <v>0</v>
      </c>
      <c r="O64" s="53">
        <f>VLOOKUP(B64,DRAYAGE!$A$1:$C$107,3,FALSE)</f>
        <v>3320</v>
      </c>
      <c r="P64" s="40" t="str">
        <f>VLOOKUP($B64,DRAYAGE!$A$1:$Q$23,14,FALSE)</f>
        <v>Rail fee, drop fee, toll fee</v>
      </c>
      <c r="R64" s="103">
        <v>11000</v>
      </c>
      <c r="S64" s="101">
        <f t="shared" si="19"/>
        <v>5107.5</v>
      </c>
      <c r="T64" s="54">
        <f>5500+175</f>
        <v>5675</v>
      </c>
      <c r="U64" s="103">
        <f t="shared" si="26"/>
        <v>5675</v>
      </c>
      <c r="V64" s="104">
        <f t="shared" si="27"/>
        <v>7184.55</v>
      </c>
    </row>
    <row r="65" spans="1:29" s="40" customFormat="1" ht="18.75" x14ac:dyDescent="0.25">
      <c r="A65" s="133" t="s">
        <v>55</v>
      </c>
      <c r="B65" s="51" t="s">
        <v>392</v>
      </c>
      <c r="C65" s="94" t="s">
        <v>54</v>
      </c>
      <c r="D65" s="95" t="s">
        <v>383</v>
      </c>
      <c r="E65" s="96" t="s">
        <v>114</v>
      </c>
      <c r="F65" s="97" t="s">
        <v>270</v>
      </c>
      <c r="G65" s="98">
        <f t="shared" si="22"/>
        <v>9270</v>
      </c>
      <c r="H65" s="99">
        <f t="shared" si="23"/>
        <v>9830</v>
      </c>
      <c r="I65" s="99">
        <f t="shared" si="24"/>
        <v>9830</v>
      </c>
      <c r="J65" s="99">
        <f t="shared" si="25"/>
        <v>11340</v>
      </c>
      <c r="K65" s="57"/>
      <c r="L65" s="156" t="s">
        <v>384</v>
      </c>
      <c r="M65" s="52" t="s">
        <v>398</v>
      </c>
      <c r="N65" s="40">
        <v>0</v>
      </c>
      <c r="O65" s="53">
        <f>VLOOKUP(B65,DRAYAGE!$A$1:$C$107,3,FALSE)</f>
        <v>4155</v>
      </c>
      <c r="P65" s="40" t="str">
        <f>VLOOKUP($B65,DRAYAGE!$A$1:$Q$23,14,FALSE)</f>
        <v>Rail fee, chassis split, drop, toll</v>
      </c>
      <c r="R65" s="103">
        <v>11000</v>
      </c>
      <c r="S65" s="101">
        <f t="shared" si="19"/>
        <v>5107.5</v>
      </c>
      <c r="T65" s="54">
        <f>T63</f>
        <v>5675</v>
      </c>
      <c r="U65" s="103">
        <f t="shared" si="26"/>
        <v>5675</v>
      </c>
      <c r="V65" s="104">
        <f t="shared" si="27"/>
        <v>7184.55</v>
      </c>
    </row>
    <row r="66" spans="1:29" s="40" customFormat="1" ht="18.75" x14ac:dyDescent="0.25">
      <c r="A66" s="133" t="s">
        <v>55</v>
      </c>
      <c r="B66" s="51" t="s">
        <v>395</v>
      </c>
      <c r="C66" s="94" t="s">
        <v>54</v>
      </c>
      <c r="D66" s="95" t="s">
        <v>383</v>
      </c>
      <c r="E66" s="96" t="s">
        <v>114</v>
      </c>
      <c r="F66" s="97" t="s">
        <v>270</v>
      </c>
      <c r="G66" s="98">
        <f t="shared" si="22"/>
        <v>7390</v>
      </c>
      <c r="H66" s="99">
        <f t="shared" si="23"/>
        <v>7960</v>
      </c>
      <c r="I66" s="99">
        <f t="shared" si="24"/>
        <v>7960</v>
      </c>
      <c r="J66" s="99">
        <f t="shared" si="25"/>
        <v>9470</v>
      </c>
      <c r="K66" s="57"/>
      <c r="L66" s="156" t="s">
        <v>384</v>
      </c>
      <c r="M66" s="52" t="s">
        <v>400</v>
      </c>
      <c r="N66" s="40">
        <v>0</v>
      </c>
      <c r="O66" s="53">
        <f>VLOOKUP(B66,DRAYAGE!$A$1:$C$107,3,FALSE)</f>
        <v>2280</v>
      </c>
      <c r="P66" s="40" t="str">
        <f>VLOOKUP($B66,DRAYAGE!$A$1:$Q$23,14,FALSE)</f>
        <v>Rail fee, chassis split, drop</v>
      </c>
      <c r="R66" s="54">
        <v>11000</v>
      </c>
      <c r="S66" s="101">
        <f t="shared" si="19"/>
        <v>5107.5</v>
      </c>
      <c r="T66" s="54">
        <f>5500+175</f>
        <v>5675</v>
      </c>
      <c r="U66" s="103">
        <f t="shared" si="26"/>
        <v>5675</v>
      </c>
      <c r="V66" s="104">
        <f t="shared" si="27"/>
        <v>7184.55</v>
      </c>
    </row>
    <row r="67" spans="1:29" s="40" customFormat="1" ht="18.75" x14ac:dyDescent="0.25">
      <c r="A67" s="133" t="s">
        <v>55</v>
      </c>
      <c r="B67" s="51" t="s">
        <v>393</v>
      </c>
      <c r="C67" s="94" t="s">
        <v>54</v>
      </c>
      <c r="D67" s="95" t="s">
        <v>383</v>
      </c>
      <c r="E67" s="96" t="s">
        <v>114</v>
      </c>
      <c r="F67" s="97" t="s">
        <v>270</v>
      </c>
      <c r="G67" s="98">
        <f t="shared" si="22"/>
        <v>7920</v>
      </c>
      <c r="H67" s="99">
        <f t="shared" si="23"/>
        <v>8480</v>
      </c>
      <c r="I67" s="99">
        <f t="shared" si="24"/>
        <v>8480</v>
      </c>
      <c r="J67" s="99">
        <f t="shared" si="25"/>
        <v>9990</v>
      </c>
      <c r="K67" s="57"/>
      <c r="L67" s="156" t="s">
        <v>384</v>
      </c>
      <c r="M67" s="52" t="s">
        <v>398</v>
      </c>
      <c r="N67" s="40">
        <v>0</v>
      </c>
      <c r="O67" s="53">
        <f>VLOOKUP(B67,DRAYAGE!$A$1:$C$107,3,FALSE)</f>
        <v>2805</v>
      </c>
      <c r="P67" s="40" t="str">
        <f>VLOOKUP($B67,DRAYAGE!$A$1:$Q$23,14,FALSE)</f>
        <v>Rail fee, chassis split, drop, toll</v>
      </c>
      <c r="R67" s="54">
        <v>11000</v>
      </c>
      <c r="S67" s="101">
        <f t="shared" si="19"/>
        <v>5107.5</v>
      </c>
      <c r="T67" s="54">
        <f>T63</f>
        <v>5675</v>
      </c>
      <c r="U67" s="103">
        <f t="shared" si="26"/>
        <v>5675</v>
      </c>
      <c r="V67" s="104">
        <f t="shared" si="27"/>
        <v>7184.55</v>
      </c>
    </row>
    <row r="68" spans="1:29" s="40" customFormat="1" ht="18.75" x14ac:dyDescent="0.25">
      <c r="A68" s="133" t="s">
        <v>55</v>
      </c>
      <c r="B68" s="51" t="s">
        <v>394</v>
      </c>
      <c r="C68" s="94" t="s">
        <v>54</v>
      </c>
      <c r="D68" s="95" t="s">
        <v>383</v>
      </c>
      <c r="E68" s="96" t="s">
        <v>114</v>
      </c>
      <c r="F68" s="97" t="s">
        <v>270</v>
      </c>
      <c r="G68" s="98">
        <f t="shared" si="22"/>
        <v>6630</v>
      </c>
      <c r="H68" s="99">
        <f t="shared" si="23"/>
        <v>7160</v>
      </c>
      <c r="I68" s="99">
        <f t="shared" si="24"/>
        <v>7160</v>
      </c>
      <c r="J68" s="99">
        <f t="shared" si="25"/>
        <v>8590</v>
      </c>
      <c r="K68" s="57"/>
      <c r="L68" s="156" t="s">
        <v>384</v>
      </c>
      <c r="M68" s="52" t="s">
        <v>401</v>
      </c>
      <c r="N68" s="40">
        <v>0</v>
      </c>
      <c r="O68" s="53">
        <f>VLOOKUP(B68,DRAYAGE!$A$1:$C$107,3,FALSE)</f>
        <v>1785</v>
      </c>
      <c r="P68" s="40" t="str">
        <f>VLOOKUP($B68,DRAYAGE!$A$1:$Q$23,14,FALSE)</f>
        <v>chassis split, drop</v>
      </c>
      <c r="R68" s="101">
        <v>9900</v>
      </c>
      <c r="S68" s="101">
        <f t="shared" si="19"/>
        <v>4837.5</v>
      </c>
      <c r="T68" s="54">
        <f>5200+175</f>
        <v>5375</v>
      </c>
      <c r="U68" s="103">
        <f t="shared" si="26"/>
        <v>5375</v>
      </c>
      <c r="V68" s="104">
        <f t="shared" si="27"/>
        <v>6804.75</v>
      </c>
    </row>
    <row r="69" spans="1:29" s="45" customFormat="1" ht="18.75" x14ac:dyDescent="0.25">
      <c r="A69" s="133" t="s">
        <v>55</v>
      </c>
      <c r="B69" s="51" t="s">
        <v>419</v>
      </c>
      <c r="C69" s="106" t="s">
        <v>54</v>
      </c>
      <c r="D69" s="171" t="s">
        <v>383</v>
      </c>
      <c r="E69" s="107" t="s">
        <v>114</v>
      </c>
      <c r="F69" s="108" t="s">
        <v>270</v>
      </c>
      <c r="G69" s="109">
        <f t="shared" si="22"/>
        <v>3400</v>
      </c>
      <c r="H69" s="110">
        <f t="shared" si="23"/>
        <v>3560</v>
      </c>
      <c r="I69" s="110">
        <f t="shared" si="24"/>
        <v>3560</v>
      </c>
      <c r="J69" s="110">
        <f t="shared" si="25"/>
        <v>3970</v>
      </c>
      <c r="K69" s="111"/>
      <c r="L69" s="172" t="s">
        <v>384</v>
      </c>
      <c r="M69" s="52" t="s">
        <v>292</v>
      </c>
      <c r="N69" s="45">
        <v>0</v>
      </c>
      <c r="O69" s="53">
        <f>1485+165+35+70+250</f>
        <v>2005</v>
      </c>
      <c r="P69" s="45" t="s">
        <v>420</v>
      </c>
      <c r="R69" s="101"/>
      <c r="S69" s="113">
        <f t="shared" si="19"/>
        <v>1395</v>
      </c>
      <c r="T69" s="54">
        <f>1450+100</f>
        <v>1550</v>
      </c>
      <c r="U69" s="173">
        <f t="shared" si="26"/>
        <v>1550</v>
      </c>
      <c r="V69" s="114">
        <f t="shared" si="27"/>
        <v>1962.3</v>
      </c>
    </row>
    <row r="70" spans="1:29" s="40" customFormat="1" ht="15.75" x14ac:dyDescent="0.25">
      <c r="A70" s="134" t="s">
        <v>436</v>
      </c>
      <c r="B70" s="88"/>
      <c r="C70" s="88"/>
      <c r="D70" s="88"/>
      <c r="E70" s="210"/>
      <c r="F70" s="211"/>
      <c r="G70" s="88"/>
      <c r="H70" s="88"/>
      <c r="I70" s="88"/>
      <c r="J70" s="88"/>
      <c r="K70" s="57"/>
      <c r="L70" s="89" t="s">
        <v>48</v>
      </c>
      <c r="M70" s="89" t="s">
        <v>261</v>
      </c>
      <c r="N70" s="90" t="s">
        <v>51</v>
      </c>
      <c r="O70" s="91" t="s">
        <v>50</v>
      </c>
      <c r="P70" s="91" t="s">
        <v>262</v>
      </c>
      <c r="Q70" s="91" t="s">
        <v>263</v>
      </c>
      <c r="R70" s="92" t="s">
        <v>52</v>
      </c>
      <c r="S70" s="92" t="s">
        <v>52</v>
      </c>
      <c r="T70" s="92" t="s">
        <v>53</v>
      </c>
      <c r="U70" s="92" t="s">
        <v>265</v>
      </c>
      <c r="V70" s="92" t="s">
        <v>266</v>
      </c>
      <c r="W70" s="92" t="s">
        <v>267</v>
      </c>
      <c r="X70" s="92" t="s">
        <v>268</v>
      </c>
      <c r="Y70" s="92" t="s">
        <v>52</v>
      </c>
      <c r="Z70" s="92" t="s">
        <v>53</v>
      </c>
      <c r="AA70" s="92" t="s">
        <v>265</v>
      </c>
      <c r="AB70" s="92" t="s">
        <v>266</v>
      </c>
      <c r="AC70" s="93" t="s">
        <v>269</v>
      </c>
    </row>
    <row r="71" spans="1:29" s="40" customFormat="1" ht="18.75" x14ac:dyDescent="0.25">
      <c r="A71" s="133" t="s">
        <v>437</v>
      </c>
      <c r="B71" s="51" t="s">
        <v>390</v>
      </c>
      <c r="C71" s="94" t="s">
        <v>54</v>
      </c>
      <c r="D71" s="95" t="s">
        <v>383</v>
      </c>
      <c r="E71" s="96" t="s">
        <v>114</v>
      </c>
      <c r="F71" s="97" t="s">
        <v>270</v>
      </c>
      <c r="G71" s="98">
        <f t="shared" ref="G71:G77" si="28">CEILING(S71+W71+X71+O71+N71+Y71,10)</f>
        <v>6910</v>
      </c>
      <c r="H71" s="99">
        <f t="shared" ref="H71:H77" si="29">CEILING(T71+W71+X71+O71+N71+Z71,10)</f>
        <v>7470</v>
      </c>
      <c r="I71" s="99">
        <f t="shared" ref="I71:I77" si="30">CEILING(U71+W71+X71+O71+N71+AA71,10)</f>
        <v>7470</v>
      </c>
      <c r="J71" s="99">
        <f t="shared" ref="J71:J77" si="31">CEILING(V71+W71+X71+O71+N71+AB71,10)</f>
        <v>8950</v>
      </c>
      <c r="K71" s="57"/>
      <c r="L71" s="156" t="s">
        <v>384</v>
      </c>
      <c r="M71" s="52" t="s">
        <v>397</v>
      </c>
      <c r="N71" s="40">
        <v>0</v>
      </c>
      <c r="O71" s="53">
        <f>VLOOKUP(B71,DRAYAGE!$A$1:$C$107,3,FALSE)</f>
        <v>1915</v>
      </c>
      <c r="P71" s="40" t="s">
        <v>411</v>
      </c>
      <c r="R71" s="101">
        <v>8865</v>
      </c>
      <c r="S71" s="101">
        <f t="shared" ref="S71:S77" si="32">0.9*T71</f>
        <v>4995</v>
      </c>
      <c r="T71" s="54">
        <f>T62+175</f>
        <v>5550</v>
      </c>
      <c r="U71" s="103">
        <f t="shared" ref="U71:U77" si="33">T71</f>
        <v>5550</v>
      </c>
      <c r="V71" s="104">
        <f t="shared" ref="V71:V77" si="34">U71*1.266</f>
        <v>7026.3</v>
      </c>
    </row>
    <row r="72" spans="1:29" s="40" customFormat="1" ht="18.75" x14ac:dyDescent="0.25">
      <c r="A72" s="133" t="s">
        <v>437</v>
      </c>
      <c r="B72" s="51" t="s">
        <v>391</v>
      </c>
      <c r="C72" s="94" t="s">
        <v>54</v>
      </c>
      <c r="D72" s="95" t="s">
        <v>383</v>
      </c>
      <c r="E72" s="96" t="s">
        <v>114</v>
      </c>
      <c r="F72" s="97" t="s">
        <v>270</v>
      </c>
      <c r="G72" s="98">
        <f t="shared" si="28"/>
        <v>11890</v>
      </c>
      <c r="H72" s="99">
        <f t="shared" si="29"/>
        <v>12470</v>
      </c>
      <c r="I72" s="99">
        <f t="shared" si="30"/>
        <v>12470</v>
      </c>
      <c r="J72" s="99">
        <f t="shared" si="31"/>
        <v>14030</v>
      </c>
      <c r="K72" s="57"/>
      <c r="L72" s="156" t="s">
        <v>384</v>
      </c>
      <c r="M72" s="52" t="s">
        <v>398</v>
      </c>
      <c r="N72" s="40">
        <v>0</v>
      </c>
      <c r="O72" s="53">
        <f>VLOOKUP(B72,DRAYAGE!$A$1:$C$107,3,FALSE)</f>
        <v>6620</v>
      </c>
      <c r="P72" s="40" t="s">
        <v>413</v>
      </c>
      <c r="R72" s="101">
        <v>8820</v>
      </c>
      <c r="S72" s="101">
        <f t="shared" si="32"/>
        <v>5265</v>
      </c>
      <c r="T72" s="54">
        <f>T63+175</f>
        <v>5850</v>
      </c>
      <c r="U72" s="103">
        <f t="shared" si="33"/>
        <v>5850</v>
      </c>
      <c r="V72" s="104">
        <f t="shared" si="34"/>
        <v>7406.1</v>
      </c>
    </row>
    <row r="73" spans="1:29" s="40" customFormat="1" ht="18.75" x14ac:dyDescent="0.25">
      <c r="A73" s="133" t="s">
        <v>437</v>
      </c>
      <c r="B73" s="51" t="s">
        <v>396</v>
      </c>
      <c r="C73" s="94" t="s">
        <v>54</v>
      </c>
      <c r="D73" s="95" t="s">
        <v>383</v>
      </c>
      <c r="E73" s="96" t="s">
        <v>114</v>
      </c>
      <c r="F73" s="97" t="s">
        <v>270</v>
      </c>
      <c r="G73" s="98">
        <f t="shared" si="28"/>
        <v>8590</v>
      </c>
      <c r="H73" s="99">
        <f t="shared" si="29"/>
        <v>9170</v>
      </c>
      <c r="I73" s="99">
        <f t="shared" si="30"/>
        <v>9170</v>
      </c>
      <c r="J73" s="99">
        <f t="shared" si="31"/>
        <v>10730</v>
      </c>
      <c r="K73" s="57"/>
      <c r="L73" s="156" t="s">
        <v>384</v>
      </c>
      <c r="M73" s="52" t="s">
        <v>399</v>
      </c>
      <c r="N73" s="40">
        <v>0</v>
      </c>
      <c r="O73" s="53">
        <f>VLOOKUP(B73,DRAYAGE!$A$1:$C$107,3,FALSE)</f>
        <v>3320</v>
      </c>
      <c r="P73" s="40" t="s">
        <v>428</v>
      </c>
      <c r="R73" s="101">
        <v>9225</v>
      </c>
      <c r="S73" s="101">
        <f t="shared" si="32"/>
        <v>5265</v>
      </c>
      <c r="T73" s="54">
        <f>T64+175</f>
        <v>5850</v>
      </c>
      <c r="U73" s="103">
        <f t="shared" si="33"/>
        <v>5850</v>
      </c>
      <c r="V73" s="104">
        <f t="shared" si="34"/>
        <v>7406.1</v>
      </c>
    </row>
    <row r="74" spans="1:29" s="40" customFormat="1" ht="18.75" x14ac:dyDescent="0.25">
      <c r="A74" s="133" t="s">
        <v>437</v>
      </c>
      <c r="B74" s="51" t="s">
        <v>392</v>
      </c>
      <c r="C74" s="94" t="s">
        <v>54</v>
      </c>
      <c r="D74" s="95" t="s">
        <v>383</v>
      </c>
      <c r="E74" s="96" t="s">
        <v>114</v>
      </c>
      <c r="F74" s="97" t="s">
        <v>270</v>
      </c>
      <c r="G74" s="98">
        <f t="shared" si="28"/>
        <v>9420</v>
      </c>
      <c r="H74" s="99">
        <f t="shared" si="29"/>
        <v>10010</v>
      </c>
      <c r="I74" s="99">
        <f t="shared" si="30"/>
        <v>10010</v>
      </c>
      <c r="J74" s="99">
        <f t="shared" si="31"/>
        <v>11570</v>
      </c>
      <c r="K74" s="57"/>
      <c r="L74" s="156" t="s">
        <v>384</v>
      </c>
      <c r="M74" s="52" t="s">
        <v>398</v>
      </c>
      <c r="N74" s="40">
        <v>0</v>
      </c>
      <c r="O74" s="53">
        <f>VLOOKUP(B74,DRAYAGE!$A$1:$C$107,3,FALSE)</f>
        <v>4155</v>
      </c>
      <c r="P74" s="40" t="s">
        <v>415</v>
      </c>
      <c r="R74" s="101">
        <v>8820</v>
      </c>
      <c r="S74" s="101">
        <f t="shared" si="32"/>
        <v>5265</v>
      </c>
      <c r="T74" s="54">
        <f>T72</f>
        <v>5850</v>
      </c>
      <c r="U74" s="103">
        <f t="shared" si="33"/>
        <v>5850</v>
      </c>
      <c r="V74" s="104">
        <f t="shared" si="34"/>
        <v>7406.1</v>
      </c>
    </row>
    <row r="75" spans="1:29" s="40" customFormat="1" ht="18.75" x14ac:dyDescent="0.25">
      <c r="A75" s="133" t="s">
        <v>437</v>
      </c>
      <c r="B75" s="51" t="s">
        <v>395</v>
      </c>
      <c r="C75" s="94" t="s">
        <v>54</v>
      </c>
      <c r="D75" s="95" t="s">
        <v>383</v>
      </c>
      <c r="E75" s="96" t="s">
        <v>114</v>
      </c>
      <c r="F75" s="97" t="s">
        <v>270</v>
      </c>
      <c r="G75" s="98">
        <f t="shared" si="28"/>
        <v>7550</v>
      </c>
      <c r="H75" s="99">
        <f t="shared" si="29"/>
        <v>8130</v>
      </c>
      <c r="I75" s="99">
        <f t="shared" si="30"/>
        <v>8130</v>
      </c>
      <c r="J75" s="99">
        <f t="shared" si="31"/>
        <v>9690</v>
      </c>
      <c r="K75" s="57"/>
      <c r="L75" s="156" t="s">
        <v>384</v>
      </c>
      <c r="M75" s="52" t="s">
        <v>400</v>
      </c>
      <c r="N75" s="40">
        <v>0</v>
      </c>
      <c r="O75" s="53">
        <f>VLOOKUP(B75,DRAYAGE!$A$1:$C$107,3,FALSE)</f>
        <v>2280</v>
      </c>
      <c r="P75" s="40" t="s">
        <v>414</v>
      </c>
      <c r="R75" s="101">
        <v>9225</v>
      </c>
      <c r="S75" s="101">
        <f t="shared" si="32"/>
        <v>5265</v>
      </c>
      <c r="T75" s="54">
        <f>T66+175</f>
        <v>5850</v>
      </c>
      <c r="U75" s="103">
        <f t="shared" si="33"/>
        <v>5850</v>
      </c>
      <c r="V75" s="104">
        <f t="shared" si="34"/>
        <v>7406.1</v>
      </c>
    </row>
    <row r="76" spans="1:29" s="40" customFormat="1" ht="18.75" x14ac:dyDescent="0.25">
      <c r="A76" s="133" t="s">
        <v>437</v>
      </c>
      <c r="B76" s="51" t="s">
        <v>393</v>
      </c>
      <c r="C76" s="94" t="s">
        <v>54</v>
      </c>
      <c r="D76" s="95" t="s">
        <v>383</v>
      </c>
      <c r="E76" s="96" t="s">
        <v>114</v>
      </c>
      <c r="F76" s="97" t="s">
        <v>270</v>
      </c>
      <c r="G76" s="98">
        <f t="shared" si="28"/>
        <v>8070</v>
      </c>
      <c r="H76" s="99">
        <f t="shared" si="29"/>
        <v>8660</v>
      </c>
      <c r="I76" s="99">
        <f t="shared" si="30"/>
        <v>8660</v>
      </c>
      <c r="J76" s="99">
        <f t="shared" si="31"/>
        <v>10220</v>
      </c>
      <c r="K76" s="57"/>
      <c r="L76" s="156" t="s">
        <v>384</v>
      </c>
      <c r="M76" s="52" t="s">
        <v>398</v>
      </c>
      <c r="N76" s="40">
        <v>0</v>
      </c>
      <c r="O76" s="53">
        <f>VLOOKUP(B76,DRAYAGE!$A$1:$C$107,3,FALSE)</f>
        <v>2805</v>
      </c>
      <c r="P76" s="40" t="s">
        <v>415</v>
      </c>
      <c r="R76" s="101">
        <v>8820</v>
      </c>
      <c r="S76" s="101">
        <f t="shared" si="32"/>
        <v>5265</v>
      </c>
      <c r="T76" s="54">
        <f>T72</f>
        <v>5850</v>
      </c>
      <c r="U76" s="103">
        <f t="shared" si="33"/>
        <v>5850</v>
      </c>
      <c r="V76" s="104">
        <f t="shared" si="34"/>
        <v>7406.1</v>
      </c>
    </row>
    <row r="77" spans="1:29" s="40" customFormat="1" ht="14.45" customHeight="1" x14ac:dyDescent="0.25">
      <c r="A77" s="133" t="s">
        <v>437</v>
      </c>
      <c r="B77" s="51" t="s">
        <v>394</v>
      </c>
      <c r="C77" s="94" t="s">
        <v>54</v>
      </c>
      <c r="D77" s="95" t="s">
        <v>383</v>
      </c>
      <c r="E77" s="96" t="s">
        <v>114</v>
      </c>
      <c r="F77" s="97" t="s">
        <v>270</v>
      </c>
      <c r="G77" s="98">
        <f t="shared" si="28"/>
        <v>6780</v>
      </c>
      <c r="H77" s="99">
        <f t="shared" si="29"/>
        <v>7340</v>
      </c>
      <c r="I77" s="99">
        <f t="shared" si="30"/>
        <v>7340</v>
      </c>
      <c r="J77" s="99">
        <f t="shared" si="31"/>
        <v>8820</v>
      </c>
      <c r="K77" s="57"/>
      <c r="L77" s="156" t="s">
        <v>384</v>
      </c>
      <c r="M77" s="52" t="s">
        <v>401</v>
      </c>
      <c r="N77" s="40">
        <v>0</v>
      </c>
      <c r="O77" s="53">
        <f>VLOOKUP(B77,DRAYAGE!$A$1:$C$107,3,FALSE)</f>
        <v>1785</v>
      </c>
      <c r="P77" s="40" t="s">
        <v>416</v>
      </c>
      <c r="R77" s="101">
        <v>8640</v>
      </c>
      <c r="S77" s="101">
        <f t="shared" si="32"/>
        <v>4995</v>
      </c>
      <c r="T77" s="54">
        <f>T68+175</f>
        <v>5550</v>
      </c>
      <c r="U77" s="103">
        <f t="shared" si="33"/>
        <v>5550</v>
      </c>
      <c r="V77" s="104">
        <f t="shared" si="34"/>
        <v>7026.3</v>
      </c>
    </row>
    <row r="78" spans="1:29" s="40" customFormat="1" ht="14.45" customHeight="1" x14ac:dyDescent="0.25">
      <c r="A78" s="212" t="s">
        <v>271</v>
      </c>
      <c r="B78" s="212"/>
      <c r="C78" s="212"/>
      <c r="D78" s="212"/>
      <c r="E78" s="212"/>
      <c r="F78" s="212"/>
      <c r="G78" s="212"/>
      <c r="H78" s="212"/>
      <c r="I78" s="212"/>
      <c r="J78" s="212"/>
      <c r="K78" s="57"/>
      <c r="L78" s="100"/>
      <c r="M78" s="100"/>
      <c r="R78" s="37"/>
      <c r="S78" s="37"/>
      <c r="T78" s="37"/>
      <c r="U78" s="37"/>
      <c r="V78" s="37"/>
    </row>
    <row r="79" spans="1:29" s="40" customFormat="1" ht="21.4" customHeight="1" x14ac:dyDescent="0.25">
      <c r="A79" s="167"/>
      <c r="B79" s="168"/>
      <c r="C79" s="168"/>
      <c r="D79" s="168"/>
      <c r="E79" s="168"/>
      <c r="F79" s="168"/>
      <c r="G79" s="168"/>
      <c r="H79" s="168"/>
      <c r="I79" s="168"/>
      <c r="J79" s="168"/>
      <c r="K79" s="57"/>
      <c r="L79" s="100"/>
      <c r="M79" s="100"/>
      <c r="S79" s="37"/>
      <c r="T79" s="37"/>
      <c r="U79" s="37"/>
      <c r="V79" s="37"/>
      <c r="W79" s="37"/>
    </row>
    <row r="80" spans="1:29" s="37" customFormat="1" ht="14.45" customHeight="1" x14ac:dyDescent="0.25">
      <c r="A80" s="180" t="s">
        <v>111</v>
      </c>
      <c r="B80" s="180"/>
      <c r="C80" s="180"/>
      <c r="D80" s="180"/>
      <c r="E80" s="180"/>
      <c r="F80" s="180"/>
      <c r="G80" s="180"/>
      <c r="H80" s="180"/>
      <c r="I80" s="180"/>
      <c r="J80" s="180"/>
      <c r="K80" s="57"/>
    </row>
    <row r="81" spans="1:17" s="37" customFormat="1" ht="14.45" customHeight="1" x14ac:dyDescent="0.25">
      <c r="A81" s="208" t="s">
        <v>112</v>
      </c>
      <c r="B81" s="208"/>
      <c r="C81" s="208"/>
      <c r="D81" s="208"/>
      <c r="E81" s="208"/>
      <c r="F81" s="208"/>
      <c r="G81" s="208"/>
      <c r="H81" s="208"/>
      <c r="I81" s="208"/>
      <c r="J81" s="208"/>
      <c r="K81" s="57"/>
    </row>
    <row r="82" spans="1:17" s="37" customFormat="1" ht="14.45" customHeight="1" x14ac:dyDescent="0.25">
      <c r="A82" s="186" t="s">
        <v>67</v>
      </c>
      <c r="B82" s="186"/>
      <c r="C82" s="186"/>
      <c r="D82" s="186"/>
      <c r="E82" s="186" t="s">
        <v>68</v>
      </c>
      <c r="F82" s="186"/>
      <c r="G82" s="186"/>
      <c r="H82" s="186"/>
      <c r="I82" s="186"/>
      <c r="J82" s="186"/>
      <c r="K82" s="57"/>
      <c r="L82" s="209" t="s">
        <v>113</v>
      </c>
      <c r="M82" s="209"/>
      <c r="N82" s="209"/>
      <c r="O82" s="209"/>
      <c r="P82" s="209"/>
      <c r="Q82" s="209"/>
    </row>
    <row r="83" spans="1:17" s="37" customFormat="1" ht="14.45" customHeight="1" x14ac:dyDescent="0.25">
      <c r="A83" s="196" t="s">
        <v>69</v>
      </c>
      <c r="B83" s="196"/>
      <c r="C83" s="196"/>
      <c r="D83" s="196"/>
      <c r="E83" s="58" t="s">
        <v>114</v>
      </c>
      <c r="F83" s="196" t="s">
        <v>70</v>
      </c>
      <c r="G83" s="196"/>
      <c r="H83" s="196"/>
      <c r="I83" s="196"/>
      <c r="J83" s="196"/>
      <c r="K83" s="57"/>
      <c r="L83" s="197" t="s">
        <v>115</v>
      </c>
      <c r="M83" s="197"/>
      <c r="N83" s="197"/>
      <c r="O83" s="197"/>
      <c r="P83" s="197"/>
      <c r="Q83" s="197"/>
    </row>
    <row r="84" spans="1:17" s="37" customFormat="1" ht="14.45" customHeight="1" x14ac:dyDescent="0.25">
      <c r="A84" s="196" t="s">
        <v>71</v>
      </c>
      <c r="B84" s="196"/>
      <c r="C84" s="196"/>
      <c r="D84" s="201"/>
      <c r="E84" s="58" t="s">
        <v>114</v>
      </c>
      <c r="F84" s="196" t="s">
        <v>116</v>
      </c>
      <c r="G84" s="196"/>
      <c r="H84" s="196"/>
      <c r="I84" s="196"/>
      <c r="J84" s="196"/>
      <c r="K84" s="57"/>
      <c r="L84" s="197"/>
      <c r="M84" s="197"/>
      <c r="N84" s="197"/>
      <c r="O84" s="197"/>
      <c r="P84" s="197"/>
      <c r="Q84" s="197"/>
    </row>
    <row r="85" spans="1:17" s="37" customFormat="1" ht="18" customHeight="1" x14ac:dyDescent="0.25">
      <c r="A85" s="196" t="s">
        <v>117</v>
      </c>
      <c r="B85" s="196"/>
      <c r="C85" s="196"/>
      <c r="D85" s="201"/>
      <c r="E85" s="58" t="s">
        <v>114</v>
      </c>
      <c r="F85" s="196" t="s">
        <v>306</v>
      </c>
      <c r="G85" s="196"/>
      <c r="H85" s="196"/>
      <c r="I85" s="196"/>
      <c r="J85" s="196"/>
      <c r="K85" s="57"/>
      <c r="L85" s="59" t="s">
        <v>118</v>
      </c>
      <c r="M85" s="129"/>
      <c r="N85" s="129"/>
      <c r="O85" s="129"/>
      <c r="P85" s="129"/>
      <c r="Q85" s="129"/>
    </row>
    <row r="86" spans="1:17" s="37" customFormat="1" ht="32.65" customHeight="1" x14ac:dyDescent="0.25">
      <c r="A86" s="202" t="s">
        <v>388</v>
      </c>
      <c r="B86" s="202"/>
      <c r="C86" s="202"/>
      <c r="D86" s="203"/>
      <c r="E86" s="58" t="s">
        <v>127</v>
      </c>
      <c r="F86" s="185" t="s">
        <v>423</v>
      </c>
      <c r="G86" s="185"/>
      <c r="H86" s="185"/>
      <c r="I86" s="185"/>
      <c r="J86" s="185"/>
      <c r="K86" s="57"/>
      <c r="L86" s="59" t="s">
        <v>118</v>
      </c>
      <c r="M86" s="129"/>
      <c r="N86" s="129"/>
      <c r="O86" s="129"/>
      <c r="P86" s="129"/>
      <c r="Q86" s="129"/>
    </row>
    <row r="87" spans="1:17" s="37" customFormat="1" ht="36.950000000000003" customHeight="1" x14ac:dyDescent="0.25">
      <c r="A87" s="196" t="s">
        <v>367</v>
      </c>
      <c r="B87" s="196"/>
      <c r="C87" s="196"/>
      <c r="D87" s="201"/>
      <c r="E87" s="58" t="s">
        <v>114</v>
      </c>
      <c r="F87" s="185" t="s">
        <v>368</v>
      </c>
      <c r="G87" s="185"/>
      <c r="H87" s="185"/>
      <c r="I87" s="185"/>
      <c r="J87" s="185"/>
      <c r="K87" s="57"/>
      <c r="L87" s="59" t="s">
        <v>118</v>
      </c>
      <c r="M87" s="129"/>
      <c r="N87" s="129"/>
      <c r="O87" s="129"/>
      <c r="P87" s="129"/>
      <c r="Q87" s="129"/>
    </row>
    <row r="88" spans="1:17" s="37" customFormat="1" ht="70.349999999999994" customHeight="1" x14ac:dyDescent="0.25">
      <c r="A88" s="204" t="s">
        <v>438</v>
      </c>
      <c r="B88" s="204"/>
      <c r="C88" s="204"/>
      <c r="D88" s="205"/>
      <c r="E88" s="58" t="s">
        <v>114</v>
      </c>
      <c r="F88" s="204" t="s">
        <v>439</v>
      </c>
      <c r="G88" s="204"/>
      <c r="H88" s="204"/>
      <c r="I88" s="204"/>
      <c r="J88" s="204"/>
      <c r="K88" s="132"/>
      <c r="L88" s="59" t="s">
        <v>118</v>
      </c>
      <c r="M88" s="129"/>
      <c r="N88" s="129"/>
      <c r="O88" s="129"/>
      <c r="P88" s="129"/>
      <c r="Q88" s="129"/>
    </row>
    <row r="89" spans="1:17" s="37" customFormat="1" ht="14.45" customHeight="1" x14ac:dyDescent="0.25">
      <c r="A89" s="196" t="s">
        <v>119</v>
      </c>
      <c r="B89" s="196"/>
      <c r="C89" s="196"/>
      <c r="D89" s="196"/>
      <c r="E89" s="58" t="s">
        <v>114</v>
      </c>
      <c r="F89" s="196" t="s">
        <v>120</v>
      </c>
      <c r="G89" s="196"/>
      <c r="H89" s="196"/>
      <c r="I89" s="196"/>
      <c r="J89" s="196"/>
      <c r="K89" s="132"/>
      <c r="L89" s="197" t="s">
        <v>121</v>
      </c>
      <c r="M89" s="197"/>
      <c r="N89" s="197"/>
      <c r="O89" s="197"/>
      <c r="P89" s="197"/>
      <c r="Q89" s="197"/>
    </row>
    <row r="90" spans="1:17" s="37" customFormat="1" ht="14.45" customHeight="1" x14ac:dyDescent="0.25">
      <c r="A90" s="196" t="s">
        <v>122</v>
      </c>
      <c r="B90" s="196"/>
      <c r="C90" s="196"/>
      <c r="D90" s="196"/>
      <c r="E90" s="58" t="s">
        <v>114</v>
      </c>
      <c r="F90" s="196" t="s">
        <v>123</v>
      </c>
      <c r="G90" s="196"/>
      <c r="H90" s="196"/>
      <c r="I90" s="196"/>
      <c r="J90" s="196"/>
      <c r="K90" s="132"/>
      <c r="L90" s="197"/>
      <c r="M90" s="197"/>
      <c r="N90" s="197"/>
      <c r="O90" s="197"/>
      <c r="P90" s="197"/>
      <c r="Q90" s="197"/>
    </row>
    <row r="91" spans="1:17" s="37" customFormat="1" ht="14.45" customHeight="1" x14ac:dyDescent="0.25">
      <c r="A91" s="196" t="s">
        <v>277</v>
      </c>
      <c r="B91" s="196"/>
      <c r="C91" s="196"/>
      <c r="D91" s="196"/>
      <c r="E91" s="58" t="s">
        <v>114</v>
      </c>
      <c r="F91" s="196" t="s">
        <v>278</v>
      </c>
      <c r="G91" s="196"/>
      <c r="H91" s="196"/>
      <c r="I91" s="196"/>
      <c r="J91" s="196"/>
      <c r="K91" s="132"/>
      <c r="L91" s="197"/>
      <c r="M91" s="197"/>
      <c r="N91" s="197"/>
      <c r="O91" s="197"/>
      <c r="P91" s="197"/>
      <c r="Q91" s="197"/>
    </row>
    <row r="92" spans="1:17" s="37" customFormat="1" ht="14.45" customHeight="1" x14ac:dyDescent="0.25">
      <c r="A92" s="196" t="s">
        <v>124</v>
      </c>
      <c r="B92" s="196"/>
      <c r="C92" s="196"/>
      <c r="D92" s="196"/>
      <c r="E92" s="58" t="s">
        <v>114</v>
      </c>
      <c r="F92" s="196" t="s">
        <v>125</v>
      </c>
      <c r="G92" s="196"/>
      <c r="H92" s="196"/>
      <c r="I92" s="196"/>
      <c r="J92" s="196"/>
      <c r="K92" s="132"/>
      <c r="L92" s="197"/>
      <c r="M92" s="197"/>
      <c r="N92" s="197"/>
      <c r="O92" s="197"/>
      <c r="P92" s="197"/>
      <c r="Q92" s="197"/>
    </row>
    <row r="93" spans="1:17" s="37" customFormat="1" ht="18.95" customHeight="1" x14ac:dyDescent="0.25">
      <c r="A93" s="196" t="s">
        <v>126</v>
      </c>
      <c r="B93" s="196"/>
      <c r="C93" s="196"/>
      <c r="D93" s="201"/>
      <c r="E93" s="58" t="s">
        <v>127</v>
      </c>
      <c r="F93" s="128" t="s">
        <v>409</v>
      </c>
      <c r="G93" s="185" t="s">
        <v>410</v>
      </c>
      <c r="H93" s="185"/>
      <c r="I93" s="185"/>
      <c r="J93" s="185"/>
      <c r="K93" s="132"/>
      <c r="L93" s="197" t="s">
        <v>130</v>
      </c>
      <c r="M93" s="197"/>
      <c r="N93" s="197"/>
      <c r="O93" s="197"/>
      <c r="P93" s="197"/>
      <c r="Q93" s="197"/>
    </row>
    <row r="94" spans="1:17" s="37" customFormat="1" ht="24.95" customHeight="1" x14ac:dyDescent="0.25">
      <c r="A94" s="196" t="s">
        <v>126</v>
      </c>
      <c r="B94" s="196"/>
      <c r="C94" s="196"/>
      <c r="D94" s="196"/>
      <c r="E94" s="58" t="s">
        <v>127</v>
      </c>
      <c r="F94" s="128" t="s">
        <v>131</v>
      </c>
      <c r="G94" s="185" t="s">
        <v>374</v>
      </c>
      <c r="H94" s="185"/>
      <c r="I94" s="185"/>
      <c r="J94" s="185"/>
      <c r="K94" s="132"/>
      <c r="L94" s="197" t="s">
        <v>130</v>
      </c>
      <c r="M94" s="197"/>
      <c r="N94" s="197"/>
      <c r="O94" s="197"/>
      <c r="P94" s="197"/>
      <c r="Q94" s="197"/>
    </row>
    <row r="95" spans="1:17" s="37" customFormat="1" ht="24.95" customHeight="1" x14ac:dyDescent="0.25">
      <c r="A95" s="196" t="s">
        <v>372</v>
      </c>
      <c r="B95" s="196"/>
      <c r="C95" s="196"/>
      <c r="D95" s="196"/>
      <c r="E95" s="58" t="s">
        <v>127</v>
      </c>
      <c r="F95" s="128" t="s">
        <v>131</v>
      </c>
      <c r="G95" s="185" t="s">
        <v>385</v>
      </c>
      <c r="H95" s="185"/>
      <c r="I95" s="185"/>
      <c r="J95" s="185"/>
      <c r="K95" s="132"/>
      <c r="L95" s="197" t="s">
        <v>130</v>
      </c>
      <c r="M95" s="197"/>
      <c r="N95" s="197"/>
      <c r="O95" s="197"/>
      <c r="P95" s="197"/>
      <c r="Q95" s="197"/>
    </row>
    <row r="96" spans="1:17" s="37" customFormat="1" ht="37.5" customHeight="1" x14ac:dyDescent="0.25">
      <c r="A96" s="198" t="s">
        <v>311</v>
      </c>
      <c r="B96" s="199"/>
      <c r="C96" s="199"/>
      <c r="D96" s="200"/>
      <c r="E96" s="198" t="s">
        <v>312</v>
      </c>
      <c r="F96" s="199"/>
      <c r="G96" s="199"/>
      <c r="H96" s="199"/>
      <c r="I96" s="199"/>
      <c r="J96" s="200"/>
      <c r="K96" s="132"/>
      <c r="L96" s="197"/>
      <c r="M96" s="197"/>
      <c r="N96" s="197"/>
      <c r="O96" s="197"/>
      <c r="P96" s="197"/>
      <c r="Q96" s="197"/>
    </row>
    <row r="97" spans="1:13" s="37" customFormat="1" ht="14.45" customHeight="1" x14ac:dyDescent="0.25">
      <c r="A97" s="180" t="s">
        <v>133</v>
      </c>
      <c r="B97" s="180"/>
      <c r="C97" s="180"/>
      <c r="D97" s="180"/>
      <c r="E97" s="180"/>
      <c r="F97" s="180"/>
      <c r="G97" s="180"/>
      <c r="H97" s="180"/>
      <c r="I97" s="180"/>
      <c r="J97" s="180"/>
      <c r="K97" s="57"/>
      <c r="L97" s="129"/>
      <c r="M97" s="129"/>
    </row>
    <row r="98" spans="1:13" s="37" customFormat="1" ht="14.45" customHeight="1" x14ac:dyDescent="0.2">
      <c r="A98" s="60" t="s">
        <v>134</v>
      </c>
      <c r="B98" s="60" t="s">
        <v>135</v>
      </c>
      <c r="C98" s="60" t="s">
        <v>136</v>
      </c>
      <c r="D98" s="193" t="s">
        <v>137</v>
      </c>
      <c r="E98" s="194"/>
      <c r="F98" s="195"/>
      <c r="G98" s="61" t="s">
        <v>138</v>
      </c>
      <c r="H98" s="60" t="s">
        <v>139</v>
      </c>
      <c r="I98" s="61" t="s">
        <v>140</v>
      </c>
      <c r="J98" s="61" t="s">
        <v>141</v>
      </c>
      <c r="K98" s="57"/>
      <c r="L98" s="129"/>
      <c r="M98" s="129"/>
    </row>
    <row r="99" spans="1:13" s="37" customFormat="1" ht="14.45" customHeight="1" x14ac:dyDescent="0.2">
      <c r="A99" s="62" t="s">
        <v>142</v>
      </c>
      <c r="B99" s="62" t="s">
        <v>49</v>
      </c>
      <c r="C99" s="62" t="s">
        <v>143</v>
      </c>
      <c r="D99" s="187" t="s">
        <v>144</v>
      </c>
      <c r="E99" s="188"/>
      <c r="F99" s="189"/>
      <c r="G99" s="63">
        <v>50</v>
      </c>
      <c r="H99" s="62" t="s">
        <v>145</v>
      </c>
      <c r="I99" s="63">
        <v>150</v>
      </c>
      <c r="J99" s="63" t="s">
        <v>110</v>
      </c>
      <c r="K99" s="57"/>
      <c r="L99" s="129"/>
      <c r="M99" s="129"/>
    </row>
    <row r="100" spans="1:13" s="37" customFormat="1" ht="14.45" hidden="1" customHeight="1" x14ac:dyDescent="0.2">
      <c r="A100" s="62" t="s">
        <v>142</v>
      </c>
      <c r="B100" s="62" t="s">
        <v>146</v>
      </c>
      <c r="C100" s="62" t="s">
        <v>147</v>
      </c>
      <c r="D100" s="187" t="s">
        <v>148</v>
      </c>
      <c r="E100" s="188"/>
      <c r="F100" s="189"/>
      <c r="G100" s="63">
        <v>3</v>
      </c>
      <c r="H100" s="62" t="s">
        <v>149</v>
      </c>
      <c r="I100" s="63">
        <v>3</v>
      </c>
      <c r="J100" s="63" t="s">
        <v>110</v>
      </c>
      <c r="K100" s="57"/>
      <c r="L100" s="129"/>
      <c r="M100" s="129"/>
    </row>
    <row r="101" spans="1:13" s="37" customFormat="1" ht="14.45" hidden="1" customHeight="1" x14ac:dyDescent="0.2">
      <c r="A101" s="62" t="s">
        <v>150</v>
      </c>
      <c r="B101" s="62" t="s">
        <v>146</v>
      </c>
      <c r="C101" s="62" t="s">
        <v>147</v>
      </c>
      <c r="D101" s="187" t="s">
        <v>151</v>
      </c>
      <c r="E101" s="188"/>
      <c r="F101" s="189"/>
      <c r="G101" s="63">
        <v>3</v>
      </c>
      <c r="H101" s="62" t="s">
        <v>152</v>
      </c>
      <c r="I101" s="63">
        <v>3</v>
      </c>
      <c r="J101" s="63" t="s">
        <v>110</v>
      </c>
      <c r="K101" s="57"/>
      <c r="L101" s="129"/>
      <c r="M101" s="129"/>
    </row>
    <row r="102" spans="1:13" s="37" customFormat="1" ht="14.45" customHeight="1" x14ac:dyDescent="0.2">
      <c r="A102" s="62" t="s">
        <v>173</v>
      </c>
      <c r="B102" s="62" t="s">
        <v>49</v>
      </c>
      <c r="C102" s="62" t="s">
        <v>143</v>
      </c>
      <c r="D102" s="187" t="s">
        <v>313</v>
      </c>
      <c r="E102" s="188"/>
      <c r="F102" s="189"/>
      <c r="G102" s="66">
        <v>75</v>
      </c>
      <c r="H102" s="62" t="s">
        <v>145</v>
      </c>
      <c r="I102" s="66">
        <f>75*3</f>
        <v>225</v>
      </c>
      <c r="J102" s="66" t="s">
        <v>314</v>
      </c>
      <c r="K102" s="132"/>
      <c r="L102" s="129"/>
      <c r="M102" s="129"/>
    </row>
    <row r="103" spans="1:13" s="37" customFormat="1" ht="14.45" customHeight="1" x14ac:dyDescent="0.2">
      <c r="A103" s="62" t="s">
        <v>142</v>
      </c>
      <c r="B103" s="62" t="s">
        <v>49</v>
      </c>
      <c r="C103" s="62" t="s">
        <v>143</v>
      </c>
      <c r="D103" s="187" t="s">
        <v>279</v>
      </c>
      <c r="E103" s="188"/>
      <c r="F103" s="189"/>
      <c r="G103" s="63">
        <v>150</v>
      </c>
      <c r="H103" s="62" t="s">
        <v>280</v>
      </c>
      <c r="I103" s="63" t="s">
        <v>153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2" t="s">
        <v>154</v>
      </c>
      <c r="B104" s="62" t="s">
        <v>49</v>
      </c>
      <c r="C104" s="62" t="s">
        <v>143</v>
      </c>
      <c r="D104" s="187" t="s">
        <v>155</v>
      </c>
      <c r="E104" s="188"/>
      <c r="F104" s="189"/>
      <c r="G104" s="63">
        <v>250</v>
      </c>
      <c r="H104" s="62" t="s">
        <v>49</v>
      </c>
      <c r="I104" s="63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5" t="s">
        <v>156</v>
      </c>
      <c r="B105" s="65" t="s">
        <v>49</v>
      </c>
      <c r="C105" s="65" t="s">
        <v>143</v>
      </c>
      <c r="D105" s="187" t="s">
        <v>157</v>
      </c>
      <c r="E105" s="188"/>
      <c r="F105" s="189"/>
      <c r="G105" s="63">
        <v>250</v>
      </c>
      <c r="H105" s="62" t="s">
        <v>49</v>
      </c>
      <c r="I105" s="63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142</v>
      </c>
      <c r="B106" s="62" t="s">
        <v>49</v>
      </c>
      <c r="C106" s="62" t="s">
        <v>143</v>
      </c>
      <c r="D106" s="187" t="s">
        <v>281</v>
      </c>
      <c r="E106" s="188"/>
      <c r="F106" s="189"/>
      <c r="G106" s="63">
        <v>200</v>
      </c>
      <c r="H106" s="62" t="s">
        <v>280</v>
      </c>
      <c r="I106" s="63" t="s">
        <v>153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142</v>
      </c>
      <c r="B107" s="62" t="s">
        <v>49</v>
      </c>
      <c r="C107" s="62" t="s">
        <v>143</v>
      </c>
      <c r="D107" s="187" t="s">
        <v>158</v>
      </c>
      <c r="E107" s="188"/>
      <c r="F107" s="189"/>
      <c r="G107" s="66">
        <v>150</v>
      </c>
      <c r="H107" s="62" t="s">
        <v>49</v>
      </c>
      <c r="I107" s="66" t="s">
        <v>153</v>
      </c>
      <c r="J107" s="63" t="s">
        <v>110</v>
      </c>
      <c r="K107" s="57"/>
      <c r="L107" s="129"/>
      <c r="M107" s="129"/>
    </row>
    <row r="108" spans="1:13" s="37" customFormat="1" ht="14.45" customHeight="1" x14ac:dyDescent="0.2">
      <c r="A108" s="62" t="s">
        <v>150</v>
      </c>
      <c r="B108" s="67" t="s">
        <v>49</v>
      </c>
      <c r="C108" s="62" t="s">
        <v>143</v>
      </c>
      <c r="D108" s="187" t="s">
        <v>159</v>
      </c>
      <c r="E108" s="188"/>
      <c r="F108" s="189"/>
      <c r="G108" s="68">
        <v>180</v>
      </c>
      <c r="H108" s="67" t="s">
        <v>49</v>
      </c>
      <c r="I108" s="68" t="s">
        <v>153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160</v>
      </c>
      <c r="B109" s="67" t="s">
        <v>49</v>
      </c>
      <c r="C109" s="62" t="s">
        <v>143</v>
      </c>
      <c r="D109" s="187" t="s">
        <v>161</v>
      </c>
      <c r="E109" s="188"/>
      <c r="F109" s="189"/>
      <c r="G109" s="69">
        <v>47.9</v>
      </c>
      <c r="H109" s="67" t="s">
        <v>24</v>
      </c>
      <c r="I109" s="69">
        <v>47.9</v>
      </c>
      <c r="J109" s="63" t="s">
        <v>110</v>
      </c>
      <c r="K109" s="57"/>
      <c r="L109" s="129"/>
      <c r="M109" s="129"/>
    </row>
    <row r="110" spans="1:13" s="37" customFormat="1" ht="14.45" customHeight="1" x14ac:dyDescent="0.2">
      <c r="A110" s="62" t="s">
        <v>160</v>
      </c>
      <c r="B110" s="67" t="s">
        <v>49</v>
      </c>
      <c r="C110" s="62" t="s">
        <v>143</v>
      </c>
      <c r="D110" s="187" t="s">
        <v>161</v>
      </c>
      <c r="E110" s="188"/>
      <c r="F110" s="189"/>
      <c r="G110" s="69">
        <v>65.400000000000006</v>
      </c>
      <c r="H110" s="67" t="s">
        <v>162</v>
      </c>
      <c r="I110" s="69">
        <v>65.400000000000006</v>
      </c>
      <c r="J110" s="63" t="s">
        <v>110</v>
      </c>
      <c r="K110" s="57"/>
      <c r="L110" s="129"/>
      <c r="M110" s="129"/>
    </row>
    <row r="111" spans="1:13" s="37" customFormat="1" ht="14.1" customHeight="1" x14ac:dyDescent="0.2">
      <c r="A111" s="62" t="s">
        <v>163</v>
      </c>
      <c r="B111" s="67" t="s">
        <v>49</v>
      </c>
      <c r="C111" s="62" t="s">
        <v>143</v>
      </c>
      <c r="D111" s="187" t="s">
        <v>164</v>
      </c>
      <c r="E111" s="188"/>
      <c r="F111" s="189"/>
      <c r="G111" s="69">
        <v>48</v>
      </c>
      <c r="H111" s="67" t="s">
        <v>49</v>
      </c>
      <c r="I111" s="69">
        <v>48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163</v>
      </c>
      <c r="B112" s="67" t="s">
        <v>49</v>
      </c>
      <c r="C112" s="62" t="s">
        <v>143</v>
      </c>
      <c r="D112" s="187" t="s">
        <v>165</v>
      </c>
      <c r="E112" s="188"/>
      <c r="F112" s="189"/>
      <c r="G112" s="69">
        <v>18</v>
      </c>
      <c r="H112" s="67" t="s">
        <v>49</v>
      </c>
      <c r="I112" s="69">
        <v>18</v>
      </c>
      <c r="J112" s="63" t="s">
        <v>110</v>
      </c>
      <c r="K112" s="57"/>
      <c r="L112" s="129"/>
      <c r="M112" s="129"/>
    </row>
    <row r="113" spans="1:13" s="37" customFormat="1" ht="14.45" customHeight="1" x14ac:dyDescent="0.2">
      <c r="A113" s="62" t="s">
        <v>163</v>
      </c>
      <c r="B113" s="67" t="s">
        <v>49</v>
      </c>
      <c r="C113" s="62" t="s">
        <v>143</v>
      </c>
      <c r="D113" s="187" t="s">
        <v>166</v>
      </c>
      <c r="E113" s="188"/>
      <c r="F113" s="189"/>
      <c r="G113" s="69">
        <v>42</v>
      </c>
      <c r="H113" s="67" t="s">
        <v>49</v>
      </c>
      <c r="I113" s="69">
        <v>42</v>
      </c>
      <c r="J113" s="63" t="s">
        <v>110</v>
      </c>
      <c r="K113" s="57"/>
      <c r="L113" s="129"/>
      <c r="M113" s="129"/>
    </row>
    <row r="114" spans="1:13" s="37" customFormat="1" ht="14.45" customHeight="1" x14ac:dyDescent="0.2">
      <c r="A114" s="62" t="s">
        <v>167</v>
      </c>
      <c r="B114" s="62" t="s">
        <v>49</v>
      </c>
      <c r="C114" s="62" t="s">
        <v>143</v>
      </c>
      <c r="D114" s="187" t="s">
        <v>168</v>
      </c>
      <c r="E114" s="188"/>
      <c r="F114" s="189"/>
      <c r="G114" s="66">
        <v>54</v>
      </c>
      <c r="H114" s="62" t="s">
        <v>49</v>
      </c>
      <c r="I114" s="66">
        <v>54</v>
      </c>
      <c r="J114" s="63" t="s">
        <v>110</v>
      </c>
      <c r="K114" s="57"/>
      <c r="L114" s="129"/>
      <c r="M114" s="129"/>
    </row>
    <row r="115" spans="1:13" s="37" customFormat="1" ht="14.45" customHeight="1" x14ac:dyDescent="0.2">
      <c r="A115" s="67" t="s">
        <v>169</v>
      </c>
      <c r="B115" s="67" t="s">
        <v>49</v>
      </c>
      <c r="C115" s="67" t="s">
        <v>147</v>
      </c>
      <c r="D115" s="187" t="s">
        <v>170</v>
      </c>
      <c r="E115" s="188"/>
      <c r="F115" s="189"/>
      <c r="G115" s="70">
        <v>35</v>
      </c>
      <c r="H115" s="70" t="s">
        <v>280</v>
      </c>
      <c r="I115" s="70">
        <v>35</v>
      </c>
      <c r="J115" s="63" t="s">
        <v>110</v>
      </c>
      <c r="K115" s="57"/>
      <c r="L115" s="129"/>
      <c r="M115" s="129"/>
    </row>
    <row r="116" spans="1:13" s="37" customFormat="1" ht="14.45" customHeight="1" x14ac:dyDescent="0.2">
      <c r="A116" s="62" t="s">
        <v>142</v>
      </c>
      <c r="B116" s="62" t="s">
        <v>49</v>
      </c>
      <c r="C116" s="62" t="s">
        <v>143</v>
      </c>
      <c r="D116" s="187" t="s">
        <v>171</v>
      </c>
      <c r="E116" s="188"/>
      <c r="F116" s="189"/>
      <c r="G116" s="63">
        <v>85</v>
      </c>
      <c r="H116" s="62" t="s">
        <v>172</v>
      </c>
      <c r="I116" s="63" t="s">
        <v>153</v>
      </c>
      <c r="J116" s="63" t="s">
        <v>110</v>
      </c>
      <c r="K116" s="57"/>
      <c r="L116" s="129"/>
      <c r="M116" s="129"/>
    </row>
    <row r="117" spans="1:13" s="37" customFormat="1" ht="14.45" hidden="1" customHeight="1" x14ac:dyDescent="0.2">
      <c r="A117" s="62" t="s">
        <v>173</v>
      </c>
      <c r="B117" s="62" t="s">
        <v>146</v>
      </c>
      <c r="C117" s="62" t="s">
        <v>147</v>
      </c>
      <c r="D117" s="187" t="s">
        <v>174</v>
      </c>
      <c r="E117" s="188"/>
      <c r="F117" s="189"/>
      <c r="G117" s="63">
        <v>4</v>
      </c>
      <c r="H117" s="62" t="s">
        <v>149</v>
      </c>
      <c r="I117" s="63">
        <v>4</v>
      </c>
      <c r="J117" s="63" t="s">
        <v>110</v>
      </c>
      <c r="K117" s="57"/>
      <c r="L117" s="129"/>
      <c r="M117" s="129"/>
    </row>
    <row r="118" spans="1:13" s="37" customFormat="1" ht="24" customHeight="1" x14ac:dyDescent="0.2">
      <c r="A118" s="62" t="s">
        <v>173</v>
      </c>
      <c r="B118" s="62" t="s">
        <v>49</v>
      </c>
      <c r="C118" s="62" t="s">
        <v>143</v>
      </c>
      <c r="D118" s="187" t="s">
        <v>175</v>
      </c>
      <c r="E118" s="188"/>
      <c r="F118" s="189"/>
      <c r="G118" s="137" t="s">
        <v>348</v>
      </c>
      <c r="H118" s="62" t="s">
        <v>24</v>
      </c>
      <c r="I118" s="66" t="s">
        <v>153</v>
      </c>
      <c r="J118" s="63" t="s">
        <v>282</v>
      </c>
      <c r="K118" s="57"/>
      <c r="L118" s="129"/>
      <c r="M118" s="129"/>
    </row>
    <row r="119" spans="1:13" s="37" customFormat="1" ht="27" customHeight="1" x14ac:dyDescent="0.2">
      <c r="A119" s="62" t="s">
        <v>173</v>
      </c>
      <c r="B119" s="62" t="s">
        <v>49</v>
      </c>
      <c r="C119" s="62" t="s">
        <v>143</v>
      </c>
      <c r="D119" s="187" t="s">
        <v>176</v>
      </c>
      <c r="E119" s="188"/>
      <c r="F119" s="189"/>
      <c r="G119" s="137" t="s">
        <v>348</v>
      </c>
      <c r="H119" s="62" t="s">
        <v>162</v>
      </c>
      <c r="I119" s="66" t="s">
        <v>153</v>
      </c>
      <c r="J119" s="63" t="s">
        <v>282</v>
      </c>
      <c r="K119" s="57"/>
      <c r="L119" s="129"/>
      <c r="M119" s="129"/>
    </row>
    <row r="120" spans="1:13" s="152" customFormat="1" ht="52.35" customHeight="1" x14ac:dyDescent="0.2">
      <c r="A120" s="67" t="s">
        <v>142</v>
      </c>
      <c r="B120" s="67" t="s">
        <v>49</v>
      </c>
      <c r="C120" s="147" t="s">
        <v>362</v>
      </c>
      <c r="D120" s="190" t="s">
        <v>363</v>
      </c>
      <c r="E120" s="191"/>
      <c r="F120" s="192"/>
      <c r="G120" s="146" t="s">
        <v>371</v>
      </c>
      <c r="H120" s="148" t="s">
        <v>280</v>
      </c>
      <c r="I120" s="69" t="s">
        <v>153</v>
      </c>
      <c r="J120" s="149" t="s">
        <v>365</v>
      </c>
      <c r="K120" s="111"/>
      <c r="L120" s="151"/>
      <c r="M120" s="151"/>
    </row>
    <row r="121" spans="1:13" s="37" customFormat="1" ht="14.45" hidden="1" customHeight="1" x14ac:dyDescent="0.2">
      <c r="A121" s="62" t="s">
        <v>173</v>
      </c>
      <c r="B121" s="62" t="s">
        <v>146</v>
      </c>
      <c r="C121" s="62" t="s">
        <v>147</v>
      </c>
      <c r="D121" s="187" t="s">
        <v>177</v>
      </c>
      <c r="E121" s="188"/>
      <c r="F121" s="189"/>
      <c r="G121" s="63">
        <v>2</v>
      </c>
      <c r="H121" s="62" t="s">
        <v>149</v>
      </c>
      <c r="I121" s="63">
        <v>2</v>
      </c>
      <c r="J121" s="63" t="s">
        <v>110</v>
      </c>
      <c r="K121" s="57"/>
      <c r="L121" s="129"/>
      <c r="M121" s="129"/>
    </row>
    <row r="122" spans="1:13" s="37" customFormat="1" ht="14.45" hidden="1" customHeight="1" x14ac:dyDescent="0.2">
      <c r="A122" s="62" t="s">
        <v>173</v>
      </c>
      <c r="B122" s="62" t="s">
        <v>146</v>
      </c>
      <c r="C122" s="62" t="s">
        <v>283</v>
      </c>
      <c r="D122" s="187" t="s">
        <v>284</v>
      </c>
      <c r="E122" s="188"/>
      <c r="F122" s="189"/>
      <c r="G122" s="63">
        <v>10</v>
      </c>
      <c r="H122" s="62" t="s">
        <v>285</v>
      </c>
      <c r="I122" s="63" t="s">
        <v>153</v>
      </c>
      <c r="J122" s="63" t="s">
        <v>110</v>
      </c>
      <c r="K122" s="57"/>
      <c r="L122" s="129"/>
      <c r="M122" s="129"/>
    </row>
    <row r="123" spans="1:13" s="37" customFormat="1" ht="14.45" customHeight="1" x14ac:dyDescent="0.2">
      <c r="A123" s="62" t="s">
        <v>142</v>
      </c>
      <c r="B123" s="62" t="s">
        <v>49</v>
      </c>
      <c r="C123" s="62" t="s">
        <v>143</v>
      </c>
      <c r="D123" s="187" t="s">
        <v>178</v>
      </c>
      <c r="E123" s="188"/>
      <c r="F123" s="189"/>
      <c r="G123" s="63">
        <v>50</v>
      </c>
      <c r="H123" s="62" t="s">
        <v>145</v>
      </c>
      <c r="I123" s="63" t="s">
        <v>153</v>
      </c>
      <c r="J123" s="63" t="s">
        <v>110</v>
      </c>
      <c r="K123" s="57"/>
      <c r="L123" s="129"/>
      <c r="M123" s="129"/>
    </row>
    <row r="124" spans="1:13" s="37" customFormat="1" ht="14.45" customHeight="1" x14ac:dyDescent="0.2">
      <c r="A124" s="62" t="s">
        <v>173</v>
      </c>
      <c r="B124" s="62" t="s">
        <v>49</v>
      </c>
      <c r="C124" s="62" t="s">
        <v>143</v>
      </c>
      <c r="D124" s="187" t="s">
        <v>179</v>
      </c>
      <c r="E124" s="188"/>
      <c r="F124" s="189"/>
      <c r="G124" s="63">
        <v>175</v>
      </c>
      <c r="H124" s="62" t="s">
        <v>49</v>
      </c>
      <c r="I124" s="63" t="s">
        <v>153</v>
      </c>
      <c r="J124" s="63" t="s">
        <v>110</v>
      </c>
      <c r="K124" s="57"/>
      <c r="L124" s="129"/>
      <c r="M124" s="129"/>
    </row>
    <row r="125" spans="1:13" s="37" customFormat="1" ht="14.45" customHeight="1" x14ac:dyDescent="0.2">
      <c r="A125" s="62" t="s">
        <v>142</v>
      </c>
      <c r="B125" s="62" t="s">
        <v>49</v>
      </c>
      <c r="C125" s="62" t="s">
        <v>147</v>
      </c>
      <c r="D125" s="187" t="s">
        <v>180</v>
      </c>
      <c r="E125" s="188"/>
      <c r="F125" s="189"/>
      <c r="G125" s="63">
        <v>40</v>
      </c>
      <c r="H125" s="62" t="s">
        <v>181</v>
      </c>
      <c r="I125" s="63" t="s">
        <v>153</v>
      </c>
      <c r="J125" s="63" t="s">
        <v>110</v>
      </c>
      <c r="K125" s="57"/>
      <c r="L125" s="129"/>
      <c r="M125" s="129"/>
    </row>
    <row r="126" spans="1:13" s="37" customFormat="1" ht="14.45" hidden="1" customHeight="1" x14ac:dyDescent="0.2">
      <c r="A126" s="62" t="s">
        <v>173</v>
      </c>
      <c r="B126" s="62" t="s">
        <v>146</v>
      </c>
      <c r="C126" s="62" t="s">
        <v>147</v>
      </c>
      <c r="D126" s="187" t="s">
        <v>182</v>
      </c>
      <c r="E126" s="188"/>
      <c r="F126" s="189"/>
      <c r="G126" s="63">
        <v>7.5</v>
      </c>
      <c r="H126" s="62" t="s">
        <v>152</v>
      </c>
      <c r="I126" s="63">
        <v>75</v>
      </c>
      <c r="J126" s="63" t="s">
        <v>110</v>
      </c>
      <c r="K126" s="57"/>
      <c r="L126" s="129"/>
      <c r="M126" s="129"/>
    </row>
    <row r="127" spans="1:13" s="37" customFormat="1" ht="14.45" hidden="1" customHeight="1" x14ac:dyDescent="0.2">
      <c r="A127" s="62" t="s">
        <v>142</v>
      </c>
      <c r="B127" s="62" t="s">
        <v>146</v>
      </c>
      <c r="C127" s="62" t="s">
        <v>147</v>
      </c>
      <c r="D127" s="187" t="s">
        <v>183</v>
      </c>
      <c r="E127" s="188"/>
      <c r="F127" s="189"/>
      <c r="G127" s="63">
        <v>20</v>
      </c>
      <c r="H127" s="62" t="s">
        <v>184</v>
      </c>
      <c r="I127" s="63" t="s">
        <v>153</v>
      </c>
      <c r="J127" s="63" t="s">
        <v>110</v>
      </c>
      <c r="K127" s="57"/>
      <c r="L127" s="129"/>
      <c r="M127" s="129"/>
    </row>
    <row r="128" spans="1:13" s="37" customFormat="1" ht="14.45" hidden="1" customHeight="1" x14ac:dyDescent="0.2">
      <c r="A128" s="62" t="s">
        <v>142</v>
      </c>
      <c r="B128" s="62" t="s">
        <v>146</v>
      </c>
      <c r="C128" s="62" t="s">
        <v>147</v>
      </c>
      <c r="D128" s="187" t="s">
        <v>185</v>
      </c>
      <c r="E128" s="188"/>
      <c r="F128" s="189"/>
      <c r="G128" s="63">
        <v>25</v>
      </c>
      <c r="H128" s="62" t="s">
        <v>184</v>
      </c>
      <c r="I128" s="63" t="s">
        <v>153</v>
      </c>
      <c r="J128" s="63" t="s">
        <v>110</v>
      </c>
      <c r="K128" s="57"/>
      <c r="L128" s="129"/>
      <c r="M128" s="129"/>
    </row>
    <row r="129" spans="1:29" s="37" customFormat="1" ht="14.45" customHeight="1" x14ac:dyDescent="0.2">
      <c r="A129" s="62" t="s">
        <v>142</v>
      </c>
      <c r="B129" s="62" t="s">
        <v>142</v>
      </c>
      <c r="C129" s="62" t="s">
        <v>147</v>
      </c>
      <c r="D129" s="187" t="s">
        <v>186</v>
      </c>
      <c r="E129" s="188"/>
      <c r="F129" s="189"/>
      <c r="G129" s="68">
        <v>75</v>
      </c>
      <c r="H129" s="62" t="s">
        <v>181</v>
      </c>
      <c r="I129" s="63" t="s">
        <v>153</v>
      </c>
      <c r="J129" s="63" t="s">
        <v>110</v>
      </c>
      <c r="K129" s="57"/>
      <c r="L129" s="129"/>
      <c r="M129" s="129"/>
    </row>
    <row r="130" spans="1:29" s="37" customFormat="1" ht="14.45" customHeight="1" x14ac:dyDescent="0.2">
      <c r="A130" s="62" t="s">
        <v>142</v>
      </c>
      <c r="B130" s="62" t="s">
        <v>142</v>
      </c>
      <c r="C130" s="62" t="s">
        <v>147</v>
      </c>
      <c r="D130" s="187" t="s">
        <v>187</v>
      </c>
      <c r="E130" s="188"/>
      <c r="F130" s="189"/>
      <c r="G130" s="63">
        <v>35</v>
      </c>
      <c r="H130" s="62" t="s">
        <v>181</v>
      </c>
      <c r="I130" s="63" t="s">
        <v>153</v>
      </c>
      <c r="J130" s="63" t="s">
        <v>110</v>
      </c>
      <c r="K130" s="57"/>
      <c r="L130" s="129"/>
      <c r="M130" s="129"/>
    </row>
    <row r="131" spans="1:29" s="37" customFormat="1" ht="14.45" hidden="1" customHeight="1" x14ac:dyDescent="0.2">
      <c r="A131" s="62" t="s">
        <v>142</v>
      </c>
      <c r="B131" s="62" t="s">
        <v>146</v>
      </c>
      <c r="C131" s="62" t="s">
        <v>143</v>
      </c>
      <c r="D131" s="187" t="s">
        <v>188</v>
      </c>
      <c r="E131" s="188"/>
      <c r="F131" s="189"/>
      <c r="G131" s="63">
        <v>100</v>
      </c>
      <c r="H131" s="62" t="s">
        <v>181</v>
      </c>
      <c r="I131" s="63" t="s">
        <v>153</v>
      </c>
      <c r="J131" s="63" t="s">
        <v>110</v>
      </c>
      <c r="K131" s="57"/>
      <c r="L131" s="129"/>
      <c r="M131" s="129"/>
    </row>
    <row r="132" spans="1:29" s="37" customFormat="1" ht="14.45" hidden="1" customHeight="1" x14ac:dyDescent="0.2">
      <c r="A132" s="62" t="s">
        <v>142</v>
      </c>
      <c r="B132" s="62" t="s">
        <v>146</v>
      </c>
      <c r="C132" s="62" t="s">
        <v>143</v>
      </c>
      <c r="D132" s="187" t="s">
        <v>189</v>
      </c>
      <c r="E132" s="188"/>
      <c r="F132" s="189"/>
      <c r="G132" s="63">
        <v>100</v>
      </c>
      <c r="H132" s="62" t="s">
        <v>190</v>
      </c>
      <c r="I132" s="63" t="s">
        <v>153</v>
      </c>
      <c r="J132" s="63" t="s">
        <v>110</v>
      </c>
      <c r="K132" s="57"/>
      <c r="O132" s="38"/>
      <c r="P132" s="38"/>
    </row>
    <row r="133" spans="1:29" s="37" customFormat="1" ht="14.45" hidden="1" customHeight="1" x14ac:dyDescent="0.2">
      <c r="A133" s="62" t="s">
        <v>142</v>
      </c>
      <c r="B133" s="62" t="s">
        <v>146</v>
      </c>
      <c r="C133" s="62" t="s">
        <v>143</v>
      </c>
      <c r="D133" s="187" t="s">
        <v>191</v>
      </c>
      <c r="E133" s="188"/>
      <c r="F133" s="189"/>
      <c r="G133" s="63">
        <v>100</v>
      </c>
      <c r="H133" s="62" t="s">
        <v>181</v>
      </c>
      <c r="I133" s="63" t="s">
        <v>153</v>
      </c>
      <c r="J133" s="63" t="s">
        <v>110</v>
      </c>
      <c r="K133" s="57"/>
      <c r="O133" s="39"/>
      <c r="P133" s="39"/>
    </row>
    <row r="134" spans="1:29" s="37" customFormat="1" ht="14.45" hidden="1" customHeight="1" x14ac:dyDescent="0.2">
      <c r="A134" s="62" t="s">
        <v>173</v>
      </c>
      <c r="B134" s="62" t="s">
        <v>146</v>
      </c>
      <c r="C134" s="62" t="s">
        <v>143</v>
      </c>
      <c r="D134" s="187" t="s">
        <v>189</v>
      </c>
      <c r="E134" s="188"/>
      <c r="F134" s="189"/>
      <c r="G134" s="63">
        <v>50</v>
      </c>
      <c r="H134" s="62" t="s">
        <v>192</v>
      </c>
      <c r="I134" s="63" t="s">
        <v>153</v>
      </c>
      <c r="J134" s="63" t="s">
        <v>110</v>
      </c>
      <c r="K134" s="57"/>
      <c r="O134" s="39"/>
      <c r="P134" s="39"/>
    </row>
    <row r="135" spans="1:29" s="37" customFormat="1" ht="14.45" hidden="1" customHeight="1" x14ac:dyDescent="0.2">
      <c r="A135" s="62" t="s">
        <v>173</v>
      </c>
      <c r="B135" s="62" t="s">
        <v>146</v>
      </c>
      <c r="C135" s="62" t="s">
        <v>143</v>
      </c>
      <c r="D135" s="187" t="s">
        <v>191</v>
      </c>
      <c r="E135" s="188"/>
      <c r="F135" s="189"/>
      <c r="G135" s="63">
        <v>50</v>
      </c>
      <c r="H135" s="62" t="s">
        <v>181</v>
      </c>
      <c r="I135" s="63" t="s">
        <v>153</v>
      </c>
      <c r="J135" s="63" t="s">
        <v>110</v>
      </c>
      <c r="K135" s="57"/>
      <c r="O135" s="38"/>
      <c r="P135" s="38"/>
    </row>
    <row r="136" spans="1:29" s="37" customFormat="1" ht="14.45" hidden="1" customHeight="1" x14ac:dyDescent="0.25">
      <c r="A136" s="62" t="s">
        <v>142</v>
      </c>
      <c r="B136" s="62" t="s">
        <v>146</v>
      </c>
      <c r="C136" s="62" t="s">
        <v>143</v>
      </c>
      <c r="D136" s="187" t="s">
        <v>193</v>
      </c>
      <c r="E136" s="188"/>
      <c r="F136" s="189"/>
      <c r="G136" s="63">
        <v>85</v>
      </c>
      <c r="H136" s="62" t="s">
        <v>194</v>
      </c>
      <c r="I136" s="63" t="s">
        <v>153</v>
      </c>
      <c r="J136" s="63" t="s">
        <v>110</v>
      </c>
      <c r="K136" s="57"/>
      <c r="O136" s="36"/>
      <c r="P136" s="36"/>
    </row>
    <row r="137" spans="1:29" s="37" customFormat="1" ht="14.45" hidden="1" customHeight="1" x14ac:dyDescent="0.25">
      <c r="A137" s="62" t="s">
        <v>173</v>
      </c>
      <c r="B137" s="62" t="s">
        <v>146</v>
      </c>
      <c r="C137" s="62" t="s">
        <v>195</v>
      </c>
      <c r="D137" s="187" t="s">
        <v>196</v>
      </c>
      <c r="E137" s="188"/>
      <c r="F137" s="189"/>
      <c r="G137" s="63">
        <v>0.1</v>
      </c>
      <c r="H137" s="62" t="s">
        <v>197</v>
      </c>
      <c r="I137" s="63">
        <v>150</v>
      </c>
      <c r="J137" s="63" t="s">
        <v>110</v>
      </c>
      <c r="K137" s="57"/>
      <c r="O137" s="36"/>
      <c r="P137" s="36"/>
    </row>
    <row r="138" spans="1:29" s="37" customFormat="1" ht="14.45" customHeight="1" x14ac:dyDescent="0.25">
      <c r="A138" s="62" t="s">
        <v>142</v>
      </c>
      <c r="B138" s="62" t="s">
        <v>49</v>
      </c>
      <c r="C138" s="62" t="s">
        <v>198</v>
      </c>
      <c r="D138" s="187" t="s">
        <v>199</v>
      </c>
      <c r="E138" s="188"/>
      <c r="F138" s="189"/>
      <c r="G138" s="63">
        <v>35</v>
      </c>
      <c r="H138" s="62" t="s">
        <v>181</v>
      </c>
      <c r="I138" s="63" t="s">
        <v>153</v>
      </c>
      <c r="J138" s="63" t="s">
        <v>110</v>
      </c>
      <c r="K138" s="57"/>
      <c r="O138" s="36"/>
      <c r="P138" s="36"/>
    </row>
    <row r="139" spans="1:29" s="37" customFormat="1" ht="14.45" hidden="1" customHeight="1" x14ac:dyDescent="0.25">
      <c r="A139" s="62" t="s">
        <v>142</v>
      </c>
      <c r="B139" s="62" t="s">
        <v>146</v>
      </c>
      <c r="C139" s="62" t="s">
        <v>198</v>
      </c>
      <c r="D139" s="187" t="s">
        <v>200</v>
      </c>
      <c r="E139" s="188"/>
      <c r="F139" s="189"/>
      <c r="G139" s="63">
        <v>7</v>
      </c>
      <c r="H139" s="62" t="s">
        <v>152</v>
      </c>
      <c r="I139" s="63">
        <v>7</v>
      </c>
      <c r="J139" s="63" t="s">
        <v>110</v>
      </c>
      <c r="K139" s="57"/>
      <c r="O139" s="36"/>
      <c r="P139" s="36"/>
    </row>
    <row r="140" spans="1:29" s="37" customFormat="1" ht="14.1" customHeight="1" x14ac:dyDescent="0.25">
      <c r="A140" s="62" t="s">
        <v>142</v>
      </c>
      <c r="B140" s="62" t="s">
        <v>142</v>
      </c>
      <c r="C140" s="62" t="s">
        <v>201</v>
      </c>
      <c r="D140" s="187" t="s">
        <v>202</v>
      </c>
      <c r="E140" s="188"/>
      <c r="F140" s="189"/>
      <c r="G140" s="63">
        <v>40</v>
      </c>
      <c r="H140" s="62" t="s">
        <v>203</v>
      </c>
      <c r="I140" s="63" t="s">
        <v>153</v>
      </c>
      <c r="J140" s="63" t="s">
        <v>110</v>
      </c>
      <c r="K140" s="57"/>
      <c r="O140" s="36"/>
      <c r="P140" s="36"/>
    </row>
    <row r="141" spans="1:29" s="37" customFormat="1" ht="14.1" customHeight="1" x14ac:dyDescent="0.25">
      <c r="A141" s="62" t="s">
        <v>142</v>
      </c>
      <c r="B141" s="62" t="s">
        <v>49</v>
      </c>
      <c r="C141" s="62" t="s">
        <v>143</v>
      </c>
      <c r="D141" s="187" t="s">
        <v>204</v>
      </c>
      <c r="E141" s="188"/>
      <c r="F141" s="189"/>
      <c r="G141" s="63">
        <v>50</v>
      </c>
      <c r="H141" s="62" t="s">
        <v>49</v>
      </c>
      <c r="I141" s="63" t="s">
        <v>153</v>
      </c>
      <c r="J141" s="63" t="s">
        <v>110</v>
      </c>
      <c r="K141" s="57"/>
      <c r="L141" s="38"/>
      <c r="M141" s="38"/>
      <c r="N141" s="38"/>
      <c r="O141" s="36"/>
      <c r="P141" s="36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 spans="1:29" s="39" customFormat="1" ht="14.1" customHeight="1" x14ac:dyDescent="0.25">
      <c r="A142" s="62" t="s">
        <v>142</v>
      </c>
      <c r="B142" s="62" t="s">
        <v>49</v>
      </c>
      <c r="C142" s="62" t="s">
        <v>143</v>
      </c>
      <c r="D142" s="187" t="s">
        <v>205</v>
      </c>
      <c r="E142" s="188"/>
      <c r="F142" s="189"/>
      <c r="G142" s="63">
        <v>200</v>
      </c>
      <c r="H142" s="62" t="s">
        <v>206</v>
      </c>
      <c r="I142" s="63" t="s">
        <v>153</v>
      </c>
      <c r="J142" s="63" t="s">
        <v>110</v>
      </c>
      <c r="K142" s="57"/>
      <c r="O142" s="36"/>
      <c r="P142" s="36"/>
    </row>
    <row r="143" spans="1:29" s="39" customFormat="1" ht="14.1" customHeight="1" x14ac:dyDescent="0.25">
      <c r="A143" s="62" t="s">
        <v>142</v>
      </c>
      <c r="B143" s="62" t="s">
        <v>49</v>
      </c>
      <c r="C143" s="62" t="s">
        <v>143</v>
      </c>
      <c r="D143" s="187" t="s">
        <v>207</v>
      </c>
      <c r="E143" s="188"/>
      <c r="F143" s="189"/>
      <c r="G143" s="63">
        <v>250</v>
      </c>
      <c r="H143" s="62" t="s">
        <v>208</v>
      </c>
      <c r="I143" s="63">
        <v>100</v>
      </c>
      <c r="J143" s="63" t="s">
        <v>110</v>
      </c>
      <c r="K143" s="57"/>
      <c r="L143" s="38"/>
      <c r="M143" s="38"/>
      <c r="N143" s="38"/>
      <c r="O143" s="36"/>
      <c r="P143" s="36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 spans="1:29" s="38" customFormat="1" ht="14.1" customHeight="1" x14ac:dyDescent="0.25">
      <c r="A144" s="62" t="s">
        <v>142</v>
      </c>
      <c r="B144" s="62" t="s">
        <v>49</v>
      </c>
      <c r="C144" s="62" t="s">
        <v>201</v>
      </c>
      <c r="D144" s="187" t="s">
        <v>209</v>
      </c>
      <c r="E144" s="188"/>
      <c r="F144" s="189"/>
      <c r="G144" s="63" t="s">
        <v>210</v>
      </c>
      <c r="H144" s="62"/>
      <c r="I144" s="63" t="s">
        <v>153</v>
      </c>
      <c r="J144" s="63" t="s">
        <v>110</v>
      </c>
      <c r="K144" s="57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:11" s="36" customFormat="1" x14ac:dyDescent="0.25">
      <c r="A145" s="62" t="s">
        <v>142</v>
      </c>
      <c r="B145" s="62" t="s">
        <v>49</v>
      </c>
      <c r="C145" s="62" t="s">
        <v>201</v>
      </c>
      <c r="D145" s="187" t="s">
        <v>211</v>
      </c>
      <c r="E145" s="188"/>
      <c r="F145" s="189"/>
      <c r="G145" s="63" t="s">
        <v>212</v>
      </c>
      <c r="H145" s="62"/>
      <c r="I145" s="63" t="s">
        <v>153</v>
      </c>
      <c r="J145" s="63" t="s">
        <v>110</v>
      </c>
      <c r="K145" s="72"/>
    </row>
    <row r="146" spans="1:11" s="36" customFormat="1" x14ac:dyDescent="0.25">
      <c r="A146" s="62" t="s">
        <v>213</v>
      </c>
      <c r="B146" s="62" t="s">
        <v>49</v>
      </c>
      <c r="C146" s="62" t="s">
        <v>214</v>
      </c>
      <c r="D146" s="187" t="s">
        <v>215</v>
      </c>
      <c r="E146" s="188"/>
      <c r="F146" s="189"/>
      <c r="G146" s="63">
        <v>100</v>
      </c>
      <c r="H146" s="62" t="s">
        <v>49</v>
      </c>
      <c r="I146" s="63">
        <v>100</v>
      </c>
      <c r="J146" s="63" t="s">
        <v>110</v>
      </c>
      <c r="K146" s="72"/>
    </row>
    <row r="147" spans="1:11" s="36" customFormat="1" x14ac:dyDescent="0.25">
      <c r="A147" s="62" t="s">
        <v>213</v>
      </c>
      <c r="B147" s="62" t="s">
        <v>216</v>
      </c>
      <c r="C147" s="62" t="s">
        <v>147</v>
      </c>
      <c r="D147" s="187" t="s">
        <v>217</v>
      </c>
      <c r="E147" s="188"/>
      <c r="F147" s="189"/>
      <c r="G147" s="63">
        <v>50</v>
      </c>
      <c r="H147" s="62"/>
      <c r="I147" s="63">
        <v>50</v>
      </c>
      <c r="J147" s="63" t="s">
        <v>110</v>
      </c>
      <c r="K147" s="72"/>
    </row>
    <row r="148" spans="1:11" s="36" customFormat="1" x14ac:dyDescent="0.25">
      <c r="A148" s="62" t="s">
        <v>150</v>
      </c>
      <c r="B148" s="62" t="s">
        <v>49</v>
      </c>
      <c r="C148" s="62" t="s">
        <v>218</v>
      </c>
      <c r="D148" s="187" t="s">
        <v>219</v>
      </c>
      <c r="E148" s="188"/>
      <c r="F148" s="189"/>
      <c r="G148" s="69" t="s">
        <v>220</v>
      </c>
      <c r="H148" s="67" t="s">
        <v>49</v>
      </c>
      <c r="I148" s="69" t="s">
        <v>153</v>
      </c>
      <c r="J148" s="63" t="s">
        <v>110</v>
      </c>
      <c r="K148" s="72"/>
    </row>
    <row r="149" spans="1:11" s="36" customFormat="1" x14ac:dyDescent="0.25">
      <c r="A149" s="62" t="s">
        <v>221</v>
      </c>
      <c r="B149" s="62" t="s">
        <v>49</v>
      </c>
      <c r="C149" s="62" t="s">
        <v>201</v>
      </c>
      <c r="D149" s="187" t="s">
        <v>222</v>
      </c>
      <c r="E149" s="188"/>
      <c r="F149" s="189"/>
      <c r="G149" s="69" t="s">
        <v>220</v>
      </c>
      <c r="H149" s="67" t="s">
        <v>49</v>
      </c>
      <c r="I149" s="69" t="s">
        <v>153</v>
      </c>
      <c r="J149" s="63" t="s">
        <v>110</v>
      </c>
      <c r="K149" s="72"/>
    </row>
    <row r="150" spans="1:11" s="36" customFormat="1" x14ac:dyDescent="0.25">
      <c r="A150" s="62" t="s">
        <v>142</v>
      </c>
      <c r="B150" s="62" t="s">
        <v>49</v>
      </c>
      <c r="C150" s="62" t="s">
        <v>223</v>
      </c>
      <c r="D150" s="187" t="s">
        <v>224</v>
      </c>
      <c r="E150" s="188"/>
      <c r="F150" s="189"/>
      <c r="G150" s="63" t="s">
        <v>225</v>
      </c>
      <c r="H150" s="62"/>
      <c r="I150" s="63" t="s">
        <v>153</v>
      </c>
      <c r="J150" s="63" t="s">
        <v>110</v>
      </c>
      <c r="K150" s="72"/>
    </row>
    <row r="151" spans="1:11" s="36" customFormat="1" x14ac:dyDescent="0.25">
      <c r="A151" s="62" t="s">
        <v>142</v>
      </c>
      <c r="B151" s="62" t="s">
        <v>49</v>
      </c>
      <c r="C151" s="62" t="s">
        <v>226</v>
      </c>
      <c r="D151" s="187" t="s">
        <v>227</v>
      </c>
      <c r="E151" s="188"/>
      <c r="F151" s="189"/>
      <c r="G151" s="66">
        <v>150</v>
      </c>
      <c r="H151" s="62" t="s">
        <v>49</v>
      </c>
      <c r="I151" s="66">
        <v>150</v>
      </c>
      <c r="J151" s="63" t="s">
        <v>110</v>
      </c>
      <c r="K151" s="72"/>
    </row>
    <row r="152" spans="1:11" s="36" customFormat="1" x14ac:dyDescent="0.25">
      <c r="A152" s="62" t="s">
        <v>142</v>
      </c>
      <c r="B152" s="62" t="s">
        <v>49</v>
      </c>
      <c r="C152" s="62" t="s">
        <v>228</v>
      </c>
      <c r="D152" s="187" t="s">
        <v>229</v>
      </c>
      <c r="E152" s="188"/>
      <c r="F152" s="189"/>
      <c r="G152" s="66">
        <v>25</v>
      </c>
      <c r="H152" s="62" t="s">
        <v>230</v>
      </c>
      <c r="I152" s="66">
        <v>25</v>
      </c>
      <c r="J152" s="63" t="s">
        <v>110</v>
      </c>
      <c r="K152" s="72"/>
    </row>
    <row r="153" spans="1:11" s="36" customFormat="1" hidden="1" x14ac:dyDescent="0.25">
      <c r="A153" s="62" t="s">
        <v>142</v>
      </c>
      <c r="B153" s="62" t="s">
        <v>146</v>
      </c>
      <c r="C153" s="62" t="s">
        <v>198</v>
      </c>
      <c r="D153" s="187" t="s">
        <v>231</v>
      </c>
      <c r="E153" s="188"/>
      <c r="F153" s="189"/>
      <c r="G153" s="66" t="s">
        <v>232</v>
      </c>
      <c r="H153" s="62" t="s">
        <v>149</v>
      </c>
      <c r="I153" s="66" t="s">
        <v>153</v>
      </c>
      <c r="J153" s="63" t="s">
        <v>110</v>
      </c>
      <c r="K153" s="72"/>
    </row>
    <row r="154" spans="1:11" s="36" customFormat="1" hidden="1" x14ac:dyDescent="0.25">
      <c r="A154" s="62" t="s">
        <v>173</v>
      </c>
      <c r="B154" s="62" t="s">
        <v>146</v>
      </c>
      <c r="C154" s="62" t="s">
        <v>233</v>
      </c>
      <c r="D154" s="187" t="s">
        <v>234</v>
      </c>
      <c r="E154" s="188"/>
      <c r="F154" s="189"/>
      <c r="G154" s="66">
        <v>0.5</v>
      </c>
      <c r="H154" s="62" t="s">
        <v>235</v>
      </c>
      <c r="I154" s="66">
        <v>50</v>
      </c>
      <c r="J154" s="63" t="s">
        <v>110</v>
      </c>
      <c r="K154" s="72"/>
    </row>
    <row r="155" spans="1:11" s="36" customFormat="1" hidden="1" x14ac:dyDescent="0.25">
      <c r="A155" s="62" t="s">
        <v>173</v>
      </c>
      <c r="B155" s="62" t="s">
        <v>146</v>
      </c>
      <c r="C155" s="62" t="s">
        <v>201</v>
      </c>
      <c r="D155" s="187" t="s">
        <v>237</v>
      </c>
      <c r="E155" s="188"/>
      <c r="F155" s="189"/>
      <c r="G155" s="66" t="s">
        <v>238</v>
      </c>
      <c r="H155" s="62" t="s">
        <v>235</v>
      </c>
      <c r="I155" s="66">
        <v>50</v>
      </c>
      <c r="J155" s="63" t="s">
        <v>110</v>
      </c>
      <c r="K155" s="72"/>
    </row>
    <row r="156" spans="1:11" s="36" customFormat="1" x14ac:dyDescent="0.25">
      <c r="A156" s="62" t="s">
        <v>239</v>
      </c>
      <c r="B156" s="62" t="s">
        <v>49</v>
      </c>
      <c r="C156" s="62" t="s">
        <v>143</v>
      </c>
      <c r="D156" s="187" t="s">
        <v>240</v>
      </c>
      <c r="E156" s="188"/>
      <c r="F156" s="189"/>
      <c r="G156" s="69" t="s">
        <v>220</v>
      </c>
      <c r="H156" s="67" t="s">
        <v>49</v>
      </c>
      <c r="I156" s="69" t="s">
        <v>153</v>
      </c>
      <c r="J156" s="63" t="s">
        <v>110</v>
      </c>
      <c r="K156" s="72"/>
    </row>
    <row r="157" spans="1:11" s="36" customFormat="1" x14ac:dyDescent="0.25">
      <c r="A157" s="62" t="s">
        <v>142</v>
      </c>
      <c r="B157" s="62" t="s">
        <v>142</v>
      </c>
      <c r="C157" s="62" t="s">
        <v>147</v>
      </c>
      <c r="D157" s="187" t="s">
        <v>241</v>
      </c>
      <c r="E157" s="188"/>
      <c r="F157" s="189"/>
      <c r="G157" s="66" t="s">
        <v>242</v>
      </c>
      <c r="H157" s="62"/>
      <c r="I157" s="66">
        <v>15</v>
      </c>
      <c r="J157" s="63" t="s">
        <v>110</v>
      </c>
      <c r="K157" s="72"/>
    </row>
    <row r="158" spans="1:11" s="36" customFormat="1" x14ac:dyDescent="0.25">
      <c r="A158" s="62" t="s">
        <v>243</v>
      </c>
      <c r="B158" s="62" t="s">
        <v>49</v>
      </c>
      <c r="C158" s="62" t="s">
        <v>143</v>
      </c>
      <c r="D158" s="187" t="s">
        <v>244</v>
      </c>
      <c r="E158" s="188"/>
      <c r="F158" s="189"/>
      <c r="G158" s="66">
        <v>200</v>
      </c>
      <c r="H158" s="62" t="s">
        <v>49</v>
      </c>
      <c r="I158" s="63">
        <v>200</v>
      </c>
      <c r="J158" s="63" t="s">
        <v>110</v>
      </c>
      <c r="K158" s="72"/>
    </row>
    <row r="159" spans="1:11" s="36" customFormat="1" x14ac:dyDescent="0.25">
      <c r="A159" s="62" t="s">
        <v>245</v>
      </c>
      <c r="B159" s="62" t="s">
        <v>49</v>
      </c>
      <c r="C159" s="62" t="s">
        <v>143</v>
      </c>
      <c r="D159" s="187" t="s">
        <v>246</v>
      </c>
      <c r="E159" s="188"/>
      <c r="F159" s="189"/>
      <c r="G159" s="66">
        <v>250</v>
      </c>
      <c r="H159" s="62" t="s">
        <v>49</v>
      </c>
      <c r="I159" s="63">
        <v>100</v>
      </c>
      <c r="J159" s="63" t="s">
        <v>110</v>
      </c>
      <c r="K159" s="72"/>
    </row>
    <row r="160" spans="1:11" s="36" customFormat="1" x14ac:dyDescent="0.25">
      <c r="A160" s="62" t="s">
        <v>247</v>
      </c>
      <c r="B160" s="62" t="s">
        <v>49</v>
      </c>
      <c r="C160" s="62" t="s">
        <v>143</v>
      </c>
      <c r="D160" s="187" t="s">
        <v>248</v>
      </c>
      <c r="E160" s="188"/>
      <c r="F160" s="189"/>
      <c r="G160" s="63">
        <v>250</v>
      </c>
      <c r="H160" s="62" t="s">
        <v>49</v>
      </c>
      <c r="I160" s="63">
        <v>200</v>
      </c>
      <c r="J160" s="63" t="s">
        <v>110</v>
      </c>
      <c r="K160" s="72"/>
    </row>
    <row r="161" spans="1:11" s="36" customFormat="1" x14ac:dyDescent="0.25">
      <c r="A161" s="62" t="s">
        <v>142</v>
      </c>
      <c r="B161" s="62" t="s">
        <v>49</v>
      </c>
      <c r="C161" s="62" t="s">
        <v>143</v>
      </c>
      <c r="D161" s="187" t="s">
        <v>249</v>
      </c>
      <c r="E161" s="188"/>
      <c r="F161" s="189"/>
      <c r="G161" s="63"/>
      <c r="H161" s="62" t="s">
        <v>49</v>
      </c>
      <c r="I161" s="63" t="s">
        <v>153</v>
      </c>
      <c r="J161" s="63" t="s">
        <v>110</v>
      </c>
      <c r="K161" s="72"/>
    </row>
    <row r="162" spans="1:11" s="36" customFormat="1" x14ac:dyDescent="0.25">
      <c r="A162" s="62" t="s">
        <v>250</v>
      </c>
      <c r="B162" s="62" t="s">
        <v>49</v>
      </c>
      <c r="C162" s="62" t="s">
        <v>143</v>
      </c>
      <c r="D162" s="187" t="s">
        <v>251</v>
      </c>
      <c r="E162" s="188"/>
      <c r="F162" s="189"/>
      <c r="G162" s="66">
        <v>350</v>
      </c>
      <c r="H162" s="62" t="s">
        <v>49</v>
      </c>
      <c r="I162" s="63">
        <v>350</v>
      </c>
      <c r="J162" s="63" t="s">
        <v>110</v>
      </c>
      <c r="K162" s="72"/>
    </row>
    <row r="163" spans="1:11" s="36" customFormat="1" x14ac:dyDescent="0.25">
      <c r="A163" s="118"/>
      <c r="B163" s="118"/>
      <c r="C163" s="118"/>
      <c r="D163" s="119"/>
      <c r="E163" s="119"/>
      <c r="F163" s="119"/>
      <c r="G163" s="120"/>
      <c r="H163" s="118"/>
      <c r="I163" s="121"/>
      <c r="J163" s="121"/>
      <c r="K163" s="72"/>
    </row>
    <row r="164" spans="1:11" s="36" customFormat="1" x14ac:dyDescent="0.25">
      <c r="A164" s="180" t="s">
        <v>72</v>
      </c>
      <c r="B164" s="180"/>
      <c r="C164" s="180"/>
      <c r="D164" s="180"/>
      <c r="E164" s="180"/>
      <c r="F164" s="180"/>
      <c r="G164" s="180"/>
      <c r="H164" s="180"/>
      <c r="I164" s="180"/>
      <c r="J164" s="180"/>
      <c r="K164" s="72"/>
    </row>
    <row r="165" spans="1:11" s="36" customFormat="1" x14ac:dyDescent="0.25">
      <c r="A165" s="186" t="s">
        <v>67</v>
      </c>
      <c r="B165" s="186"/>
      <c r="C165" s="186"/>
      <c r="D165" s="186"/>
      <c r="E165" s="186" t="s">
        <v>68</v>
      </c>
      <c r="F165" s="186"/>
      <c r="G165" s="186"/>
      <c r="H165" s="186"/>
      <c r="I165" s="186"/>
      <c r="J165" s="186"/>
      <c r="K165" s="72"/>
    </row>
    <row r="166" spans="1:11" s="36" customFormat="1" x14ac:dyDescent="0.25">
      <c r="A166" s="185" t="s">
        <v>73</v>
      </c>
      <c r="B166" s="185"/>
      <c r="C166" s="185"/>
      <c r="D166" s="185"/>
      <c r="E166" s="185" t="s">
        <v>254</v>
      </c>
      <c r="F166" s="185"/>
      <c r="G166" s="185"/>
      <c r="H166" s="185"/>
      <c r="I166" s="185"/>
      <c r="J166" s="185"/>
      <c r="K166" s="72"/>
    </row>
    <row r="167" spans="1:11" s="36" customFormat="1" ht="15" customHeight="1" x14ac:dyDescent="0.25">
      <c r="A167" s="185" t="s">
        <v>252</v>
      </c>
      <c r="B167" s="185"/>
      <c r="C167" s="185"/>
      <c r="D167" s="185"/>
      <c r="E167" s="185" t="s">
        <v>253</v>
      </c>
      <c r="F167" s="185"/>
      <c r="G167" s="185"/>
      <c r="H167" s="185"/>
      <c r="I167" s="185"/>
      <c r="J167" s="185"/>
      <c r="K167" s="72"/>
    </row>
    <row r="168" spans="1:11" s="36" customFormat="1" ht="15" customHeight="1" x14ac:dyDescent="0.25">
      <c r="A168" s="185" t="s">
        <v>74</v>
      </c>
      <c r="B168" s="185"/>
      <c r="C168" s="185"/>
      <c r="D168" s="185"/>
      <c r="E168" s="185" t="s">
        <v>75</v>
      </c>
      <c r="F168" s="185"/>
      <c r="G168" s="185"/>
      <c r="H168" s="185"/>
      <c r="I168" s="185"/>
      <c r="J168" s="185"/>
      <c r="K168" s="72"/>
    </row>
    <row r="169" spans="1:11" s="36" customFormat="1" x14ac:dyDescent="0.25">
      <c r="A169" s="185" t="s">
        <v>76</v>
      </c>
      <c r="B169" s="185"/>
      <c r="C169" s="185"/>
      <c r="D169" s="185"/>
      <c r="E169" s="185" t="s">
        <v>77</v>
      </c>
      <c r="F169" s="185"/>
      <c r="G169" s="185"/>
      <c r="H169" s="185"/>
      <c r="I169" s="185"/>
      <c r="J169" s="185"/>
      <c r="K169" s="72"/>
    </row>
    <row r="170" spans="1:11" s="36" customFormat="1" ht="15" customHeight="1" x14ac:dyDescent="0.25">
      <c r="A170" s="185" t="s">
        <v>78</v>
      </c>
      <c r="B170" s="185"/>
      <c r="C170" s="185"/>
      <c r="D170" s="185"/>
      <c r="E170" s="185" t="s">
        <v>79</v>
      </c>
      <c r="F170" s="185"/>
      <c r="G170" s="185"/>
      <c r="H170" s="185"/>
      <c r="I170" s="185"/>
      <c r="J170" s="185"/>
      <c r="K170" s="72"/>
    </row>
    <row r="171" spans="1:11" s="36" customFormat="1" ht="15" customHeight="1" x14ac:dyDescent="0.25">
      <c r="A171" s="180" t="s">
        <v>89</v>
      </c>
      <c r="B171" s="180"/>
      <c r="C171" s="180"/>
      <c r="D171" s="180"/>
      <c r="E171" s="180"/>
      <c r="F171" s="180"/>
      <c r="G171" s="180"/>
      <c r="H171" s="180"/>
      <c r="I171" s="180"/>
      <c r="J171" s="180"/>
      <c r="K171" s="72"/>
    </row>
    <row r="172" spans="1:11" s="36" customFormat="1" x14ac:dyDescent="0.25">
      <c r="A172" s="181" t="s">
        <v>80</v>
      </c>
      <c r="B172" s="181"/>
      <c r="C172" s="181"/>
      <c r="D172" s="181"/>
      <c r="E172" s="181"/>
      <c r="F172" s="181"/>
      <c r="G172" s="181"/>
      <c r="H172" s="181"/>
      <c r="I172" s="181"/>
      <c r="J172" s="181"/>
      <c r="K172" s="72"/>
    </row>
    <row r="173" spans="1:11" s="36" customFormat="1" ht="15" customHeight="1" x14ac:dyDescent="0.2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72"/>
    </row>
    <row r="174" spans="1:11" s="36" customFormat="1" x14ac:dyDescent="0.25">
      <c r="A174" s="182" t="s">
        <v>90</v>
      </c>
      <c r="B174" s="182"/>
      <c r="C174" s="182"/>
      <c r="D174" s="182"/>
      <c r="E174" s="182"/>
      <c r="F174" s="182"/>
      <c r="G174" s="182"/>
      <c r="H174" s="182"/>
      <c r="I174" s="182"/>
      <c r="J174" s="182"/>
      <c r="K174" s="72"/>
    </row>
    <row r="175" spans="1:11" s="36" customFormat="1" ht="15" customHeight="1" x14ac:dyDescent="0.25">
      <c r="A175" s="182"/>
      <c r="B175" s="182"/>
      <c r="C175" s="182"/>
      <c r="D175" s="182"/>
      <c r="E175" s="182"/>
      <c r="F175" s="182"/>
      <c r="G175" s="182"/>
      <c r="H175" s="182"/>
      <c r="I175" s="182"/>
      <c r="J175" s="182"/>
      <c r="K175" s="72"/>
    </row>
    <row r="176" spans="1:11" s="42" customFormat="1" ht="13.9" customHeight="1" x14ac:dyDescent="0.25">
      <c r="A176" s="183" t="s">
        <v>353</v>
      </c>
      <c r="B176" s="183"/>
      <c r="C176" s="183"/>
      <c r="D176" s="183"/>
      <c r="E176" s="183"/>
      <c r="F176" s="183"/>
      <c r="G176" s="183"/>
      <c r="H176" s="183"/>
      <c r="I176" s="183"/>
      <c r="J176" s="48"/>
    </row>
    <row r="177" spans="1:10" s="49" customFormat="1" ht="13.9" customHeight="1" x14ac:dyDescent="0.25">
      <c r="A177" s="184" t="s">
        <v>354</v>
      </c>
      <c r="B177" s="184"/>
      <c r="C177" s="184"/>
      <c r="D177" s="184"/>
      <c r="E177" s="184"/>
      <c r="F177" s="184"/>
      <c r="G177" s="184"/>
      <c r="H177" s="184"/>
      <c r="I177" s="184"/>
      <c r="J177" s="48"/>
    </row>
    <row r="178" spans="1:10" x14ac:dyDescent="0.25">
      <c r="J178" s="48"/>
    </row>
    <row r="179" spans="1:10" x14ac:dyDescent="0.25">
      <c r="J179" s="48"/>
    </row>
    <row r="180" spans="1:10" x14ac:dyDescent="0.25">
      <c r="J180" s="48"/>
    </row>
  </sheetData>
  <protectedRanges>
    <protectedRange algorithmName="SHA-512" hashValue="VF6HSW3Iy4xJ9rvYE/9xGHEoimGCygSu8D4FeqmdsD954MzAHwkkxLcwSP9Q5ui8KTGpWBzFAFpp2yGVfuii3Q==" saltValue="Ht0jMOW+8eakbuvlYpVr7Q==" spinCount="100000" sqref="G55:J60 G30:J32 G34:J36 G38:J43 G62:J69 G79:J79 G71:J77 G13:J28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4:J44 G46:J49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1:J53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78:J78" name="Range1_3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98:WWE162" xr:uid="{FA694B6A-433F-4FA4-84BF-050781CB5F76}">
    <filterColumn colId="1">
      <filters>
        <filter val="ALL"/>
        <filter val="CY"/>
      </filters>
    </filterColumn>
    <filterColumn colId="3" showButton="0"/>
    <filterColumn colId="4" showButton="0"/>
  </autoFilter>
  <mergeCells count="152">
    <mergeCell ref="A174:J175"/>
    <mergeCell ref="A176:I176"/>
    <mergeCell ref="A177:I177"/>
    <mergeCell ref="A169:D169"/>
    <mergeCell ref="E169:J169"/>
    <mergeCell ref="A170:D170"/>
    <mergeCell ref="E170:J170"/>
    <mergeCell ref="A171:J171"/>
    <mergeCell ref="A172:J173"/>
    <mergeCell ref="A166:D166"/>
    <mergeCell ref="E166:J166"/>
    <mergeCell ref="A167:D167"/>
    <mergeCell ref="E167:J167"/>
    <mergeCell ref="A168:D168"/>
    <mergeCell ref="E168:J168"/>
    <mergeCell ref="D160:F160"/>
    <mergeCell ref="D161:F161"/>
    <mergeCell ref="D162:F162"/>
    <mergeCell ref="A164:J164"/>
    <mergeCell ref="A165:D165"/>
    <mergeCell ref="E165:J165"/>
    <mergeCell ref="D154:F154"/>
    <mergeCell ref="D155:F155"/>
    <mergeCell ref="D156:F156"/>
    <mergeCell ref="D157:F157"/>
    <mergeCell ref="D158:F158"/>
    <mergeCell ref="D159:F159"/>
    <mergeCell ref="D148:F148"/>
    <mergeCell ref="D149:F149"/>
    <mergeCell ref="D150:F150"/>
    <mergeCell ref="D151:F151"/>
    <mergeCell ref="D152:F152"/>
    <mergeCell ref="D153:F153"/>
    <mergeCell ref="D142:F142"/>
    <mergeCell ref="D143:F143"/>
    <mergeCell ref="D144:F144"/>
    <mergeCell ref="D145:F145"/>
    <mergeCell ref="D146:F146"/>
    <mergeCell ref="D147:F147"/>
    <mergeCell ref="D136:F136"/>
    <mergeCell ref="D137:F137"/>
    <mergeCell ref="D138:F138"/>
    <mergeCell ref="D139:F139"/>
    <mergeCell ref="D140:F140"/>
    <mergeCell ref="D141:F141"/>
    <mergeCell ref="D130:F130"/>
    <mergeCell ref="D131:F131"/>
    <mergeCell ref="D132:F132"/>
    <mergeCell ref="D133:F133"/>
    <mergeCell ref="D134:F134"/>
    <mergeCell ref="D135:F135"/>
    <mergeCell ref="D124:F124"/>
    <mergeCell ref="D125:F125"/>
    <mergeCell ref="D126:F126"/>
    <mergeCell ref="D127:F127"/>
    <mergeCell ref="D128:F128"/>
    <mergeCell ref="D129:F129"/>
    <mergeCell ref="D118:F118"/>
    <mergeCell ref="D119:F119"/>
    <mergeCell ref="D120:F120"/>
    <mergeCell ref="D121:F121"/>
    <mergeCell ref="D122:F122"/>
    <mergeCell ref="D123:F123"/>
    <mergeCell ref="D112:F112"/>
    <mergeCell ref="D113:F113"/>
    <mergeCell ref="D114:F114"/>
    <mergeCell ref="D115:F115"/>
    <mergeCell ref="D116:F116"/>
    <mergeCell ref="D117:F117"/>
    <mergeCell ref="D106:F106"/>
    <mergeCell ref="D107:F107"/>
    <mergeCell ref="D108:F108"/>
    <mergeCell ref="D109:F109"/>
    <mergeCell ref="D110:F110"/>
    <mergeCell ref="D111:F111"/>
    <mergeCell ref="D100:F100"/>
    <mergeCell ref="D101:F101"/>
    <mergeCell ref="D102:F102"/>
    <mergeCell ref="D103:F103"/>
    <mergeCell ref="D104:F104"/>
    <mergeCell ref="D105:F105"/>
    <mergeCell ref="A96:D96"/>
    <mergeCell ref="E96:J96"/>
    <mergeCell ref="L96:Q96"/>
    <mergeCell ref="A97:J97"/>
    <mergeCell ref="D98:F98"/>
    <mergeCell ref="D99:F99"/>
    <mergeCell ref="A94:D94"/>
    <mergeCell ref="G94:J94"/>
    <mergeCell ref="L94:Q94"/>
    <mergeCell ref="A95:D95"/>
    <mergeCell ref="G95:J95"/>
    <mergeCell ref="L95:Q95"/>
    <mergeCell ref="A92:D92"/>
    <mergeCell ref="F92:J92"/>
    <mergeCell ref="L92:Q92"/>
    <mergeCell ref="A93:D93"/>
    <mergeCell ref="G93:J93"/>
    <mergeCell ref="L93:Q93"/>
    <mergeCell ref="L89:Q89"/>
    <mergeCell ref="A90:D90"/>
    <mergeCell ref="F90:J90"/>
    <mergeCell ref="L90:Q90"/>
    <mergeCell ref="A91:D91"/>
    <mergeCell ref="F91:J91"/>
    <mergeCell ref="L91:Q91"/>
    <mergeCell ref="A87:D87"/>
    <mergeCell ref="F87:J87"/>
    <mergeCell ref="A88:D88"/>
    <mergeCell ref="F88:J88"/>
    <mergeCell ref="A89:D89"/>
    <mergeCell ref="F89:J89"/>
    <mergeCell ref="A84:D84"/>
    <mergeCell ref="F84:J84"/>
    <mergeCell ref="L84:Q84"/>
    <mergeCell ref="A85:D85"/>
    <mergeCell ref="F85:J85"/>
    <mergeCell ref="A86:D86"/>
    <mergeCell ref="F86:J86"/>
    <mergeCell ref="A80:J80"/>
    <mergeCell ref="A81:J81"/>
    <mergeCell ref="A82:D82"/>
    <mergeCell ref="E82:J82"/>
    <mergeCell ref="L82:Q82"/>
    <mergeCell ref="A83:D83"/>
    <mergeCell ref="F83:J83"/>
    <mergeCell ref="L83:Q83"/>
    <mergeCell ref="E45:F45"/>
    <mergeCell ref="E50:F50"/>
    <mergeCell ref="E54:F54"/>
    <mergeCell ref="E61:F61"/>
    <mergeCell ref="E70:F70"/>
    <mergeCell ref="A78:J78"/>
    <mergeCell ref="E12:F12"/>
    <mergeCell ref="E29:F29"/>
    <mergeCell ref="E33:F33"/>
    <mergeCell ref="E37:F37"/>
    <mergeCell ref="B6:C6"/>
    <mergeCell ref="G6:I6"/>
    <mergeCell ref="E8:I8"/>
    <mergeCell ref="A10:J10"/>
    <mergeCell ref="N10:R10"/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</mergeCells>
  <hyperlinks>
    <hyperlink ref="G6" r:id="rId1" xr:uid="{F7359CB8-304F-4A39-A885-24599F068440}"/>
    <hyperlink ref="G4" r:id="rId2" display="jchang.lax@oecgroup.com" xr:uid="{537F95D6-CCFD-4E68-964B-47C65AC68E91}"/>
  </hyperlinks>
  <pageMargins left="0.35" right="0.35" top="0.35" bottom="0.35" header="0.3" footer="0.3"/>
  <pageSetup scale="47" fitToHeight="4" orientation="portrait" r:id="rId3"/>
  <rowBreaks count="1" manualBreakCount="1">
    <brk id="79" max="9" man="1"/>
  </rowBreaks>
  <drawing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B950295-2F8B-4656-A886-46D0C191FA02}">
          <x14:formula1>
            <xm:f>'C:\Users\twang\AppData\Local\Microsoft\Windows\Temporary Internet Files\Content.Outlook\U7WJNCNV\[QUOTE TEMPLATE 05-01-21.xltx]Sheet1'!#REF!</xm:f>
          </x14:formula1>
          <xm:sqref>E89:E90 E55:E60 E83:E86 E34:E36 E30:E32 E92:E95 E46:E49 E38:E44 E62:E69 E71:E77</xm:sqref>
        </x14:dataValidation>
        <x14:dataValidation type="list" allowBlank="1" showInputMessage="1" showErrorMessage="1" xr:uid="{CD039911-1AD5-4CEC-AF15-6BCA736C0631}">
          <x14:formula1>
            <xm:f>'C:\Users\twang\AppData\Local\Microsoft\Windows\Temporary Internet Files\Content.Outlook\U7WJNCNV\[QUOTE TEMPLATE 05-01-21.xltx]Sheet1'!#REF!</xm:f>
          </x14:formula1>
          <xm:sqref>C71:C77 C34:C36 C30:C32 C46:C49 C38:C44 C55:C60 Q13:Q14 C62:C69 C13:C28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DF59-2D2C-4BDB-A8FD-E0B1F13F2526}">
  <sheetPr filterMode="1">
    <pageSetUpPr fitToPage="1"/>
  </sheetPr>
  <dimension ref="A1:AC179"/>
  <sheetViews>
    <sheetView topLeftCell="A144" zoomScale="85" zoomScaleNormal="85" zoomScaleSheetLayoutView="40" workbookViewId="0">
      <pane xSplit="4" topLeftCell="E1" activePane="topRight" state="frozen"/>
      <selection activeCell="A19" sqref="A19"/>
      <selection pane="topRight" activeCell="A175" sqref="A175:I176"/>
    </sheetView>
  </sheetViews>
  <sheetFormatPr defaultColWidth="8.85546875" defaultRowHeight="15" x14ac:dyDescent="0.25"/>
  <cols>
    <col min="1" max="1" width="27.5703125" style="50" customWidth="1"/>
    <col min="2" max="2" width="55.28515625" style="50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15.7109375" style="50" customWidth="1"/>
    <col min="13" max="13" width="11.140625" style="50" customWidth="1"/>
    <col min="14" max="14" width="9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44835</v>
      </c>
      <c r="C8" s="45" t="s">
        <v>91</v>
      </c>
      <c r="D8" s="44">
        <v>44865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383</v>
      </c>
      <c r="E13" s="95" t="s">
        <v>127</v>
      </c>
      <c r="F13" s="97" t="s">
        <v>422</v>
      </c>
      <c r="G13" s="98">
        <f>CEILING(S13+W13+X13+O13+N13+Y13,10)</f>
        <v>3510</v>
      </c>
      <c r="H13" s="99">
        <f>CEILING(T13+W13+X13+O13+N13+Z13,10)</f>
        <v>3710</v>
      </c>
      <c r="I13" s="99">
        <f>CEILING(U13+W13+X13+O13+N13+AA13,10)</f>
        <v>3710</v>
      </c>
      <c r="J13" s="99">
        <f>CEILING(V13+W13+X13+O13+N13+AB13,10)</f>
        <v>4260</v>
      </c>
      <c r="K13" s="57"/>
      <c r="L13" s="156" t="s">
        <v>384</v>
      </c>
      <c r="M13" s="52" t="s">
        <v>292</v>
      </c>
      <c r="N13" s="40">
        <f>50*7</f>
        <v>350</v>
      </c>
      <c r="O13" s="53">
        <f>VLOOKUP(B13,DRAYAGE!$A$1:$C$107,3,FALSE)</f>
        <v>1310</v>
      </c>
      <c r="P13" s="40" t="s">
        <v>347</v>
      </c>
      <c r="S13" s="101">
        <f t="shared" ref="S13:S27" si="0">0.9*T13</f>
        <v>1845</v>
      </c>
      <c r="T13" s="54">
        <f>1950+100</f>
        <v>2050</v>
      </c>
      <c r="U13" s="103">
        <f>T13</f>
        <v>2050</v>
      </c>
      <c r="V13" s="104">
        <f>U13*1.266</f>
        <v>2595.3000000000002</v>
      </c>
      <c r="X13" s="40">
        <v>0</v>
      </c>
    </row>
    <row r="14" spans="1:29" s="40" customFormat="1" ht="18.75" x14ac:dyDescent="0.25">
      <c r="A14" s="133" t="s">
        <v>55</v>
      </c>
      <c r="B14" s="51" t="s">
        <v>338</v>
      </c>
      <c r="C14" s="94" t="s">
        <v>54</v>
      </c>
      <c r="D14" s="95" t="s">
        <v>383</v>
      </c>
      <c r="E14" s="95" t="s">
        <v>127</v>
      </c>
      <c r="F14" s="97" t="s">
        <v>422</v>
      </c>
      <c r="G14" s="98">
        <f t="shared" ref="G14:G27" si="1">CEILING(S14+W14+X14+O14+N14+Y14,10)</f>
        <v>3510</v>
      </c>
      <c r="H14" s="99">
        <f t="shared" ref="H14:H27" si="2">CEILING(T14+W14+X14+O14+N14+Z14,10)</f>
        <v>3710</v>
      </c>
      <c r="I14" s="99">
        <f t="shared" ref="I14:I27" si="3">CEILING(U14+W14+X14+O14+N14+AA14,10)</f>
        <v>3710</v>
      </c>
      <c r="J14" s="99">
        <f t="shared" ref="J14:J27" si="4">CEILING(V14+W14+X14+O14+N14+AB14,10)</f>
        <v>4260</v>
      </c>
      <c r="K14" s="57"/>
      <c r="L14" s="156" t="s">
        <v>384</v>
      </c>
      <c r="M14" s="52" t="s">
        <v>292</v>
      </c>
      <c r="N14" s="40">
        <f t="shared" ref="N14:N27" si="5">50*7</f>
        <v>350</v>
      </c>
      <c r="O14" s="53">
        <f>VLOOKUP(B14,DRAYAGE!$A$1:$C$107,3,FALSE)</f>
        <v>1310</v>
      </c>
      <c r="P14" s="40" t="s">
        <v>347</v>
      </c>
      <c r="S14" s="101">
        <f t="shared" si="0"/>
        <v>1845</v>
      </c>
      <c r="T14" s="54">
        <f>1950+100</f>
        <v>2050</v>
      </c>
      <c r="U14" s="103">
        <f t="shared" ref="U14:U59" si="6">T14</f>
        <v>2050</v>
      </c>
      <c r="V14" s="104">
        <f t="shared" ref="V14:V19" si="7">U14*1.266</f>
        <v>2595.3000000000002</v>
      </c>
      <c r="X14" s="40">
        <v>0</v>
      </c>
    </row>
    <row r="15" spans="1:29" s="40" customFormat="1" ht="18.75" x14ac:dyDescent="0.25">
      <c r="A15" s="133" t="s">
        <v>56</v>
      </c>
      <c r="B15" s="51" t="s">
        <v>338</v>
      </c>
      <c r="C15" s="94" t="s">
        <v>54</v>
      </c>
      <c r="D15" s="95" t="s">
        <v>383</v>
      </c>
      <c r="E15" s="95" t="s">
        <v>127</v>
      </c>
      <c r="F15" s="97" t="s">
        <v>422</v>
      </c>
      <c r="G15" s="98">
        <f t="shared" si="1"/>
        <v>3510</v>
      </c>
      <c r="H15" s="99">
        <f t="shared" si="2"/>
        <v>3710</v>
      </c>
      <c r="I15" s="99">
        <f t="shared" si="3"/>
        <v>3710</v>
      </c>
      <c r="J15" s="99">
        <f t="shared" si="4"/>
        <v>4260</v>
      </c>
      <c r="K15" s="57"/>
      <c r="L15" s="156" t="s">
        <v>384</v>
      </c>
      <c r="M15" s="52" t="s">
        <v>292</v>
      </c>
      <c r="N15" s="40">
        <f t="shared" si="5"/>
        <v>350</v>
      </c>
      <c r="O15" s="53">
        <f>VLOOKUP(B15,DRAYAGE!$A$1:$C$107,3,FALSE)</f>
        <v>1310</v>
      </c>
      <c r="P15" s="40" t="s">
        <v>347</v>
      </c>
      <c r="S15" s="101">
        <f t="shared" si="0"/>
        <v>1845</v>
      </c>
      <c r="T15" s="54">
        <f>1950+100</f>
        <v>2050</v>
      </c>
      <c r="U15" s="103">
        <f t="shared" si="6"/>
        <v>2050</v>
      </c>
      <c r="V15" s="104">
        <f t="shared" si="7"/>
        <v>2595.3000000000002</v>
      </c>
      <c r="X15" s="40">
        <v>0</v>
      </c>
    </row>
    <row r="16" spans="1:29" s="40" customFormat="1" ht="18.75" x14ac:dyDescent="0.25">
      <c r="A16" s="133" t="s">
        <v>57</v>
      </c>
      <c r="B16" s="51" t="s">
        <v>338</v>
      </c>
      <c r="C16" s="94" t="s">
        <v>54</v>
      </c>
      <c r="D16" s="95" t="s">
        <v>383</v>
      </c>
      <c r="E16" s="95" t="s">
        <v>127</v>
      </c>
      <c r="F16" s="97" t="s">
        <v>422</v>
      </c>
      <c r="G16" s="98">
        <f t="shared" si="1"/>
        <v>3550</v>
      </c>
      <c r="H16" s="99">
        <f t="shared" si="2"/>
        <v>3760</v>
      </c>
      <c r="I16" s="99">
        <f t="shared" si="3"/>
        <v>3760</v>
      </c>
      <c r="J16" s="99">
        <f t="shared" si="4"/>
        <v>4320</v>
      </c>
      <c r="K16" s="57"/>
      <c r="L16" s="156" t="s">
        <v>384</v>
      </c>
      <c r="M16" s="52" t="s">
        <v>292</v>
      </c>
      <c r="N16" s="40">
        <f t="shared" si="5"/>
        <v>350</v>
      </c>
      <c r="O16" s="53">
        <f>VLOOKUP(B16,DRAYAGE!$A$1:$C$107,3,FALSE)</f>
        <v>1310</v>
      </c>
      <c r="P16" s="40" t="s">
        <v>347</v>
      </c>
      <c r="S16" s="101">
        <f t="shared" si="0"/>
        <v>1890</v>
      </c>
      <c r="T16" s="54">
        <f>2000+100</f>
        <v>2100</v>
      </c>
      <c r="U16" s="103">
        <f t="shared" si="6"/>
        <v>2100</v>
      </c>
      <c r="V16" s="104">
        <f t="shared" si="7"/>
        <v>2658.6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383</v>
      </c>
      <c r="E17" s="95" t="s">
        <v>127</v>
      </c>
      <c r="F17" s="97" t="s">
        <v>422</v>
      </c>
      <c r="G17" s="98">
        <f t="shared" si="1"/>
        <v>3690</v>
      </c>
      <c r="H17" s="99">
        <f t="shared" si="2"/>
        <v>3910</v>
      </c>
      <c r="I17" s="99">
        <f t="shared" si="3"/>
        <v>3910</v>
      </c>
      <c r="J17" s="99">
        <f t="shared" si="4"/>
        <v>4510</v>
      </c>
      <c r="K17" s="57"/>
      <c r="L17" s="156" t="s">
        <v>384</v>
      </c>
      <c r="M17" s="52" t="s">
        <v>292</v>
      </c>
      <c r="N17" s="40">
        <f t="shared" si="5"/>
        <v>350</v>
      </c>
      <c r="O17" s="53">
        <f>VLOOKUP(B17,DRAYAGE!$A$1:$C$107,3,FALSE)</f>
        <v>1310</v>
      </c>
      <c r="P17" s="40" t="s">
        <v>347</v>
      </c>
      <c r="S17" s="101">
        <f>0.9*T17</f>
        <v>2025</v>
      </c>
      <c r="T17" s="54">
        <f>2000+100+150</f>
        <v>2250</v>
      </c>
      <c r="U17" s="103">
        <f>T17</f>
        <v>2250</v>
      </c>
      <c r="V17" s="104">
        <f>U17*1.266</f>
        <v>2848.5</v>
      </c>
      <c r="X17" s="40">
        <v>0</v>
      </c>
    </row>
    <row r="18" spans="1:29" s="40" customFormat="1" ht="18.75" x14ac:dyDescent="0.25">
      <c r="A18" s="133" t="s">
        <v>366</v>
      </c>
      <c r="B18" s="51" t="s">
        <v>338</v>
      </c>
      <c r="C18" s="94" t="s">
        <v>54</v>
      </c>
      <c r="D18" s="95" t="s">
        <v>383</v>
      </c>
      <c r="E18" s="95" t="s">
        <v>127</v>
      </c>
      <c r="F18" s="97" t="s">
        <v>422</v>
      </c>
      <c r="G18" s="98">
        <f t="shared" si="1"/>
        <v>4050</v>
      </c>
      <c r="H18" s="99">
        <f t="shared" si="2"/>
        <v>4310</v>
      </c>
      <c r="I18" s="99">
        <f t="shared" si="3"/>
        <v>4310</v>
      </c>
      <c r="J18" s="99">
        <f t="shared" si="4"/>
        <v>5020</v>
      </c>
      <c r="K18" s="57"/>
      <c r="L18" s="156" t="s">
        <v>384</v>
      </c>
      <c r="M18" s="52" t="s">
        <v>292</v>
      </c>
      <c r="N18" s="40">
        <f t="shared" si="5"/>
        <v>350</v>
      </c>
      <c r="O18" s="53">
        <f>VLOOKUP(B18,DRAYAGE!$A$1:$C$107,3,FALSE)</f>
        <v>1310</v>
      </c>
      <c r="P18" s="40" t="s">
        <v>347</v>
      </c>
      <c r="S18" s="101">
        <f>0.9*T18</f>
        <v>2385</v>
      </c>
      <c r="T18" s="54">
        <f>T16+550</f>
        <v>2650</v>
      </c>
      <c r="U18" s="103">
        <f>T18</f>
        <v>2650</v>
      </c>
      <c r="V18" s="104">
        <f>U18*1.266</f>
        <v>3354.9</v>
      </c>
      <c r="X18" s="40">
        <v>0</v>
      </c>
    </row>
    <row r="19" spans="1:29" s="40" customFormat="1" ht="18.75" x14ac:dyDescent="0.25">
      <c r="A19" s="133" t="s">
        <v>59</v>
      </c>
      <c r="B19" s="51" t="s">
        <v>338</v>
      </c>
      <c r="C19" s="94" t="s">
        <v>54</v>
      </c>
      <c r="D19" s="95" t="s">
        <v>383</v>
      </c>
      <c r="E19" s="95" t="s">
        <v>127</v>
      </c>
      <c r="F19" s="97" t="s">
        <v>422</v>
      </c>
      <c r="G19" s="98">
        <f t="shared" si="1"/>
        <v>3510</v>
      </c>
      <c r="H19" s="99">
        <f t="shared" si="2"/>
        <v>3710</v>
      </c>
      <c r="I19" s="99">
        <f t="shared" si="3"/>
        <v>3710</v>
      </c>
      <c r="J19" s="99">
        <f t="shared" si="4"/>
        <v>4260</v>
      </c>
      <c r="K19" s="57"/>
      <c r="L19" s="156" t="s">
        <v>384</v>
      </c>
      <c r="M19" s="52" t="s">
        <v>292</v>
      </c>
      <c r="N19" s="40">
        <f t="shared" si="5"/>
        <v>350</v>
      </c>
      <c r="O19" s="53">
        <f>VLOOKUP(B19,DRAYAGE!$A$1:$C$107,3,FALSE)</f>
        <v>1310</v>
      </c>
      <c r="P19" s="40" t="s">
        <v>347</v>
      </c>
      <c r="S19" s="101">
        <f t="shared" si="0"/>
        <v>1845</v>
      </c>
      <c r="T19" s="54">
        <v>2050</v>
      </c>
      <c r="U19" s="103">
        <f t="shared" si="6"/>
        <v>2050</v>
      </c>
      <c r="V19" s="104">
        <f t="shared" si="7"/>
        <v>2595.3000000000002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383</v>
      </c>
      <c r="E20" s="95" t="s">
        <v>127</v>
      </c>
      <c r="F20" s="97" t="s">
        <v>422</v>
      </c>
      <c r="G20" s="98">
        <f t="shared" si="1"/>
        <v>3510</v>
      </c>
      <c r="H20" s="99">
        <f t="shared" si="2"/>
        <v>3710</v>
      </c>
      <c r="I20" s="99">
        <f t="shared" si="3"/>
        <v>3710</v>
      </c>
      <c r="J20" s="99">
        <f t="shared" si="4"/>
        <v>4260</v>
      </c>
      <c r="K20" s="57"/>
      <c r="L20" s="156" t="s">
        <v>384</v>
      </c>
      <c r="M20" s="52" t="s">
        <v>292</v>
      </c>
      <c r="N20" s="40">
        <f t="shared" si="5"/>
        <v>350</v>
      </c>
      <c r="O20" s="53">
        <f>VLOOKUP(B20,DRAYAGE!$A$1:$C$107,3,FALSE)</f>
        <v>1310</v>
      </c>
      <c r="P20" s="40" t="s">
        <v>347</v>
      </c>
      <c r="S20" s="101">
        <f t="shared" si="0"/>
        <v>1845</v>
      </c>
      <c r="T20" s="54">
        <v>2050</v>
      </c>
      <c r="U20" s="103">
        <f t="shared" si="6"/>
        <v>2050</v>
      </c>
      <c r="V20" s="104">
        <f>U20*1.266</f>
        <v>2595.3000000000002</v>
      </c>
      <c r="X20" s="40">
        <v>0</v>
      </c>
    </row>
    <row r="21" spans="1:29" s="40" customFormat="1" ht="18.75" x14ac:dyDescent="0.25">
      <c r="A21" s="133" t="s">
        <v>376</v>
      </c>
      <c r="B21" s="51" t="s">
        <v>338</v>
      </c>
      <c r="C21" s="94" t="s">
        <v>54</v>
      </c>
      <c r="D21" s="95" t="s">
        <v>383</v>
      </c>
      <c r="E21" s="95" t="s">
        <v>127</v>
      </c>
      <c r="F21" s="97" t="s">
        <v>422</v>
      </c>
      <c r="G21" s="98">
        <f t="shared" si="1"/>
        <v>3510</v>
      </c>
      <c r="H21" s="99">
        <f t="shared" si="2"/>
        <v>3710</v>
      </c>
      <c r="I21" s="99">
        <f t="shared" si="3"/>
        <v>3710</v>
      </c>
      <c r="J21" s="99">
        <f t="shared" si="4"/>
        <v>4260</v>
      </c>
      <c r="K21" s="57"/>
      <c r="L21" s="156" t="s">
        <v>384</v>
      </c>
      <c r="M21" s="52" t="s">
        <v>292</v>
      </c>
      <c r="N21" s="40">
        <f t="shared" si="5"/>
        <v>350</v>
      </c>
      <c r="O21" s="53">
        <f>VLOOKUP(B21,DRAYAGE!$A$1:$C$107,3,FALSE)</f>
        <v>1310</v>
      </c>
      <c r="P21" s="40" t="s">
        <v>347</v>
      </c>
      <c r="S21" s="101">
        <f t="shared" si="0"/>
        <v>1845</v>
      </c>
      <c r="T21" s="54">
        <v>2050</v>
      </c>
      <c r="U21" s="103">
        <f t="shared" si="6"/>
        <v>2050</v>
      </c>
      <c r="V21" s="104">
        <f t="shared" ref="V21:V27" si="8">U21*1.266</f>
        <v>2595.3000000000002</v>
      </c>
      <c r="X21" s="40">
        <v>0</v>
      </c>
    </row>
    <row r="22" spans="1:29" s="40" customFormat="1" ht="18.75" x14ac:dyDescent="0.25">
      <c r="A22" s="133" t="s">
        <v>108</v>
      </c>
      <c r="B22" s="51" t="s">
        <v>338</v>
      </c>
      <c r="C22" s="94" t="s">
        <v>54</v>
      </c>
      <c r="D22" s="95" t="s">
        <v>383</v>
      </c>
      <c r="E22" s="95" t="s">
        <v>127</v>
      </c>
      <c r="F22" s="97" t="s">
        <v>422</v>
      </c>
      <c r="G22" s="98">
        <f t="shared" si="1"/>
        <v>3550</v>
      </c>
      <c r="H22" s="99">
        <f t="shared" si="2"/>
        <v>3760</v>
      </c>
      <c r="I22" s="99">
        <f t="shared" si="3"/>
        <v>3760</v>
      </c>
      <c r="J22" s="99">
        <f t="shared" si="4"/>
        <v>4320</v>
      </c>
      <c r="K22" s="57"/>
      <c r="L22" s="156" t="s">
        <v>384</v>
      </c>
      <c r="M22" s="52" t="s">
        <v>292</v>
      </c>
      <c r="N22" s="40">
        <f t="shared" si="5"/>
        <v>350</v>
      </c>
      <c r="O22" s="53">
        <f>VLOOKUP(B22,DRAYAGE!$A$1:$C$107,3,FALSE)</f>
        <v>1310</v>
      </c>
      <c r="P22" s="40" t="s">
        <v>347</v>
      </c>
      <c r="S22" s="101">
        <f t="shared" si="0"/>
        <v>1890</v>
      </c>
      <c r="T22" s="54">
        <v>2100</v>
      </c>
      <c r="U22" s="103">
        <f t="shared" si="6"/>
        <v>2100</v>
      </c>
      <c r="V22" s="104">
        <f t="shared" si="8"/>
        <v>2658.6</v>
      </c>
      <c r="X22" s="40">
        <v>0</v>
      </c>
    </row>
    <row r="23" spans="1:29" s="40" customFormat="1" ht="18.75" x14ac:dyDescent="0.25">
      <c r="A23" s="133" t="s">
        <v>62</v>
      </c>
      <c r="B23" s="51" t="s">
        <v>338</v>
      </c>
      <c r="C23" s="94" t="s">
        <v>54</v>
      </c>
      <c r="D23" s="95" t="s">
        <v>383</v>
      </c>
      <c r="E23" s="95" t="s">
        <v>127</v>
      </c>
      <c r="F23" s="97" t="s">
        <v>422</v>
      </c>
      <c r="G23" s="98">
        <f t="shared" si="1"/>
        <v>3640</v>
      </c>
      <c r="H23" s="99">
        <f t="shared" si="2"/>
        <v>3860</v>
      </c>
      <c r="I23" s="99">
        <f t="shared" si="3"/>
        <v>3860</v>
      </c>
      <c r="J23" s="99">
        <f t="shared" si="4"/>
        <v>4450</v>
      </c>
      <c r="K23" s="57"/>
      <c r="L23" s="156" t="s">
        <v>384</v>
      </c>
      <c r="M23" s="52" t="s">
        <v>292</v>
      </c>
      <c r="N23" s="40">
        <f t="shared" si="5"/>
        <v>350</v>
      </c>
      <c r="O23" s="53">
        <f>VLOOKUP(B23,DRAYAGE!$A$1:$C$107,3,FALSE)</f>
        <v>1310</v>
      </c>
      <c r="P23" s="40" t="s">
        <v>347</v>
      </c>
      <c r="S23" s="101">
        <f t="shared" si="0"/>
        <v>1980</v>
      </c>
      <c r="T23" s="54">
        <v>2200</v>
      </c>
      <c r="U23" s="103">
        <f t="shared" si="6"/>
        <v>2200</v>
      </c>
      <c r="V23" s="104">
        <f t="shared" si="8"/>
        <v>2785.2</v>
      </c>
      <c r="X23" s="40">
        <v>0</v>
      </c>
      <c r="Y23" s="40">
        <f>0.9*Z23</f>
        <v>0</v>
      </c>
      <c r="AA23" s="40">
        <f>Z23</f>
        <v>0</v>
      </c>
      <c r="AB23" s="40">
        <f>Z23*1.266</f>
        <v>0</v>
      </c>
    </row>
    <row r="24" spans="1:29" s="40" customFormat="1" ht="18.75" x14ac:dyDescent="0.25">
      <c r="A24" s="133" t="s">
        <v>66</v>
      </c>
      <c r="B24" s="51" t="s">
        <v>338</v>
      </c>
      <c r="C24" s="94" t="s">
        <v>54</v>
      </c>
      <c r="D24" s="95" t="s">
        <v>383</v>
      </c>
      <c r="E24" s="95" t="s">
        <v>127</v>
      </c>
      <c r="F24" s="97" t="s">
        <v>422</v>
      </c>
      <c r="G24" s="98">
        <f t="shared" si="1"/>
        <v>3820</v>
      </c>
      <c r="H24" s="99">
        <f t="shared" si="2"/>
        <v>4060</v>
      </c>
      <c r="I24" s="99">
        <f t="shared" si="3"/>
        <v>4060</v>
      </c>
      <c r="J24" s="99">
        <f t="shared" si="4"/>
        <v>4700</v>
      </c>
      <c r="K24" s="57"/>
      <c r="L24" s="156" t="s">
        <v>384</v>
      </c>
      <c r="M24" s="52" t="s">
        <v>292</v>
      </c>
      <c r="N24" s="40">
        <f t="shared" si="5"/>
        <v>350</v>
      </c>
      <c r="O24" s="53">
        <f>VLOOKUP(B24,DRAYAGE!$A$1:$C$107,3,FALSE)</f>
        <v>1310</v>
      </c>
      <c r="P24" s="40" t="s">
        <v>347</v>
      </c>
      <c r="S24" s="101">
        <f t="shared" si="0"/>
        <v>2160</v>
      </c>
      <c r="T24" s="54">
        <f>T20+350</f>
        <v>2400</v>
      </c>
      <c r="U24" s="103">
        <f t="shared" si="6"/>
        <v>2400</v>
      </c>
      <c r="V24" s="104">
        <f t="shared" si="8"/>
        <v>3038.4</v>
      </c>
      <c r="X24" s="40">
        <v>0</v>
      </c>
    </row>
    <row r="25" spans="1:29" s="40" customFormat="1" ht="18.75" x14ac:dyDescent="0.25">
      <c r="A25" s="133" t="s">
        <v>65</v>
      </c>
      <c r="B25" s="51" t="s">
        <v>338</v>
      </c>
      <c r="C25" s="94" t="s">
        <v>54</v>
      </c>
      <c r="D25" s="95" t="s">
        <v>383</v>
      </c>
      <c r="E25" s="95" t="s">
        <v>127</v>
      </c>
      <c r="F25" s="97" t="s">
        <v>422</v>
      </c>
      <c r="G25" s="98">
        <f t="shared" si="1"/>
        <v>3800</v>
      </c>
      <c r="H25" s="99">
        <f t="shared" si="2"/>
        <v>4040</v>
      </c>
      <c r="I25" s="99">
        <f t="shared" si="3"/>
        <v>4040</v>
      </c>
      <c r="J25" s="99">
        <f t="shared" si="4"/>
        <v>4670</v>
      </c>
      <c r="K25" s="57"/>
      <c r="L25" s="156" t="s">
        <v>384</v>
      </c>
      <c r="M25" s="52" t="s">
        <v>292</v>
      </c>
      <c r="N25" s="40">
        <f t="shared" si="5"/>
        <v>350</v>
      </c>
      <c r="O25" s="53">
        <f>VLOOKUP(B25,DRAYAGE!$A$1:$C$107,3,FALSE)</f>
        <v>1310</v>
      </c>
      <c r="P25" s="40" t="s">
        <v>347</v>
      </c>
      <c r="S25" s="101">
        <f t="shared" si="0"/>
        <v>2137.5</v>
      </c>
      <c r="T25" s="54">
        <f>T20+325</f>
        <v>2375</v>
      </c>
      <c r="U25" s="103">
        <f t="shared" si="6"/>
        <v>2375</v>
      </c>
      <c r="V25" s="104">
        <f t="shared" si="8"/>
        <v>3006.75</v>
      </c>
      <c r="X25" s="40">
        <v>0</v>
      </c>
      <c r="Y25" s="40">
        <f>0.9*Z25</f>
        <v>0</v>
      </c>
      <c r="AA25" s="40">
        <f>Z25</f>
        <v>0</v>
      </c>
      <c r="AB25" s="40">
        <f>Z25*1.266</f>
        <v>0</v>
      </c>
    </row>
    <row r="26" spans="1:29" s="40" customFormat="1" ht="18.75" x14ac:dyDescent="0.25">
      <c r="A26" s="133" t="s">
        <v>63</v>
      </c>
      <c r="B26" s="51" t="s">
        <v>338</v>
      </c>
      <c r="C26" s="94" t="s">
        <v>54</v>
      </c>
      <c r="D26" s="95" t="s">
        <v>383</v>
      </c>
      <c r="E26" s="95" t="s">
        <v>127</v>
      </c>
      <c r="F26" s="97" t="s">
        <v>422</v>
      </c>
      <c r="G26" s="98">
        <f t="shared" si="1"/>
        <v>3820</v>
      </c>
      <c r="H26" s="99">
        <f t="shared" si="2"/>
        <v>4060</v>
      </c>
      <c r="I26" s="99">
        <f t="shared" si="3"/>
        <v>4060</v>
      </c>
      <c r="J26" s="99">
        <f t="shared" si="4"/>
        <v>4700</v>
      </c>
      <c r="K26" s="57"/>
      <c r="L26" s="156" t="s">
        <v>384</v>
      </c>
      <c r="M26" s="52" t="s">
        <v>292</v>
      </c>
      <c r="N26" s="40">
        <f t="shared" si="5"/>
        <v>350</v>
      </c>
      <c r="O26" s="53">
        <f>VLOOKUP(B26,DRAYAGE!$A$1:$C$107,3,FALSE)</f>
        <v>1310</v>
      </c>
      <c r="P26" s="40" t="s">
        <v>347</v>
      </c>
      <c r="S26" s="101">
        <f t="shared" si="0"/>
        <v>2160</v>
      </c>
      <c r="T26" s="54">
        <f>T20+350</f>
        <v>2400</v>
      </c>
      <c r="U26" s="103">
        <f t="shared" si="6"/>
        <v>2400</v>
      </c>
      <c r="V26" s="104">
        <f t="shared" si="8"/>
        <v>3038.4</v>
      </c>
      <c r="X26" s="40">
        <v>0</v>
      </c>
      <c r="Y26" s="40">
        <f>0.9*Z26</f>
        <v>0</v>
      </c>
      <c r="AA26" s="40">
        <f>Z26</f>
        <v>0</v>
      </c>
      <c r="AB26" s="40">
        <f>Z26*1.266</f>
        <v>0</v>
      </c>
    </row>
    <row r="27" spans="1:29" s="45" customFormat="1" ht="18.75" x14ac:dyDescent="0.25">
      <c r="A27" s="133" t="s">
        <v>275</v>
      </c>
      <c r="B27" s="51" t="s">
        <v>338</v>
      </c>
      <c r="C27" s="106" t="s">
        <v>54</v>
      </c>
      <c r="D27" s="95" t="s">
        <v>383</v>
      </c>
      <c r="E27" s="95" t="s">
        <v>127</v>
      </c>
      <c r="F27" s="97" t="s">
        <v>422</v>
      </c>
      <c r="G27" s="98">
        <f t="shared" si="1"/>
        <v>3820</v>
      </c>
      <c r="H27" s="99">
        <f t="shared" si="2"/>
        <v>4060</v>
      </c>
      <c r="I27" s="99">
        <f t="shared" si="3"/>
        <v>4060</v>
      </c>
      <c r="J27" s="99">
        <f t="shared" si="4"/>
        <v>4700</v>
      </c>
      <c r="K27" s="111"/>
      <c r="L27" s="156" t="s">
        <v>384</v>
      </c>
      <c r="M27" s="52" t="s">
        <v>292</v>
      </c>
      <c r="N27" s="40">
        <f t="shared" si="5"/>
        <v>350</v>
      </c>
      <c r="O27" s="53">
        <f>VLOOKUP(B27,DRAYAGE!$A$1:$C$107,3,FALSE)</f>
        <v>1310</v>
      </c>
      <c r="P27" s="40" t="s">
        <v>347</v>
      </c>
      <c r="R27" s="105"/>
      <c r="S27" s="113">
        <f t="shared" si="0"/>
        <v>2160</v>
      </c>
      <c r="T27" s="54">
        <f>T20+350</f>
        <v>2400</v>
      </c>
      <c r="U27" s="103">
        <f t="shared" si="6"/>
        <v>2400</v>
      </c>
      <c r="V27" s="114">
        <f t="shared" si="8"/>
        <v>3038.4</v>
      </c>
      <c r="X27" s="45">
        <v>0</v>
      </c>
      <c r="Y27" s="40">
        <f>0.9*Z27</f>
        <v>0</v>
      </c>
      <c r="AA27" s="40">
        <f>Z27</f>
        <v>0</v>
      </c>
      <c r="AB27" s="40">
        <f>Z27*1.266</f>
        <v>0</v>
      </c>
    </row>
    <row r="28" spans="1:29" s="40" customFormat="1" ht="14.45" customHeight="1" x14ac:dyDescent="0.25">
      <c r="A28" s="134" t="s">
        <v>333</v>
      </c>
      <c r="B28" s="88"/>
      <c r="C28" s="88"/>
      <c r="D28" s="88"/>
      <c r="E28" s="210"/>
      <c r="F28" s="211"/>
      <c r="G28" s="88"/>
      <c r="H28" s="88"/>
      <c r="I28" s="88"/>
      <c r="J28" s="88"/>
      <c r="K28" s="57"/>
      <c r="L28" s="89" t="s">
        <v>48</v>
      </c>
      <c r="M28" s="89" t="s">
        <v>261</v>
      </c>
      <c r="N28" s="90" t="s">
        <v>51</v>
      </c>
      <c r="O28" s="91" t="s">
        <v>50</v>
      </c>
      <c r="P28" s="91" t="s">
        <v>262</v>
      </c>
      <c r="Q28" s="91" t="s">
        <v>263</v>
      </c>
      <c r="R28" s="91" t="s">
        <v>264</v>
      </c>
      <c r="S28" s="92" t="s">
        <v>52</v>
      </c>
      <c r="T28" s="92" t="s">
        <v>53</v>
      </c>
      <c r="U28" s="92" t="s">
        <v>265</v>
      </c>
      <c r="V28" s="92" t="s">
        <v>266</v>
      </c>
      <c r="W28" s="92" t="s">
        <v>267</v>
      </c>
      <c r="X28" s="92" t="s">
        <v>268</v>
      </c>
      <c r="Y28" s="92" t="s">
        <v>52</v>
      </c>
      <c r="Z28" s="92" t="s">
        <v>53</v>
      </c>
      <c r="AA28" s="92" t="s">
        <v>265</v>
      </c>
      <c r="AB28" s="92" t="s">
        <v>266</v>
      </c>
      <c r="AC28" s="93" t="s">
        <v>269</v>
      </c>
    </row>
    <row r="29" spans="1:29" s="40" customFormat="1" ht="14.45" customHeight="1" x14ac:dyDescent="0.25">
      <c r="A29" s="133" t="s">
        <v>58</v>
      </c>
      <c r="B29" s="51" t="s">
        <v>339</v>
      </c>
      <c r="C29" s="94" t="s">
        <v>54</v>
      </c>
      <c r="D29" s="95" t="s">
        <v>383</v>
      </c>
      <c r="E29" s="96" t="s">
        <v>114</v>
      </c>
      <c r="F29" s="97" t="s">
        <v>270</v>
      </c>
      <c r="G29" s="98">
        <f>CEILING(S29+W29+X29+O29+N29+Y29,10)</f>
        <v>8340</v>
      </c>
      <c r="H29" s="99">
        <f>CEILING(T29+W29+X29+O29+N29+Z29,10)</f>
        <v>8970</v>
      </c>
      <c r="I29" s="99">
        <f>CEILING(U29+W29+X29+O29+N29+AA29,10)</f>
        <v>8970</v>
      </c>
      <c r="J29" s="99">
        <f>CEILING(V29+W29+X29+O29+N29+AB29,10)</f>
        <v>10650</v>
      </c>
      <c r="K29" s="57"/>
      <c r="L29" s="156" t="s">
        <v>384</v>
      </c>
      <c r="M29" s="52" t="s">
        <v>293</v>
      </c>
      <c r="N29" s="40">
        <v>0</v>
      </c>
      <c r="O29" s="53">
        <f>VLOOKUP(B29,DRAYAGE!$A$1:$C$107,3,FALSE)</f>
        <v>2665</v>
      </c>
      <c r="P29" s="40" t="s">
        <v>299</v>
      </c>
      <c r="S29" s="101">
        <f>0.9*T29</f>
        <v>5670</v>
      </c>
      <c r="T29" s="54">
        <f>5850+150+300</f>
        <v>6300</v>
      </c>
      <c r="U29" s="103">
        <f t="shared" si="6"/>
        <v>6300</v>
      </c>
      <c r="V29" s="104">
        <f>U29*1.266</f>
        <v>7975.8</v>
      </c>
    </row>
    <row r="30" spans="1:29" s="40" customFormat="1" ht="14.45" customHeight="1" x14ac:dyDescent="0.25">
      <c r="A30" s="133" t="s">
        <v>55</v>
      </c>
      <c r="B30" s="51" t="s">
        <v>339</v>
      </c>
      <c r="C30" s="94" t="s">
        <v>54</v>
      </c>
      <c r="D30" s="95" t="s">
        <v>383</v>
      </c>
      <c r="E30" s="96" t="s">
        <v>114</v>
      </c>
      <c r="F30" s="97" t="s">
        <v>270</v>
      </c>
      <c r="G30" s="98">
        <f>CEILING(S30+W30+X30+O30+N30+Y30,10)</f>
        <v>8070</v>
      </c>
      <c r="H30" s="99">
        <f>CEILING(T30+W30+X30+O30+N30+Z30,10)</f>
        <v>8670</v>
      </c>
      <c r="I30" s="99">
        <f>CEILING(U30+W30+X30+O30+N30+AA30,10)</f>
        <v>8670</v>
      </c>
      <c r="J30" s="99">
        <f>CEILING(V30+W30+X30+O30+N30+AB30,10)</f>
        <v>10270</v>
      </c>
      <c r="K30" s="57"/>
      <c r="L30" s="156" t="s">
        <v>384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S30" s="101">
        <f>0.9*T30</f>
        <v>5400</v>
      </c>
      <c r="T30" s="54">
        <f>5850+150</f>
        <v>6000</v>
      </c>
      <c r="U30" s="103">
        <f t="shared" si="6"/>
        <v>6000</v>
      </c>
      <c r="V30" s="104">
        <f>U30*1.266</f>
        <v>7596</v>
      </c>
    </row>
    <row r="31" spans="1:29" s="40" customFormat="1" ht="14.45" customHeight="1" x14ac:dyDescent="0.25">
      <c r="A31" s="133" t="s">
        <v>61</v>
      </c>
      <c r="B31" s="51" t="s">
        <v>339</v>
      </c>
      <c r="C31" s="94" t="s">
        <v>54</v>
      </c>
      <c r="D31" s="95" t="s">
        <v>383</v>
      </c>
      <c r="E31" s="96" t="s">
        <v>114</v>
      </c>
      <c r="F31" s="97" t="s">
        <v>270</v>
      </c>
      <c r="G31" s="98">
        <f>CEILING(S31+W31+X31+O31+N31+Y31,10)</f>
        <v>8070</v>
      </c>
      <c r="H31" s="99">
        <f>CEILING(T31+W31+X31+O31+N31+Z31,10)</f>
        <v>8670</v>
      </c>
      <c r="I31" s="99">
        <f>CEILING(U31+W31+X31+O31+N31+AA31,10)</f>
        <v>8670</v>
      </c>
      <c r="J31" s="99">
        <f>CEILING(V31+W31+X31+O31+N31+AB31,10)</f>
        <v>10270</v>
      </c>
      <c r="K31" s="57"/>
      <c r="L31" s="156" t="s">
        <v>384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S31" s="101">
        <f>0.9*T31</f>
        <v>5400</v>
      </c>
      <c r="T31" s="54">
        <f>5850+150</f>
        <v>6000</v>
      </c>
      <c r="U31" s="103">
        <f t="shared" si="6"/>
        <v>6000</v>
      </c>
      <c r="V31" s="104">
        <f>U31*1.266</f>
        <v>7596</v>
      </c>
    </row>
    <row r="32" spans="1:29" s="40" customFormat="1" ht="14.45" customHeight="1" x14ac:dyDescent="0.25">
      <c r="A32" s="134" t="s">
        <v>334</v>
      </c>
      <c r="B32" s="88"/>
      <c r="C32" s="88"/>
      <c r="D32" s="88"/>
      <c r="E32" s="210"/>
      <c r="F32" s="211"/>
      <c r="G32" s="88"/>
      <c r="H32" s="88"/>
      <c r="I32" s="88"/>
      <c r="J32" s="88"/>
      <c r="K32" s="57"/>
      <c r="L32" s="89" t="s">
        <v>48</v>
      </c>
      <c r="M32" s="89" t="s">
        <v>261</v>
      </c>
      <c r="N32" s="90" t="s">
        <v>51</v>
      </c>
      <c r="O32" s="91" t="s">
        <v>50</v>
      </c>
      <c r="P32" s="91" t="s">
        <v>262</v>
      </c>
      <c r="Q32" s="91" t="s">
        <v>263</v>
      </c>
      <c r="R32" s="91" t="s">
        <v>264</v>
      </c>
      <c r="S32" s="92" t="s">
        <v>52</v>
      </c>
      <c r="T32" s="92" t="s">
        <v>53</v>
      </c>
      <c r="U32" s="92" t="s">
        <v>265</v>
      </c>
      <c r="V32" s="92" t="s">
        <v>266</v>
      </c>
      <c r="W32" s="92" t="s">
        <v>267</v>
      </c>
      <c r="X32" s="92" t="s">
        <v>268</v>
      </c>
      <c r="Y32" s="92" t="s">
        <v>52</v>
      </c>
      <c r="Z32" s="92" t="s">
        <v>53</v>
      </c>
      <c r="AA32" s="92" t="s">
        <v>265</v>
      </c>
      <c r="AB32" s="92" t="s">
        <v>266</v>
      </c>
      <c r="AC32" s="93" t="s">
        <v>269</v>
      </c>
    </row>
    <row r="33" spans="1:29" s="40" customFormat="1" ht="14.45" customHeight="1" x14ac:dyDescent="0.25">
      <c r="A33" s="133" t="s">
        <v>58</v>
      </c>
      <c r="B33" s="51" t="s">
        <v>341</v>
      </c>
      <c r="C33" s="94" t="s">
        <v>54</v>
      </c>
      <c r="D33" s="95" t="s">
        <v>383</v>
      </c>
      <c r="E33" s="96" t="s">
        <v>114</v>
      </c>
      <c r="F33" s="97" t="s">
        <v>270</v>
      </c>
      <c r="G33" s="98">
        <f>CEILING(S33+W33+X33+O33+N33+Y33,10)</f>
        <v>7360</v>
      </c>
      <c r="H33" s="99">
        <f>CEILING(T33+W33+X33+O33+N33+Z33,10)</f>
        <v>7990</v>
      </c>
      <c r="I33" s="99">
        <f>CEILING(U33+W33+X33+O33+N33+AA33,10)</f>
        <v>7990</v>
      </c>
      <c r="J33" s="99">
        <f>CEILING(V33+W33+X33+O33+N33+AB33,10)</f>
        <v>9670</v>
      </c>
      <c r="K33" s="57"/>
      <c r="L33" s="156" t="s">
        <v>384</v>
      </c>
      <c r="M33" s="52" t="s">
        <v>293</v>
      </c>
      <c r="N33" s="40">
        <v>0</v>
      </c>
      <c r="O33" s="53">
        <f>VLOOKUP(B33,DRAYAGE!$A$1:$C$107,3,FALSE)</f>
        <v>1690</v>
      </c>
      <c r="P33" s="40" t="s">
        <v>299</v>
      </c>
      <c r="S33" s="101">
        <f>0.9*T33</f>
        <v>5670</v>
      </c>
      <c r="T33" s="54">
        <f>T29</f>
        <v>6300</v>
      </c>
      <c r="U33" s="103">
        <f t="shared" si="6"/>
        <v>6300</v>
      </c>
      <c r="V33" s="104">
        <f>U33*1.266</f>
        <v>7975.8</v>
      </c>
      <c r="X33" s="40">
        <v>0</v>
      </c>
    </row>
    <row r="34" spans="1:29" s="40" customFormat="1" ht="14.45" customHeight="1" x14ac:dyDescent="0.25">
      <c r="A34" s="133" t="s">
        <v>55</v>
      </c>
      <c r="B34" s="51" t="s">
        <v>341</v>
      </c>
      <c r="C34" s="94" t="s">
        <v>54</v>
      </c>
      <c r="D34" s="95" t="s">
        <v>383</v>
      </c>
      <c r="E34" s="96" t="s">
        <v>114</v>
      </c>
      <c r="F34" s="97" t="s">
        <v>270</v>
      </c>
      <c r="G34" s="98">
        <f>CEILING(S34+W34+X34+O34+N34+Y34,10)</f>
        <v>7090</v>
      </c>
      <c r="H34" s="99">
        <f>CEILING(T34+W34+X34+O34+N34+Z34,10)</f>
        <v>7690</v>
      </c>
      <c r="I34" s="99">
        <f>CEILING(U34+W34+X34+O34+N34+AA34,10)</f>
        <v>7690</v>
      </c>
      <c r="J34" s="99">
        <f>CEILING(V34+W34+X34+O34+N34+AB34,10)</f>
        <v>9290</v>
      </c>
      <c r="K34" s="57"/>
      <c r="L34" s="156" t="s">
        <v>384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S34" s="101">
        <f>0.9*T34</f>
        <v>5400</v>
      </c>
      <c r="T34" s="54">
        <f>T30</f>
        <v>6000</v>
      </c>
      <c r="U34" s="103">
        <f t="shared" si="6"/>
        <v>6000</v>
      </c>
      <c r="V34" s="104">
        <f>U34*1.266</f>
        <v>7596</v>
      </c>
      <c r="X34" s="40">
        <v>0</v>
      </c>
    </row>
    <row r="35" spans="1:29" s="40" customFormat="1" ht="14.45" customHeight="1" x14ac:dyDescent="0.25">
      <c r="A35" s="133" t="s">
        <v>61</v>
      </c>
      <c r="B35" s="51" t="s">
        <v>341</v>
      </c>
      <c r="C35" s="94" t="s">
        <v>54</v>
      </c>
      <c r="D35" s="95" t="s">
        <v>383</v>
      </c>
      <c r="E35" s="96" t="s">
        <v>114</v>
      </c>
      <c r="F35" s="97" t="s">
        <v>270</v>
      </c>
      <c r="G35" s="98">
        <f>CEILING(S35+W35+X35+O35+N35+Y35,10)</f>
        <v>7090</v>
      </c>
      <c r="H35" s="99">
        <f>CEILING(T35+W35+X35+O35+N35+Z35,10)</f>
        <v>7690</v>
      </c>
      <c r="I35" s="99">
        <f>CEILING(U35+W35+X35+O35+N35+AA35,10)</f>
        <v>7690</v>
      </c>
      <c r="J35" s="99">
        <f>CEILING(V35+W35+X35+O35+N35+AB35,10)</f>
        <v>9290</v>
      </c>
      <c r="K35" s="57"/>
      <c r="L35" s="156" t="s">
        <v>384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S35" s="101">
        <f>0.9*T35</f>
        <v>5400</v>
      </c>
      <c r="T35" s="54">
        <f>T31</f>
        <v>6000</v>
      </c>
      <c r="U35" s="103">
        <f t="shared" si="6"/>
        <v>6000</v>
      </c>
      <c r="V35" s="104">
        <f>U35*1.266</f>
        <v>7596</v>
      </c>
      <c r="X35" s="40">
        <v>0</v>
      </c>
    </row>
    <row r="36" spans="1:29" s="40" customFormat="1" ht="14.45" customHeight="1" x14ac:dyDescent="0.25">
      <c r="A36" s="134" t="s">
        <v>335</v>
      </c>
      <c r="B36" s="88"/>
      <c r="C36" s="88"/>
      <c r="D36" s="88"/>
      <c r="E36" s="210"/>
      <c r="F36" s="211"/>
      <c r="G36" s="88"/>
      <c r="H36" s="88"/>
      <c r="I36" s="88"/>
      <c r="J36" s="88"/>
      <c r="K36" s="57"/>
      <c r="L36" s="89" t="s">
        <v>48</v>
      </c>
      <c r="M36" s="89" t="s">
        <v>261</v>
      </c>
      <c r="N36" s="90" t="s">
        <v>51</v>
      </c>
      <c r="O36" s="91" t="s">
        <v>50</v>
      </c>
      <c r="P36" s="91" t="s">
        <v>262</v>
      </c>
      <c r="Q36" s="91" t="s">
        <v>263</v>
      </c>
      <c r="R36" s="91" t="s">
        <v>264</v>
      </c>
      <c r="S36" s="92" t="s">
        <v>52</v>
      </c>
      <c r="T36" s="92" t="s">
        <v>53</v>
      </c>
      <c r="U36" s="92" t="s">
        <v>265</v>
      </c>
      <c r="V36" s="92" t="s">
        <v>266</v>
      </c>
      <c r="W36" s="92" t="s">
        <v>267</v>
      </c>
      <c r="X36" s="92" t="s">
        <v>268</v>
      </c>
      <c r="Y36" s="92" t="s">
        <v>52</v>
      </c>
      <c r="Z36" s="92" t="s">
        <v>53</v>
      </c>
      <c r="AA36" s="92" t="s">
        <v>265</v>
      </c>
      <c r="AB36" s="92" t="s">
        <v>266</v>
      </c>
      <c r="AC36" s="93" t="s">
        <v>269</v>
      </c>
    </row>
    <row r="37" spans="1:29" s="40" customFormat="1" ht="18.75" x14ac:dyDescent="0.25">
      <c r="A37" s="133" t="s">
        <v>81</v>
      </c>
      <c r="B37" s="51" t="s">
        <v>340</v>
      </c>
      <c r="C37" s="94" t="s">
        <v>54</v>
      </c>
      <c r="D37" s="95" t="s">
        <v>383</v>
      </c>
      <c r="E37" s="96" t="s">
        <v>114</v>
      </c>
      <c r="F37" s="97" t="s">
        <v>270</v>
      </c>
      <c r="G37" s="98">
        <f t="shared" ref="G37:G43" si="9">CEILING(S37+W37+X37+O37+N37+Y37,10)</f>
        <v>7210</v>
      </c>
      <c r="H37" s="99">
        <f t="shared" ref="H37:H43" si="10">CEILING(T37+W37+X37+O37+N37+Z37,10)</f>
        <v>7810</v>
      </c>
      <c r="I37" s="99">
        <f t="shared" ref="I37:I43" si="11">CEILING(U37+W37+X37+O37+N37+AA37,10)</f>
        <v>7810</v>
      </c>
      <c r="J37" s="99">
        <f t="shared" ref="J37:J43" si="12">CEILING(V37+W37+X37+O37+N37+AB37,10)</f>
        <v>9410</v>
      </c>
      <c r="K37" s="57"/>
      <c r="L37" s="156" t="s">
        <v>384</v>
      </c>
      <c r="M37" s="52" t="s">
        <v>294</v>
      </c>
      <c r="N37" s="40">
        <v>0</v>
      </c>
      <c r="O37" s="53">
        <f>VLOOKUP(B37,DRAYAGE!$A$1:$C$107,3,FALSE)</f>
        <v>1805</v>
      </c>
      <c r="P37" s="40" t="s">
        <v>300</v>
      </c>
      <c r="S37" s="101">
        <f t="shared" ref="S37:S43" si="13">0.9*T37</f>
        <v>5400</v>
      </c>
      <c r="T37" s="54">
        <f>5900+100</f>
        <v>6000</v>
      </c>
      <c r="U37" s="103">
        <f t="shared" si="6"/>
        <v>6000</v>
      </c>
      <c r="V37" s="104">
        <f t="shared" ref="V37:V43" si="14">U37*1.266</f>
        <v>7596</v>
      </c>
      <c r="X37" s="40">
        <v>0</v>
      </c>
    </row>
    <row r="38" spans="1:29" s="40" customFormat="1" ht="27" customHeight="1" x14ac:dyDescent="0.25">
      <c r="A38" s="133" t="s">
        <v>55</v>
      </c>
      <c r="B38" s="51" t="s">
        <v>340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 t="shared" si="9"/>
        <v>7210</v>
      </c>
      <c r="H38" s="99">
        <f t="shared" si="10"/>
        <v>7810</v>
      </c>
      <c r="I38" s="99">
        <f t="shared" si="11"/>
        <v>7810</v>
      </c>
      <c r="J38" s="99">
        <f t="shared" si="12"/>
        <v>9410</v>
      </c>
      <c r="K38" s="57"/>
      <c r="L38" s="156" t="s">
        <v>384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S38" s="101">
        <f t="shared" si="13"/>
        <v>5400</v>
      </c>
      <c r="T38" s="54">
        <f>5900+100</f>
        <v>6000</v>
      </c>
      <c r="U38" s="103">
        <f t="shared" si="6"/>
        <v>6000</v>
      </c>
      <c r="V38" s="104">
        <f t="shared" si="14"/>
        <v>7596</v>
      </c>
      <c r="X38" s="40">
        <v>0</v>
      </c>
    </row>
    <row r="39" spans="1:29" s="40" customFormat="1" ht="14.45" customHeight="1" x14ac:dyDescent="0.25">
      <c r="A39" s="133" t="s">
        <v>59</v>
      </c>
      <c r="B39" s="51" t="s">
        <v>340</v>
      </c>
      <c r="C39" s="94" t="s">
        <v>54</v>
      </c>
      <c r="D39" s="95" t="s">
        <v>383</v>
      </c>
      <c r="E39" s="96" t="s">
        <v>114</v>
      </c>
      <c r="F39" s="97" t="s">
        <v>270</v>
      </c>
      <c r="G39" s="98">
        <f t="shared" si="9"/>
        <v>7210</v>
      </c>
      <c r="H39" s="99">
        <f t="shared" si="10"/>
        <v>7810</v>
      </c>
      <c r="I39" s="99">
        <f t="shared" si="11"/>
        <v>7810</v>
      </c>
      <c r="J39" s="99">
        <f t="shared" si="12"/>
        <v>9410</v>
      </c>
      <c r="K39" s="57"/>
      <c r="L39" s="156" t="s">
        <v>384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S39" s="101">
        <f t="shared" si="13"/>
        <v>5400</v>
      </c>
      <c r="T39" s="54">
        <f>5900+100</f>
        <v>6000</v>
      </c>
      <c r="U39" s="103">
        <f t="shared" si="6"/>
        <v>6000</v>
      </c>
      <c r="V39" s="104">
        <f t="shared" si="14"/>
        <v>7596</v>
      </c>
      <c r="X39" s="40">
        <v>0</v>
      </c>
    </row>
    <row r="40" spans="1:29" s="40" customFormat="1" ht="18.75" x14ac:dyDescent="0.25">
      <c r="A40" s="133" t="s">
        <v>60</v>
      </c>
      <c r="B40" s="51" t="s">
        <v>340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 t="shared" si="9"/>
        <v>7210</v>
      </c>
      <c r="H40" s="99">
        <f t="shared" si="10"/>
        <v>7810</v>
      </c>
      <c r="I40" s="99">
        <f t="shared" si="11"/>
        <v>7810</v>
      </c>
      <c r="J40" s="99">
        <f t="shared" si="12"/>
        <v>9410</v>
      </c>
      <c r="K40" s="57"/>
      <c r="L40" s="156" t="s">
        <v>384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S40" s="101">
        <f t="shared" si="13"/>
        <v>5400</v>
      </c>
      <c r="T40" s="54">
        <f>5900+100</f>
        <v>6000</v>
      </c>
      <c r="U40" s="103">
        <f t="shared" si="6"/>
        <v>6000</v>
      </c>
      <c r="V40" s="104">
        <f t="shared" si="14"/>
        <v>7596</v>
      </c>
      <c r="X40" s="40">
        <v>0</v>
      </c>
    </row>
    <row r="41" spans="1:29" s="45" customFormat="1" ht="14.45" customHeight="1" x14ac:dyDescent="0.25">
      <c r="A41" s="133" t="s">
        <v>61</v>
      </c>
      <c r="B41" s="51" t="s">
        <v>340</v>
      </c>
      <c r="C41" s="106" t="s">
        <v>54</v>
      </c>
      <c r="D41" s="95" t="s">
        <v>383</v>
      </c>
      <c r="E41" s="107" t="s">
        <v>114</v>
      </c>
      <c r="F41" s="108" t="s">
        <v>270</v>
      </c>
      <c r="G41" s="109">
        <f t="shared" si="9"/>
        <v>7210</v>
      </c>
      <c r="H41" s="110">
        <f t="shared" si="10"/>
        <v>7810</v>
      </c>
      <c r="I41" s="110">
        <f t="shared" si="11"/>
        <v>7810</v>
      </c>
      <c r="J41" s="110">
        <f t="shared" si="12"/>
        <v>9410</v>
      </c>
      <c r="K41" s="111"/>
      <c r="L41" s="156" t="s">
        <v>384</v>
      </c>
      <c r="M41" s="52" t="s">
        <v>294</v>
      </c>
      <c r="N41" s="45">
        <v>0</v>
      </c>
      <c r="O41" s="53">
        <f>VLOOKUP(B41,DRAYAGE!$A$1:$C$107,3,FALSE)</f>
        <v>1805</v>
      </c>
      <c r="P41" s="40" t="s">
        <v>300</v>
      </c>
      <c r="R41" s="40"/>
      <c r="S41" s="113">
        <f t="shared" si="13"/>
        <v>5400</v>
      </c>
      <c r="T41" s="54">
        <f>5900+100</f>
        <v>6000</v>
      </c>
      <c r="U41" s="103">
        <f t="shared" si="6"/>
        <v>6000</v>
      </c>
      <c r="V41" s="114">
        <f t="shared" si="14"/>
        <v>7596</v>
      </c>
      <c r="X41" s="45">
        <v>0</v>
      </c>
      <c r="Y41" s="40"/>
      <c r="Z41" s="40"/>
      <c r="AA41" s="40"/>
      <c r="AB41" s="40"/>
    </row>
    <row r="42" spans="1:29" s="40" customFormat="1" ht="18.75" x14ac:dyDescent="0.25">
      <c r="A42" s="133" t="s">
        <v>273</v>
      </c>
      <c r="B42" s="51" t="s">
        <v>340</v>
      </c>
      <c r="C42" s="94" t="s">
        <v>54</v>
      </c>
      <c r="D42" s="95" t="s">
        <v>383</v>
      </c>
      <c r="E42" s="96" t="s">
        <v>114</v>
      </c>
      <c r="F42" s="97" t="s">
        <v>270</v>
      </c>
      <c r="G42" s="98">
        <f t="shared" si="9"/>
        <v>7340</v>
      </c>
      <c r="H42" s="99">
        <f t="shared" si="10"/>
        <v>7960</v>
      </c>
      <c r="I42" s="99">
        <f t="shared" si="11"/>
        <v>7960</v>
      </c>
      <c r="J42" s="99">
        <f t="shared" si="12"/>
        <v>9600</v>
      </c>
      <c r="K42" s="57"/>
      <c r="L42" s="156" t="s">
        <v>384</v>
      </c>
      <c r="M42" s="52" t="s">
        <v>294</v>
      </c>
      <c r="N42" s="40">
        <v>0</v>
      </c>
      <c r="O42" s="53">
        <f>VLOOKUP(B42,DRAYAGE!$A$1:$C$107,3,FALSE)</f>
        <v>1805</v>
      </c>
      <c r="P42" s="40" t="s">
        <v>300</v>
      </c>
      <c r="S42" s="101">
        <f t="shared" si="13"/>
        <v>5535</v>
      </c>
      <c r="T42" s="54">
        <f>5900+100+150</f>
        <v>6150</v>
      </c>
      <c r="U42" s="103">
        <f t="shared" si="6"/>
        <v>6150</v>
      </c>
      <c r="V42" s="104">
        <f t="shared" si="14"/>
        <v>7785.9</v>
      </c>
      <c r="X42" s="40">
        <v>0</v>
      </c>
    </row>
    <row r="43" spans="1:29" s="40" customFormat="1" ht="14.45" customHeight="1" x14ac:dyDescent="0.25">
      <c r="A43" s="133" t="s">
        <v>58</v>
      </c>
      <c r="B43" s="51" t="s">
        <v>340</v>
      </c>
      <c r="C43" s="94" t="s">
        <v>54</v>
      </c>
      <c r="D43" s="95" t="s">
        <v>383</v>
      </c>
      <c r="E43" s="96" t="s">
        <v>114</v>
      </c>
      <c r="F43" s="97" t="s">
        <v>270</v>
      </c>
      <c r="G43" s="98">
        <f t="shared" si="9"/>
        <v>7480</v>
      </c>
      <c r="H43" s="99">
        <f t="shared" si="10"/>
        <v>8110</v>
      </c>
      <c r="I43" s="99">
        <f t="shared" si="11"/>
        <v>8110</v>
      </c>
      <c r="J43" s="99">
        <f t="shared" si="12"/>
        <v>9790</v>
      </c>
      <c r="K43" s="57"/>
      <c r="L43" s="156" t="s">
        <v>384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S43" s="101">
        <f t="shared" si="13"/>
        <v>5670</v>
      </c>
      <c r="T43" s="54">
        <f>T37+300</f>
        <v>6300</v>
      </c>
      <c r="U43" s="103">
        <f t="shared" si="6"/>
        <v>6300</v>
      </c>
      <c r="V43" s="104">
        <f t="shared" si="14"/>
        <v>7975.8</v>
      </c>
      <c r="X43" s="40">
        <v>0</v>
      </c>
    </row>
    <row r="44" spans="1:29" s="40" customFormat="1" ht="14.45" customHeight="1" x14ac:dyDescent="0.25">
      <c r="A44" s="134" t="s">
        <v>98</v>
      </c>
      <c r="B44" s="88"/>
      <c r="C44" s="88"/>
      <c r="D44" s="88"/>
      <c r="E44" s="210"/>
      <c r="F44" s="211"/>
      <c r="G44" s="88"/>
      <c r="H44" s="88"/>
      <c r="I44" s="88"/>
      <c r="J44" s="88"/>
      <c r="K44" s="57"/>
      <c r="L44" s="89" t="s">
        <v>48</v>
      </c>
      <c r="M44" s="89" t="s">
        <v>261</v>
      </c>
      <c r="N44" s="90" t="s">
        <v>51</v>
      </c>
      <c r="O44" s="91" t="s">
        <v>50</v>
      </c>
      <c r="P44" s="91" t="s">
        <v>262</v>
      </c>
      <c r="Q44" s="91" t="s">
        <v>263</v>
      </c>
      <c r="R44" s="92" t="s">
        <v>52</v>
      </c>
      <c r="S44" s="92" t="s">
        <v>52</v>
      </c>
      <c r="T44" s="92" t="s">
        <v>53</v>
      </c>
      <c r="U44" s="92" t="s">
        <v>265</v>
      </c>
      <c r="V44" s="92" t="s">
        <v>266</v>
      </c>
      <c r="W44" s="92" t="s">
        <v>267</v>
      </c>
      <c r="X44" s="92" t="s">
        <v>268</v>
      </c>
      <c r="Y44" s="92" t="s">
        <v>52</v>
      </c>
      <c r="Z44" s="92" t="s">
        <v>53</v>
      </c>
      <c r="AA44" s="92" t="s">
        <v>265</v>
      </c>
      <c r="AB44" s="92" t="s">
        <v>266</v>
      </c>
      <c r="AC44" s="93" t="s">
        <v>269</v>
      </c>
    </row>
    <row r="45" spans="1:29" s="40" customFormat="1" ht="14.45" customHeight="1" x14ac:dyDescent="0.25">
      <c r="A45" s="133" t="s">
        <v>331</v>
      </c>
      <c r="B45" s="51" t="s">
        <v>342</v>
      </c>
      <c r="C45" s="94" t="s">
        <v>54</v>
      </c>
      <c r="D45" s="95" t="s">
        <v>383</v>
      </c>
      <c r="E45" s="96" t="s">
        <v>114</v>
      </c>
      <c r="F45" s="97" t="s">
        <v>270</v>
      </c>
      <c r="G45" s="98">
        <f>CEILING(S45+W45+X45+O45+N45+Y45,10)</f>
        <v>8420</v>
      </c>
      <c r="H45" s="99">
        <f>CEILING(T45+W45+X45+O45+N45+Z45,10)</f>
        <v>9020</v>
      </c>
      <c r="I45" s="99">
        <f>CEILING(U45+W45+X45+O45+N45+AA45,10)</f>
        <v>9020</v>
      </c>
      <c r="J45" s="99">
        <f>CEILING(V45+W45+X45+O45+N45+AB45,10)</f>
        <v>10630</v>
      </c>
      <c r="K45" s="57"/>
      <c r="L45" s="156" t="s">
        <v>384</v>
      </c>
      <c r="M45" s="52" t="s">
        <v>293</v>
      </c>
      <c r="N45" s="40">
        <v>0</v>
      </c>
      <c r="O45" s="53">
        <f>VLOOKUP(B45,DRAYAGE!$A$1:$C$107,3,FALSE)</f>
        <v>2995</v>
      </c>
      <c r="P45" s="40" t="s">
        <v>302</v>
      </c>
      <c r="R45" s="101">
        <v>19800</v>
      </c>
      <c r="S45" s="101">
        <f>0.9*T45</f>
        <v>5422.5</v>
      </c>
      <c r="T45" s="54">
        <f>5850+175</f>
        <v>6025</v>
      </c>
      <c r="U45" s="103">
        <f>T45</f>
        <v>6025</v>
      </c>
      <c r="V45" s="104">
        <f>U45*1.266</f>
        <v>7627.65</v>
      </c>
      <c r="W45" s="40">
        <v>0</v>
      </c>
    </row>
    <row r="46" spans="1:29" s="40" customFormat="1" ht="14.45" customHeight="1" x14ac:dyDescent="0.25">
      <c r="A46" s="133" t="s">
        <v>328</v>
      </c>
      <c r="B46" s="51" t="s">
        <v>342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>CEILING(S46+W46+X46+O46+N46+Y46,10)</f>
        <v>8420</v>
      </c>
      <c r="H46" s="99">
        <f>CEILING(T46+W46+X46+O46+N46+Z46,10)</f>
        <v>9020</v>
      </c>
      <c r="I46" s="99">
        <f>CEILING(U46+W46+X46+O46+N46+AA46,10)</f>
        <v>9020</v>
      </c>
      <c r="J46" s="99">
        <f>CEILING(V46+W46+X46+O46+N46+AB46,10)</f>
        <v>10630</v>
      </c>
      <c r="K46" s="57"/>
      <c r="L46" s="156" t="s">
        <v>384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R46" s="101">
        <v>19800</v>
      </c>
      <c r="S46" s="101">
        <f>0.9*T46</f>
        <v>5422.5</v>
      </c>
      <c r="T46" s="54">
        <f>5850+175</f>
        <v>6025</v>
      </c>
      <c r="U46" s="103">
        <f>T46</f>
        <v>6025</v>
      </c>
      <c r="V46" s="104">
        <f>U46*1.266</f>
        <v>7627.65</v>
      </c>
      <c r="W46" s="40">
        <v>0</v>
      </c>
    </row>
    <row r="47" spans="1:29" s="40" customFormat="1" ht="14.45" customHeight="1" x14ac:dyDescent="0.25">
      <c r="A47" s="133" t="s">
        <v>58</v>
      </c>
      <c r="B47" s="51" t="s">
        <v>342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>CEILING(S47+W47+X47+O47+N47+Y47,10)</f>
        <v>8690</v>
      </c>
      <c r="H47" s="99">
        <f>CEILING(T47+W47+X47+O47+N47+Z47,10)</f>
        <v>9320</v>
      </c>
      <c r="I47" s="99">
        <f>CEILING(U47+W47+X47+O47+N47+AA47,10)</f>
        <v>9320</v>
      </c>
      <c r="J47" s="99">
        <f>CEILING(V47+W47+X47+O47+N47+AB47,10)</f>
        <v>11010</v>
      </c>
      <c r="K47" s="57"/>
      <c r="L47" s="156" t="s">
        <v>384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R47" s="101">
        <v>19800</v>
      </c>
      <c r="S47" s="101">
        <f>0.9*T47</f>
        <v>5692.5</v>
      </c>
      <c r="T47" s="54">
        <f>5850+175+300</f>
        <v>6325</v>
      </c>
      <c r="U47" s="103">
        <f>T47</f>
        <v>6325</v>
      </c>
      <c r="V47" s="104">
        <f>U47*1.266</f>
        <v>8007.45</v>
      </c>
      <c r="W47" s="40">
        <v>0</v>
      </c>
    </row>
    <row r="48" spans="1:29" s="40" customFormat="1" ht="14.45" customHeight="1" x14ac:dyDescent="0.25">
      <c r="A48" s="133" t="s">
        <v>330</v>
      </c>
      <c r="B48" s="51" t="s">
        <v>342</v>
      </c>
      <c r="C48" s="94" t="s">
        <v>54</v>
      </c>
      <c r="D48" s="95" t="s">
        <v>383</v>
      </c>
      <c r="E48" s="96" t="s">
        <v>114</v>
      </c>
      <c r="F48" s="97" t="s">
        <v>270</v>
      </c>
      <c r="G48" s="98">
        <f>CEILING(S48+W48+X48+O48+N48+Y48,10)</f>
        <v>8420</v>
      </c>
      <c r="H48" s="99">
        <f>CEILING(T48+W48+X48+O48+N48+Z48,10)</f>
        <v>9020</v>
      </c>
      <c r="I48" s="99">
        <f>CEILING(U48+W48+X48+O48+N48+AA48,10)</f>
        <v>9020</v>
      </c>
      <c r="J48" s="99">
        <f>CEILING(V48+W48+X48+O48+N48+AB48,10)</f>
        <v>10630</v>
      </c>
      <c r="K48" s="57"/>
      <c r="L48" s="156" t="s">
        <v>384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R48" s="101">
        <v>19800</v>
      </c>
      <c r="S48" s="101">
        <f>0.9*T48</f>
        <v>5422.5</v>
      </c>
      <c r="T48" s="54">
        <f>5850+175</f>
        <v>6025</v>
      </c>
      <c r="U48" s="103">
        <f>T48</f>
        <v>6025</v>
      </c>
      <c r="V48" s="104">
        <f>U48*1.266</f>
        <v>7627.65</v>
      </c>
      <c r="W48" s="40">
        <v>0</v>
      </c>
    </row>
    <row r="49" spans="1:29" s="40" customFormat="1" ht="14.45" customHeight="1" x14ac:dyDescent="0.25">
      <c r="A49" s="134" t="s">
        <v>336</v>
      </c>
      <c r="B49" s="88"/>
      <c r="C49" s="88"/>
      <c r="D49" s="88"/>
      <c r="E49" s="210"/>
      <c r="F49" s="211"/>
      <c r="G49" s="88"/>
      <c r="H49" s="88"/>
      <c r="I49" s="88"/>
      <c r="J49" s="88"/>
      <c r="K49" s="57"/>
      <c r="L49" s="89" t="s">
        <v>48</v>
      </c>
      <c r="M49" s="89" t="s">
        <v>261</v>
      </c>
      <c r="N49" s="90" t="s">
        <v>51</v>
      </c>
      <c r="O49" s="91" t="s">
        <v>50</v>
      </c>
      <c r="P49" s="91" t="s">
        <v>262</v>
      </c>
      <c r="Q49" s="91" t="s">
        <v>263</v>
      </c>
      <c r="R49" s="92" t="s">
        <v>52</v>
      </c>
      <c r="S49" s="92" t="s">
        <v>52</v>
      </c>
      <c r="T49" s="92" t="s">
        <v>53</v>
      </c>
      <c r="U49" s="92" t="s">
        <v>265</v>
      </c>
      <c r="V49" s="92" t="s">
        <v>266</v>
      </c>
      <c r="W49" s="92" t="s">
        <v>267</v>
      </c>
      <c r="X49" s="92" t="s">
        <v>268</v>
      </c>
      <c r="Y49" s="92" t="s">
        <v>52</v>
      </c>
      <c r="Z49" s="92" t="s">
        <v>53</v>
      </c>
      <c r="AA49" s="92" t="s">
        <v>265</v>
      </c>
      <c r="AB49" s="92" t="s">
        <v>266</v>
      </c>
      <c r="AC49" s="93" t="s">
        <v>269</v>
      </c>
    </row>
    <row r="50" spans="1:29" s="40" customFormat="1" ht="14.45" customHeight="1" x14ac:dyDescent="0.25">
      <c r="A50" s="133" t="s">
        <v>326</v>
      </c>
      <c r="B50" s="51" t="s">
        <v>343</v>
      </c>
      <c r="C50" s="94" t="s">
        <v>54</v>
      </c>
      <c r="D50" s="95" t="s">
        <v>383</v>
      </c>
      <c r="E50" s="96" t="s">
        <v>114</v>
      </c>
      <c r="F50" s="97" t="s">
        <v>270</v>
      </c>
      <c r="G50" s="98">
        <v>18510</v>
      </c>
      <c r="H50" s="99">
        <v>20510</v>
      </c>
      <c r="I50" s="99">
        <v>20510</v>
      </c>
      <c r="J50" s="99">
        <v>25830</v>
      </c>
      <c r="K50" s="57"/>
      <c r="L50" s="156" t="s">
        <v>384</v>
      </c>
      <c r="M50" s="52" t="s">
        <v>295</v>
      </c>
      <c r="N50" s="40">
        <v>0</v>
      </c>
      <c r="O50" s="53">
        <f>VLOOKUP(B50,DRAYAGE!$A$1:$C$107,3,FALSE)</f>
        <v>1185</v>
      </c>
      <c r="P50" s="40" t="s">
        <v>361</v>
      </c>
      <c r="R50" s="101">
        <v>18000</v>
      </c>
      <c r="S50" s="101">
        <f>0.9*T50</f>
        <v>5985</v>
      </c>
      <c r="T50" s="54">
        <f>6500+150</f>
        <v>6650</v>
      </c>
      <c r="U50" s="103">
        <f>T50</f>
        <v>6650</v>
      </c>
      <c r="V50" s="104">
        <f>U50*1.266</f>
        <v>8418.9</v>
      </c>
      <c r="W50" s="40">
        <v>0</v>
      </c>
    </row>
    <row r="51" spans="1:29" s="40" customFormat="1" ht="14.45" customHeight="1" x14ac:dyDescent="0.25">
      <c r="A51" s="133" t="s">
        <v>327</v>
      </c>
      <c r="B51" s="51" t="s">
        <v>343</v>
      </c>
      <c r="C51" s="94" t="s">
        <v>54</v>
      </c>
      <c r="D51" s="95" t="s">
        <v>383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56" t="s">
        <v>384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R51" s="101">
        <v>18000</v>
      </c>
      <c r="S51" s="101">
        <f>0.9*T51</f>
        <v>5985</v>
      </c>
      <c r="T51" s="54">
        <f>6500+150</f>
        <v>6650</v>
      </c>
      <c r="U51" s="103">
        <f>T51</f>
        <v>6650</v>
      </c>
      <c r="V51" s="104">
        <f>U51*1.266</f>
        <v>8418.9</v>
      </c>
      <c r="W51" s="40">
        <v>0</v>
      </c>
    </row>
    <row r="52" spans="1:29" s="40" customFormat="1" ht="14.45" customHeight="1" x14ac:dyDescent="0.25">
      <c r="A52" s="133" t="s">
        <v>328</v>
      </c>
      <c r="B52" s="51" t="s">
        <v>343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v>18510</v>
      </c>
      <c r="H52" s="99">
        <v>20510</v>
      </c>
      <c r="I52" s="99">
        <v>20510</v>
      </c>
      <c r="J52" s="99">
        <v>25830</v>
      </c>
      <c r="K52" s="57"/>
      <c r="L52" s="156" t="s">
        <v>384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R52" s="101">
        <v>18000</v>
      </c>
      <c r="S52" s="101">
        <f>0.9*T52</f>
        <v>5985</v>
      </c>
      <c r="T52" s="54">
        <f>6500+150</f>
        <v>6650</v>
      </c>
      <c r="U52" s="103">
        <f>T52</f>
        <v>6650</v>
      </c>
      <c r="V52" s="104">
        <f>U52*1.266</f>
        <v>8418.9</v>
      </c>
      <c r="W52" s="40">
        <v>0</v>
      </c>
    </row>
    <row r="53" spans="1:29" s="40" customFormat="1" ht="14.45" customHeight="1" x14ac:dyDescent="0.25">
      <c r="A53" s="134" t="s">
        <v>337</v>
      </c>
      <c r="B53" s="88"/>
      <c r="C53" s="88"/>
      <c r="D53" s="88"/>
      <c r="E53" s="210"/>
      <c r="F53" s="211"/>
      <c r="G53" s="88"/>
      <c r="H53" s="88"/>
      <c r="I53" s="88"/>
      <c r="J53" s="88"/>
      <c r="K53" s="57"/>
      <c r="L53" s="89" t="s">
        <v>48</v>
      </c>
      <c r="M53" s="89" t="s">
        <v>261</v>
      </c>
      <c r="N53" s="90" t="s">
        <v>51</v>
      </c>
      <c r="O53" s="91" t="s">
        <v>50</v>
      </c>
      <c r="P53" s="91" t="s">
        <v>262</v>
      </c>
      <c r="Q53" s="91" t="s">
        <v>263</v>
      </c>
      <c r="R53" s="91" t="s">
        <v>264</v>
      </c>
      <c r="S53" s="92" t="s">
        <v>52</v>
      </c>
      <c r="T53" s="92" t="s">
        <v>53</v>
      </c>
      <c r="U53" s="92" t="s">
        <v>265</v>
      </c>
      <c r="V53" s="92" t="s">
        <v>266</v>
      </c>
      <c r="W53" s="92" t="s">
        <v>267</v>
      </c>
      <c r="X53" s="92" t="s">
        <v>268</v>
      </c>
      <c r="Y53" s="92" t="s">
        <v>52</v>
      </c>
      <c r="Z53" s="92" t="s">
        <v>53</v>
      </c>
      <c r="AA53" s="92" t="s">
        <v>265</v>
      </c>
      <c r="AB53" s="92" t="s">
        <v>266</v>
      </c>
      <c r="AC53" s="93" t="s">
        <v>269</v>
      </c>
    </row>
    <row r="54" spans="1:29" s="40" customFormat="1" ht="18.75" x14ac:dyDescent="0.25">
      <c r="A54" s="133" t="s">
        <v>81</v>
      </c>
      <c r="B54" s="51" t="s">
        <v>344</v>
      </c>
      <c r="C54" s="94" t="s">
        <v>54</v>
      </c>
      <c r="D54" s="95" t="s">
        <v>383</v>
      </c>
      <c r="E54" s="96" t="s">
        <v>114</v>
      </c>
      <c r="F54" s="97" t="s">
        <v>270</v>
      </c>
      <c r="G54" s="98">
        <f t="shared" ref="G54:G59" si="15">CEILING(S54+W54+X54+O54+N54+Y54,10)</f>
        <v>6750</v>
      </c>
      <c r="H54" s="99">
        <f t="shared" ref="H54:H59" si="16">CEILING(T54+W54+X54+O54+N54+Z54,10)</f>
        <v>7350</v>
      </c>
      <c r="I54" s="99">
        <f t="shared" ref="I54:I59" si="17">CEILING(U54+W54+X54+O54+N54+AA54,10)</f>
        <v>7350</v>
      </c>
      <c r="J54" s="99">
        <f t="shared" ref="J54:J59" si="18">CEILING(V54+W54+X54+O54+N54+AB54,10)</f>
        <v>8950</v>
      </c>
      <c r="K54" s="57"/>
      <c r="L54" s="156" t="s">
        <v>384</v>
      </c>
      <c r="M54" s="52" t="s">
        <v>294</v>
      </c>
      <c r="N54" s="40">
        <v>0</v>
      </c>
      <c r="O54" s="53">
        <f>VLOOKUP(B54,DRAYAGE!$A$1:$C$107,3,FALSE)</f>
        <v>1345</v>
      </c>
      <c r="P54" s="40" t="s">
        <v>301</v>
      </c>
      <c r="S54" s="101">
        <f t="shared" ref="S54:S68" si="19">0.9*T54</f>
        <v>5400</v>
      </c>
      <c r="T54" s="54">
        <f t="shared" ref="T54:T59" si="20">T37</f>
        <v>6000</v>
      </c>
      <c r="U54" s="103">
        <f t="shared" si="6"/>
        <v>6000</v>
      </c>
      <c r="V54" s="104">
        <f t="shared" ref="V54:V59" si="21">U54*1.266</f>
        <v>7596</v>
      </c>
      <c r="X54" s="40">
        <v>0</v>
      </c>
    </row>
    <row r="55" spans="1:29" s="40" customFormat="1" ht="14.45" customHeight="1" x14ac:dyDescent="0.25">
      <c r="A55" s="133" t="s">
        <v>55</v>
      </c>
      <c r="B55" s="51" t="s">
        <v>344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 t="shared" si="15"/>
        <v>6750</v>
      </c>
      <c r="H55" s="99">
        <f t="shared" si="16"/>
        <v>7350</v>
      </c>
      <c r="I55" s="99">
        <f t="shared" si="17"/>
        <v>7350</v>
      </c>
      <c r="J55" s="99">
        <f t="shared" si="18"/>
        <v>8950</v>
      </c>
      <c r="K55" s="57"/>
      <c r="L55" s="156" t="s">
        <v>384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S55" s="101">
        <f t="shared" si="19"/>
        <v>5400</v>
      </c>
      <c r="T55" s="54">
        <f t="shared" si="20"/>
        <v>6000</v>
      </c>
      <c r="U55" s="103">
        <f t="shared" si="6"/>
        <v>6000</v>
      </c>
      <c r="V55" s="104">
        <f t="shared" si="21"/>
        <v>7596</v>
      </c>
      <c r="X55" s="40">
        <v>0</v>
      </c>
    </row>
    <row r="56" spans="1:29" s="40" customFormat="1" ht="14.45" customHeight="1" x14ac:dyDescent="0.25">
      <c r="A56" s="133" t="s">
        <v>59</v>
      </c>
      <c r="B56" s="51" t="s">
        <v>344</v>
      </c>
      <c r="C56" s="94" t="s">
        <v>54</v>
      </c>
      <c r="D56" s="95" t="s">
        <v>383</v>
      </c>
      <c r="E56" s="96" t="s">
        <v>114</v>
      </c>
      <c r="F56" s="97" t="s">
        <v>270</v>
      </c>
      <c r="G56" s="98">
        <f t="shared" si="15"/>
        <v>6750</v>
      </c>
      <c r="H56" s="99">
        <f t="shared" si="16"/>
        <v>7350</v>
      </c>
      <c r="I56" s="99">
        <f t="shared" si="17"/>
        <v>7350</v>
      </c>
      <c r="J56" s="99">
        <f t="shared" si="18"/>
        <v>8950</v>
      </c>
      <c r="K56" s="57"/>
      <c r="L56" s="156" t="s">
        <v>384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S56" s="101">
        <f t="shared" si="19"/>
        <v>5400</v>
      </c>
      <c r="T56" s="54">
        <f t="shared" si="20"/>
        <v>6000</v>
      </c>
      <c r="U56" s="103">
        <f t="shared" si="6"/>
        <v>6000</v>
      </c>
      <c r="V56" s="104">
        <f t="shared" si="21"/>
        <v>7596</v>
      </c>
      <c r="X56" s="40">
        <v>0</v>
      </c>
    </row>
    <row r="57" spans="1:29" s="40" customFormat="1" ht="18.75" x14ac:dyDescent="0.25">
      <c r="A57" s="133" t="s">
        <v>60</v>
      </c>
      <c r="B57" s="51" t="s">
        <v>344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f t="shared" si="15"/>
        <v>6750</v>
      </c>
      <c r="H57" s="99">
        <f t="shared" si="16"/>
        <v>7350</v>
      </c>
      <c r="I57" s="99">
        <f t="shared" si="17"/>
        <v>7350</v>
      </c>
      <c r="J57" s="99">
        <f t="shared" si="18"/>
        <v>8950</v>
      </c>
      <c r="K57" s="57"/>
      <c r="L57" s="156" t="s">
        <v>384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S57" s="101">
        <f t="shared" si="19"/>
        <v>5400</v>
      </c>
      <c r="T57" s="54">
        <f t="shared" si="20"/>
        <v>6000</v>
      </c>
      <c r="U57" s="103">
        <f t="shared" si="6"/>
        <v>6000</v>
      </c>
      <c r="V57" s="104">
        <f t="shared" si="21"/>
        <v>7596</v>
      </c>
      <c r="X57" s="40">
        <v>0</v>
      </c>
    </row>
    <row r="58" spans="1:29" s="40" customFormat="1" ht="14.45" customHeight="1" x14ac:dyDescent="0.25">
      <c r="A58" s="133" t="s">
        <v>61</v>
      </c>
      <c r="B58" s="51" t="s">
        <v>344</v>
      </c>
      <c r="C58" s="94" t="s">
        <v>54</v>
      </c>
      <c r="D58" s="95" t="s">
        <v>383</v>
      </c>
      <c r="E58" s="96" t="s">
        <v>114</v>
      </c>
      <c r="F58" s="97" t="s">
        <v>270</v>
      </c>
      <c r="G58" s="98">
        <f t="shared" si="15"/>
        <v>6750</v>
      </c>
      <c r="H58" s="99">
        <f t="shared" si="16"/>
        <v>7350</v>
      </c>
      <c r="I58" s="99">
        <f t="shared" si="17"/>
        <v>7350</v>
      </c>
      <c r="J58" s="99">
        <f t="shared" si="18"/>
        <v>8950</v>
      </c>
      <c r="K58" s="57"/>
      <c r="L58" s="156" t="s">
        <v>384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S58" s="101">
        <f t="shared" si="19"/>
        <v>5400</v>
      </c>
      <c r="T58" s="54">
        <f t="shared" si="20"/>
        <v>6000</v>
      </c>
      <c r="U58" s="103">
        <f t="shared" si="6"/>
        <v>6000</v>
      </c>
      <c r="V58" s="104">
        <f t="shared" si="21"/>
        <v>7596</v>
      </c>
      <c r="X58" s="40">
        <v>0</v>
      </c>
    </row>
    <row r="59" spans="1:29" s="40" customFormat="1" ht="18.75" x14ac:dyDescent="0.25">
      <c r="A59" s="133" t="s">
        <v>273</v>
      </c>
      <c r="B59" s="51" t="s">
        <v>344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f t="shared" si="15"/>
        <v>6880</v>
      </c>
      <c r="H59" s="99">
        <f t="shared" si="16"/>
        <v>7500</v>
      </c>
      <c r="I59" s="99">
        <f t="shared" si="17"/>
        <v>7500</v>
      </c>
      <c r="J59" s="99">
        <f t="shared" si="18"/>
        <v>9140</v>
      </c>
      <c r="K59" s="57"/>
      <c r="L59" s="156" t="s">
        <v>384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S59" s="101">
        <f t="shared" si="19"/>
        <v>5535</v>
      </c>
      <c r="T59" s="54">
        <f t="shared" si="20"/>
        <v>6150</v>
      </c>
      <c r="U59" s="103">
        <f t="shared" si="6"/>
        <v>6150</v>
      </c>
      <c r="V59" s="104">
        <f t="shared" si="21"/>
        <v>7785.9</v>
      </c>
      <c r="X59" s="40">
        <v>0</v>
      </c>
    </row>
    <row r="60" spans="1:29" s="40" customFormat="1" ht="15.75" x14ac:dyDescent="0.25">
      <c r="A60" s="134" t="s">
        <v>389</v>
      </c>
      <c r="B60" s="88"/>
      <c r="C60" s="88"/>
      <c r="D60" s="88"/>
      <c r="E60" s="210"/>
      <c r="F60" s="211"/>
      <c r="G60" s="88"/>
      <c r="H60" s="88"/>
      <c r="I60" s="88"/>
      <c r="J60" s="88"/>
      <c r="K60" s="57"/>
      <c r="L60" s="89" t="s">
        <v>48</v>
      </c>
      <c r="M60" s="89" t="s">
        <v>261</v>
      </c>
      <c r="N60" s="90" t="s">
        <v>51</v>
      </c>
      <c r="O60" s="91" t="s">
        <v>50</v>
      </c>
      <c r="P60" s="91" t="s">
        <v>262</v>
      </c>
      <c r="Q60" s="91" t="s">
        <v>263</v>
      </c>
      <c r="R60" s="92" t="s">
        <v>52</v>
      </c>
      <c r="S60" s="92" t="s">
        <v>52</v>
      </c>
      <c r="T60" s="92" t="s">
        <v>53</v>
      </c>
      <c r="U60" s="92" t="s">
        <v>265</v>
      </c>
      <c r="V60" s="92" t="s">
        <v>266</v>
      </c>
      <c r="W60" s="92" t="s">
        <v>267</v>
      </c>
      <c r="X60" s="92" t="s">
        <v>268</v>
      </c>
      <c r="Y60" s="92" t="s">
        <v>52</v>
      </c>
      <c r="Z60" s="92" t="s">
        <v>53</v>
      </c>
      <c r="AA60" s="92" t="s">
        <v>265</v>
      </c>
      <c r="AB60" s="92" t="s">
        <v>266</v>
      </c>
      <c r="AC60" s="93" t="s">
        <v>269</v>
      </c>
    </row>
    <row r="61" spans="1:29" s="40" customFormat="1" ht="18.75" x14ac:dyDescent="0.25">
      <c r="A61" s="133" t="s">
        <v>55</v>
      </c>
      <c r="B61" s="51" t="s">
        <v>390</v>
      </c>
      <c r="C61" s="94" t="s">
        <v>54</v>
      </c>
      <c r="D61" s="95" t="s">
        <v>383</v>
      </c>
      <c r="E61" s="96" t="s">
        <v>114</v>
      </c>
      <c r="F61" s="97" t="s">
        <v>270</v>
      </c>
      <c r="G61" s="98">
        <f t="shared" ref="G61:G68" si="22">CEILING(S61+W61+X61+O61+N61+Y61,10)</f>
        <v>8830</v>
      </c>
      <c r="H61" s="99">
        <f t="shared" ref="H61:H68" si="23">CEILING(T61+W61+X61+O61+N61+Z61,10)</f>
        <v>9590</v>
      </c>
      <c r="I61" s="99">
        <f t="shared" ref="I61:I68" si="24">CEILING(U61+W61+X61+O61+N61+AA61,10)</f>
        <v>9590</v>
      </c>
      <c r="J61" s="99">
        <f t="shared" ref="J61:J68" si="25">CEILING(V61+W61+X61+O61+N61+AB61,10)</f>
        <v>11640</v>
      </c>
      <c r="K61" s="57"/>
      <c r="L61" s="156" t="s">
        <v>384</v>
      </c>
      <c r="M61" s="52" t="s">
        <v>397</v>
      </c>
      <c r="N61" s="40">
        <v>0</v>
      </c>
      <c r="O61" s="53">
        <f>VLOOKUP(B61,DRAYAGE!$A$1:$C$107,3,FALSE)</f>
        <v>1915</v>
      </c>
      <c r="P61" s="40" t="str">
        <f>VLOOKUP($B61,DRAYAGE!$A$1:$Q$23,14,FALSE)</f>
        <v>PCF, chassis split, drop fee</v>
      </c>
      <c r="R61" s="54">
        <v>11000</v>
      </c>
      <c r="S61" s="101">
        <f t="shared" si="19"/>
        <v>6907.5</v>
      </c>
      <c r="T61" s="54">
        <f>7500+175</f>
        <v>7675</v>
      </c>
      <c r="U61" s="103">
        <f t="shared" ref="U61:U68" si="26">T61</f>
        <v>7675</v>
      </c>
      <c r="V61" s="104">
        <f t="shared" ref="V61:V68" si="27">U61*1.266</f>
        <v>9716.5499999999993</v>
      </c>
    </row>
    <row r="62" spans="1:29" s="40" customFormat="1" ht="18.75" x14ac:dyDescent="0.25">
      <c r="A62" s="133" t="s">
        <v>55</v>
      </c>
      <c r="B62" s="51" t="s">
        <v>391</v>
      </c>
      <c r="C62" s="94" t="s">
        <v>54</v>
      </c>
      <c r="D62" s="95" t="s">
        <v>383</v>
      </c>
      <c r="E62" s="96" t="s">
        <v>114</v>
      </c>
      <c r="F62" s="97" t="s">
        <v>270</v>
      </c>
      <c r="G62" s="98">
        <f t="shared" si="22"/>
        <v>12630</v>
      </c>
      <c r="H62" s="99">
        <f t="shared" si="23"/>
        <v>13300</v>
      </c>
      <c r="I62" s="99">
        <f t="shared" si="24"/>
        <v>13300</v>
      </c>
      <c r="J62" s="99">
        <f t="shared" si="25"/>
        <v>15080</v>
      </c>
      <c r="K62" s="57"/>
      <c r="L62" s="156" t="s">
        <v>384</v>
      </c>
      <c r="M62" s="52" t="s">
        <v>398</v>
      </c>
      <c r="N62" s="40">
        <v>0</v>
      </c>
      <c r="O62" s="53">
        <f>VLOOKUP(B62,DRAYAGE!$A$1:$C$107,3,FALSE)</f>
        <v>6620</v>
      </c>
      <c r="P62" s="40" t="str">
        <f>VLOOKUP($B62,DRAYAGE!$A$1:$Q$23,14,FALSE)</f>
        <v>Rail fee, toll, drop</v>
      </c>
      <c r="R62" s="54">
        <v>11000</v>
      </c>
      <c r="S62" s="101">
        <f t="shared" si="19"/>
        <v>6007.5</v>
      </c>
      <c r="T62" s="54">
        <f>6500+175</f>
        <v>6675</v>
      </c>
      <c r="U62" s="103">
        <f t="shared" si="26"/>
        <v>6675</v>
      </c>
      <c r="V62" s="104">
        <f t="shared" si="27"/>
        <v>8450.5499999999993</v>
      </c>
    </row>
    <row r="63" spans="1:29" s="40" customFormat="1" ht="18.75" x14ac:dyDescent="0.25">
      <c r="A63" s="133" t="s">
        <v>55</v>
      </c>
      <c r="B63" s="51" t="s">
        <v>396</v>
      </c>
      <c r="C63" s="94" t="s">
        <v>54</v>
      </c>
      <c r="D63" s="95" t="s">
        <v>383</v>
      </c>
      <c r="E63" s="96" t="s">
        <v>114</v>
      </c>
      <c r="F63" s="97" t="s">
        <v>270</v>
      </c>
      <c r="G63" s="98">
        <f t="shared" si="22"/>
        <v>9780</v>
      </c>
      <c r="H63" s="99">
        <f t="shared" si="23"/>
        <v>10500</v>
      </c>
      <c r="I63" s="99">
        <f t="shared" si="24"/>
        <v>10500</v>
      </c>
      <c r="J63" s="99">
        <f t="shared" si="25"/>
        <v>12410</v>
      </c>
      <c r="K63" s="57"/>
      <c r="L63" s="156" t="s">
        <v>384</v>
      </c>
      <c r="M63" s="52" t="s">
        <v>399</v>
      </c>
      <c r="N63" s="40">
        <v>0</v>
      </c>
      <c r="O63" s="53">
        <f>VLOOKUP(B63,DRAYAGE!$A$1:$C$107,3,FALSE)</f>
        <v>3320</v>
      </c>
      <c r="P63" s="40" t="str">
        <f>VLOOKUP($B63,DRAYAGE!$A$1:$Q$23,14,FALSE)</f>
        <v>Rail fee, drop fee, toll fee</v>
      </c>
      <c r="R63" s="103">
        <v>11000</v>
      </c>
      <c r="S63" s="101">
        <f t="shared" si="19"/>
        <v>6457.5</v>
      </c>
      <c r="T63" s="54">
        <f>7000+175</f>
        <v>7175</v>
      </c>
      <c r="U63" s="103">
        <f t="shared" si="26"/>
        <v>7175</v>
      </c>
      <c r="V63" s="104">
        <f t="shared" si="27"/>
        <v>9083.5499999999993</v>
      </c>
    </row>
    <row r="64" spans="1:29" s="40" customFormat="1" ht="18.75" x14ac:dyDescent="0.25">
      <c r="A64" s="133" t="s">
        <v>55</v>
      </c>
      <c r="B64" s="51" t="s">
        <v>392</v>
      </c>
      <c r="C64" s="94" t="s">
        <v>54</v>
      </c>
      <c r="D64" s="95" t="s">
        <v>383</v>
      </c>
      <c r="E64" s="96" t="s">
        <v>114</v>
      </c>
      <c r="F64" s="97" t="s">
        <v>270</v>
      </c>
      <c r="G64" s="98">
        <f t="shared" si="22"/>
        <v>10170</v>
      </c>
      <c r="H64" s="99">
        <f t="shared" si="23"/>
        <v>10830</v>
      </c>
      <c r="I64" s="99">
        <f t="shared" si="24"/>
        <v>10830</v>
      </c>
      <c r="J64" s="99">
        <f t="shared" si="25"/>
        <v>12610</v>
      </c>
      <c r="K64" s="57"/>
      <c r="L64" s="156" t="s">
        <v>384</v>
      </c>
      <c r="M64" s="52" t="s">
        <v>398</v>
      </c>
      <c r="N64" s="40">
        <v>0</v>
      </c>
      <c r="O64" s="53">
        <f>VLOOKUP(B64,DRAYAGE!$A$1:$C$107,3,FALSE)</f>
        <v>4155</v>
      </c>
      <c r="P64" s="40" t="str">
        <f>VLOOKUP($B64,DRAYAGE!$A$1:$Q$23,14,FALSE)</f>
        <v>Rail fee, chassis split, drop, toll</v>
      </c>
      <c r="R64" s="103">
        <v>11000</v>
      </c>
      <c r="S64" s="101">
        <f t="shared" si="19"/>
        <v>6007.5</v>
      </c>
      <c r="T64" s="54">
        <f>T62</f>
        <v>6675</v>
      </c>
      <c r="U64" s="103">
        <f t="shared" si="26"/>
        <v>6675</v>
      </c>
      <c r="V64" s="104">
        <f t="shared" si="27"/>
        <v>8450.5499999999993</v>
      </c>
    </row>
    <row r="65" spans="1:29" s="40" customFormat="1" ht="18.75" x14ac:dyDescent="0.25">
      <c r="A65" s="133" t="s">
        <v>55</v>
      </c>
      <c r="B65" s="51" t="s">
        <v>395</v>
      </c>
      <c r="C65" s="94" t="s">
        <v>54</v>
      </c>
      <c r="D65" s="95" t="s">
        <v>383</v>
      </c>
      <c r="E65" s="96" t="s">
        <v>114</v>
      </c>
      <c r="F65" s="97" t="s">
        <v>270</v>
      </c>
      <c r="G65" s="98">
        <f t="shared" si="22"/>
        <v>9190</v>
      </c>
      <c r="H65" s="99">
        <f t="shared" si="23"/>
        <v>9960</v>
      </c>
      <c r="I65" s="99">
        <f t="shared" si="24"/>
        <v>9960</v>
      </c>
      <c r="J65" s="99">
        <f t="shared" si="25"/>
        <v>12000</v>
      </c>
      <c r="K65" s="57"/>
      <c r="L65" s="156" t="s">
        <v>384</v>
      </c>
      <c r="M65" s="52" t="s">
        <v>400</v>
      </c>
      <c r="N65" s="40">
        <v>0</v>
      </c>
      <c r="O65" s="53">
        <f>VLOOKUP(B65,DRAYAGE!$A$1:$C$107,3,FALSE)</f>
        <v>2280</v>
      </c>
      <c r="P65" s="40" t="str">
        <f>VLOOKUP($B65,DRAYAGE!$A$1:$Q$23,14,FALSE)</f>
        <v>Rail fee, chassis split, drop</v>
      </c>
      <c r="R65" s="54">
        <v>11000</v>
      </c>
      <c r="S65" s="101">
        <f t="shared" si="19"/>
        <v>6907.5</v>
      </c>
      <c r="T65" s="54">
        <f>7500+175</f>
        <v>7675</v>
      </c>
      <c r="U65" s="103">
        <f t="shared" si="26"/>
        <v>7675</v>
      </c>
      <c r="V65" s="104">
        <f t="shared" si="27"/>
        <v>9716.5499999999993</v>
      </c>
    </row>
    <row r="66" spans="1:29" s="40" customFormat="1" ht="18.75" x14ac:dyDescent="0.25">
      <c r="A66" s="133" t="s">
        <v>55</v>
      </c>
      <c r="B66" s="51" t="s">
        <v>393</v>
      </c>
      <c r="C66" s="94" t="s">
        <v>54</v>
      </c>
      <c r="D66" s="95" t="s">
        <v>383</v>
      </c>
      <c r="E66" s="96" t="s">
        <v>114</v>
      </c>
      <c r="F66" s="97" t="s">
        <v>270</v>
      </c>
      <c r="G66" s="98">
        <f t="shared" si="22"/>
        <v>8820</v>
      </c>
      <c r="H66" s="99">
        <f t="shared" si="23"/>
        <v>9480</v>
      </c>
      <c r="I66" s="99">
        <f t="shared" si="24"/>
        <v>9480</v>
      </c>
      <c r="J66" s="99">
        <f t="shared" si="25"/>
        <v>11260</v>
      </c>
      <c r="K66" s="57"/>
      <c r="L66" s="156" t="s">
        <v>384</v>
      </c>
      <c r="M66" s="52" t="s">
        <v>398</v>
      </c>
      <c r="N66" s="40">
        <v>0</v>
      </c>
      <c r="O66" s="53">
        <f>VLOOKUP(B66,DRAYAGE!$A$1:$C$107,3,FALSE)</f>
        <v>2805</v>
      </c>
      <c r="P66" s="40" t="str">
        <f>VLOOKUP($B66,DRAYAGE!$A$1:$Q$23,14,FALSE)</f>
        <v>Rail fee, chassis split, drop, toll</v>
      </c>
      <c r="R66" s="54">
        <v>11000</v>
      </c>
      <c r="S66" s="101">
        <f t="shared" si="19"/>
        <v>6007.5</v>
      </c>
      <c r="T66" s="54">
        <f>T62</f>
        <v>6675</v>
      </c>
      <c r="U66" s="103">
        <f t="shared" si="26"/>
        <v>6675</v>
      </c>
      <c r="V66" s="104">
        <f t="shared" si="27"/>
        <v>8450.5499999999993</v>
      </c>
    </row>
    <row r="67" spans="1:29" s="40" customFormat="1" ht="18.75" x14ac:dyDescent="0.25">
      <c r="A67" s="133" t="s">
        <v>55</v>
      </c>
      <c r="B67" s="51" t="s">
        <v>394</v>
      </c>
      <c r="C67" s="94" t="s">
        <v>54</v>
      </c>
      <c r="D67" s="95" t="s">
        <v>383</v>
      </c>
      <c r="E67" s="96" t="s">
        <v>114</v>
      </c>
      <c r="F67" s="97" t="s">
        <v>270</v>
      </c>
      <c r="G67" s="98">
        <f t="shared" si="22"/>
        <v>9510</v>
      </c>
      <c r="H67" s="99">
        <f t="shared" si="23"/>
        <v>10360</v>
      </c>
      <c r="I67" s="99">
        <f t="shared" si="24"/>
        <v>10360</v>
      </c>
      <c r="J67" s="99">
        <f t="shared" si="25"/>
        <v>12650</v>
      </c>
      <c r="K67" s="57"/>
      <c r="L67" s="156" t="s">
        <v>384</v>
      </c>
      <c r="M67" s="52" t="s">
        <v>401</v>
      </c>
      <c r="N67" s="40">
        <v>0</v>
      </c>
      <c r="O67" s="53">
        <f>VLOOKUP(B67,DRAYAGE!$A$1:$C$107,3,FALSE)</f>
        <v>1785</v>
      </c>
      <c r="P67" s="40" t="str">
        <f>VLOOKUP($B67,DRAYAGE!$A$1:$Q$23,14,FALSE)</f>
        <v>chassis split, drop</v>
      </c>
      <c r="R67" s="101">
        <v>9900</v>
      </c>
      <c r="S67" s="101">
        <f t="shared" si="19"/>
        <v>7717.5</v>
      </c>
      <c r="T67" s="54">
        <f>8400+175</f>
        <v>8575</v>
      </c>
      <c r="U67" s="103">
        <f t="shared" si="26"/>
        <v>8575</v>
      </c>
      <c r="V67" s="104">
        <f t="shared" si="27"/>
        <v>10855.95</v>
      </c>
    </row>
    <row r="68" spans="1:29" s="45" customFormat="1" ht="18.75" x14ac:dyDescent="0.25">
      <c r="A68" s="133" t="s">
        <v>55</v>
      </c>
      <c r="B68" s="51" t="s">
        <v>419</v>
      </c>
      <c r="C68" s="106" t="s">
        <v>54</v>
      </c>
      <c r="D68" s="171" t="s">
        <v>383</v>
      </c>
      <c r="E68" s="107" t="s">
        <v>114</v>
      </c>
      <c r="F68" s="108" t="s">
        <v>270</v>
      </c>
      <c r="G68" s="109">
        <f t="shared" si="22"/>
        <v>3850</v>
      </c>
      <c r="H68" s="110">
        <f t="shared" si="23"/>
        <v>4060</v>
      </c>
      <c r="I68" s="110">
        <f t="shared" si="24"/>
        <v>4060</v>
      </c>
      <c r="J68" s="110">
        <f t="shared" si="25"/>
        <v>4610</v>
      </c>
      <c r="K68" s="111"/>
      <c r="L68" s="172" t="s">
        <v>384</v>
      </c>
      <c r="M68" s="52" t="s">
        <v>292</v>
      </c>
      <c r="N68" s="45">
        <v>0</v>
      </c>
      <c r="O68" s="53">
        <f>1485+165+35+70+250</f>
        <v>2005</v>
      </c>
      <c r="P68" s="45" t="s">
        <v>420</v>
      </c>
      <c r="R68" s="101"/>
      <c r="S68" s="113">
        <f t="shared" si="19"/>
        <v>1845</v>
      </c>
      <c r="T68" s="54">
        <f>1950+100</f>
        <v>2050</v>
      </c>
      <c r="U68" s="173">
        <f t="shared" si="26"/>
        <v>2050</v>
      </c>
      <c r="V68" s="114">
        <f t="shared" si="27"/>
        <v>2595.3000000000002</v>
      </c>
    </row>
    <row r="69" spans="1:29" s="40" customFormat="1" ht="15.75" x14ac:dyDescent="0.25">
      <c r="A69" s="134" t="s">
        <v>436</v>
      </c>
      <c r="B69" s="88"/>
      <c r="C69" s="88"/>
      <c r="D69" s="88"/>
      <c r="E69" s="210"/>
      <c r="F69" s="211"/>
      <c r="G69" s="88"/>
      <c r="H69" s="88"/>
      <c r="I69" s="88"/>
      <c r="J69" s="88"/>
      <c r="K69" s="57"/>
      <c r="L69" s="89" t="s">
        <v>48</v>
      </c>
      <c r="M69" s="89" t="s">
        <v>261</v>
      </c>
      <c r="N69" s="90" t="s">
        <v>51</v>
      </c>
      <c r="O69" s="91" t="s">
        <v>50</v>
      </c>
      <c r="P69" s="91" t="s">
        <v>262</v>
      </c>
      <c r="Q69" s="91" t="s">
        <v>263</v>
      </c>
      <c r="R69" s="92" t="s">
        <v>52</v>
      </c>
      <c r="S69" s="92" t="s">
        <v>52</v>
      </c>
      <c r="T69" s="92" t="s">
        <v>53</v>
      </c>
      <c r="U69" s="92" t="s">
        <v>265</v>
      </c>
      <c r="V69" s="92" t="s">
        <v>266</v>
      </c>
      <c r="W69" s="92" t="s">
        <v>267</v>
      </c>
      <c r="X69" s="92" t="s">
        <v>268</v>
      </c>
      <c r="Y69" s="92" t="s">
        <v>52</v>
      </c>
      <c r="Z69" s="92" t="s">
        <v>53</v>
      </c>
      <c r="AA69" s="92" t="s">
        <v>265</v>
      </c>
      <c r="AB69" s="92" t="s">
        <v>266</v>
      </c>
      <c r="AC69" s="93" t="s">
        <v>269</v>
      </c>
    </row>
    <row r="70" spans="1:29" s="40" customFormat="1" ht="18.75" x14ac:dyDescent="0.25">
      <c r="A70" s="133" t="s">
        <v>437</v>
      </c>
      <c r="B70" s="51" t="s">
        <v>390</v>
      </c>
      <c r="C70" s="94" t="s">
        <v>54</v>
      </c>
      <c r="D70" s="95" t="s">
        <v>383</v>
      </c>
      <c r="E70" s="96" t="s">
        <v>114</v>
      </c>
      <c r="F70" s="97" t="s">
        <v>270</v>
      </c>
      <c r="G70" s="98">
        <f t="shared" ref="G70:G76" si="28">CEILING(S70+W70+X70+O70+N70+Y70,10)</f>
        <v>8960</v>
      </c>
      <c r="H70" s="99">
        <f t="shared" ref="H70:H76" si="29">CEILING(T70+W70+X70+O70+N70+Z70,10)</f>
        <v>9740</v>
      </c>
      <c r="I70" s="99">
        <f t="shared" ref="I70:I76" si="30">CEILING(U70+W70+X70+O70+N70+AA70,10)</f>
        <v>9740</v>
      </c>
      <c r="J70" s="99">
        <f t="shared" ref="J70:J76" si="31">CEILING(V70+W70+X70+O70+N70+AB70,10)</f>
        <v>11830</v>
      </c>
      <c r="K70" s="57"/>
      <c r="L70" s="156" t="s">
        <v>384</v>
      </c>
      <c r="M70" s="52" t="s">
        <v>397</v>
      </c>
      <c r="N70" s="40">
        <v>0</v>
      </c>
      <c r="O70" s="53">
        <f>VLOOKUP(B70,DRAYAGE!$A$1:$C$107,3,FALSE)</f>
        <v>1915</v>
      </c>
      <c r="P70" s="40" t="s">
        <v>411</v>
      </c>
      <c r="R70" s="101">
        <v>8865</v>
      </c>
      <c r="S70" s="101">
        <f t="shared" ref="S70:S76" si="32">0.9*T70</f>
        <v>7042.5</v>
      </c>
      <c r="T70" s="54">
        <f>7500+150+175</f>
        <v>7825</v>
      </c>
      <c r="U70" s="103">
        <f t="shared" ref="U70:U76" si="33">T70</f>
        <v>7825</v>
      </c>
      <c r="V70" s="104">
        <f t="shared" ref="V70:V76" si="34">U70*1.266</f>
        <v>9906.4500000000007</v>
      </c>
    </row>
    <row r="71" spans="1:29" s="40" customFormat="1" ht="18.75" x14ac:dyDescent="0.25">
      <c r="A71" s="133" t="s">
        <v>437</v>
      </c>
      <c r="B71" s="51" t="s">
        <v>391</v>
      </c>
      <c r="C71" s="94" t="s">
        <v>54</v>
      </c>
      <c r="D71" s="95" t="s">
        <v>383</v>
      </c>
      <c r="E71" s="96" t="s">
        <v>114</v>
      </c>
      <c r="F71" s="97" t="s">
        <v>270</v>
      </c>
      <c r="G71" s="98">
        <f t="shared" si="28"/>
        <v>12770</v>
      </c>
      <c r="H71" s="99">
        <f t="shared" si="29"/>
        <v>13450</v>
      </c>
      <c r="I71" s="99">
        <f t="shared" si="30"/>
        <v>13450</v>
      </c>
      <c r="J71" s="99">
        <f t="shared" si="31"/>
        <v>15270</v>
      </c>
      <c r="K71" s="57"/>
      <c r="L71" s="156" t="s">
        <v>384</v>
      </c>
      <c r="M71" s="52" t="s">
        <v>398</v>
      </c>
      <c r="N71" s="40">
        <v>0</v>
      </c>
      <c r="O71" s="53">
        <f>VLOOKUP(B71,DRAYAGE!$A$1:$C$107,3,FALSE)</f>
        <v>6620</v>
      </c>
      <c r="P71" s="40" t="s">
        <v>413</v>
      </c>
      <c r="R71" s="101">
        <v>8820</v>
      </c>
      <c r="S71" s="101">
        <f t="shared" si="32"/>
        <v>6142.5</v>
      </c>
      <c r="T71" s="54">
        <f>6500+150+175</f>
        <v>6825</v>
      </c>
      <c r="U71" s="103">
        <f t="shared" si="33"/>
        <v>6825</v>
      </c>
      <c r="V71" s="104">
        <f t="shared" si="34"/>
        <v>8640.4500000000007</v>
      </c>
    </row>
    <row r="72" spans="1:29" s="40" customFormat="1" ht="18.75" x14ac:dyDescent="0.25">
      <c r="A72" s="133" t="s">
        <v>437</v>
      </c>
      <c r="B72" s="51" t="s">
        <v>396</v>
      </c>
      <c r="C72" s="94" t="s">
        <v>54</v>
      </c>
      <c r="D72" s="95" t="s">
        <v>383</v>
      </c>
      <c r="E72" s="96" t="s">
        <v>114</v>
      </c>
      <c r="F72" s="97" t="s">
        <v>270</v>
      </c>
      <c r="G72" s="98">
        <f t="shared" si="28"/>
        <v>9920</v>
      </c>
      <c r="H72" s="99">
        <f t="shared" si="29"/>
        <v>10650</v>
      </c>
      <c r="I72" s="99">
        <f t="shared" si="30"/>
        <v>10650</v>
      </c>
      <c r="J72" s="99">
        <f t="shared" si="31"/>
        <v>12600</v>
      </c>
      <c r="K72" s="57"/>
      <c r="L72" s="156" t="s">
        <v>384</v>
      </c>
      <c r="M72" s="52" t="s">
        <v>399</v>
      </c>
      <c r="N72" s="40">
        <v>0</v>
      </c>
      <c r="O72" s="53">
        <f>VLOOKUP(B72,DRAYAGE!$A$1:$C$107,3,FALSE)</f>
        <v>3320</v>
      </c>
      <c r="P72" s="40" t="s">
        <v>428</v>
      </c>
      <c r="R72" s="101">
        <v>9225</v>
      </c>
      <c r="S72" s="101">
        <f t="shared" si="32"/>
        <v>6592.5</v>
      </c>
      <c r="T72" s="54">
        <f>7000+150+175</f>
        <v>7325</v>
      </c>
      <c r="U72" s="103">
        <f t="shared" si="33"/>
        <v>7325</v>
      </c>
      <c r="V72" s="104">
        <f t="shared" si="34"/>
        <v>9273.4500000000007</v>
      </c>
    </row>
    <row r="73" spans="1:29" s="40" customFormat="1" ht="18.75" x14ac:dyDescent="0.25">
      <c r="A73" s="133" t="s">
        <v>437</v>
      </c>
      <c r="B73" s="51" t="s">
        <v>392</v>
      </c>
      <c r="C73" s="94" t="s">
        <v>54</v>
      </c>
      <c r="D73" s="95" t="s">
        <v>383</v>
      </c>
      <c r="E73" s="96" t="s">
        <v>114</v>
      </c>
      <c r="F73" s="97" t="s">
        <v>270</v>
      </c>
      <c r="G73" s="98">
        <f t="shared" si="28"/>
        <v>10300</v>
      </c>
      <c r="H73" s="99">
        <f t="shared" si="29"/>
        <v>10980</v>
      </c>
      <c r="I73" s="99">
        <f t="shared" si="30"/>
        <v>10980</v>
      </c>
      <c r="J73" s="99">
        <f t="shared" si="31"/>
        <v>12800</v>
      </c>
      <c r="K73" s="57"/>
      <c r="L73" s="156" t="s">
        <v>384</v>
      </c>
      <c r="M73" s="52" t="s">
        <v>398</v>
      </c>
      <c r="N73" s="40">
        <v>0</v>
      </c>
      <c r="O73" s="53">
        <f>VLOOKUP(B73,DRAYAGE!$A$1:$C$107,3,FALSE)</f>
        <v>4155</v>
      </c>
      <c r="P73" s="40" t="s">
        <v>415</v>
      </c>
      <c r="R73" s="101">
        <v>8820</v>
      </c>
      <c r="S73" s="101">
        <f t="shared" si="32"/>
        <v>6142.5</v>
      </c>
      <c r="T73" s="54">
        <f>T71</f>
        <v>6825</v>
      </c>
      <c r="U73" s="103">
        <f t="shared" si="33"/>
        <v>6825</v>
      </c>
      <c r="V73" s="104">
        <f t="shared" si="34"/>
        <v>8640.4500000000007</v>
      </c>
    </row>
    <row r="74" spans="1:29" s="40" customFormat="1" ht="18.75" x14ac:dyDescent="0.25">
      <c r="A74" s="133" t="s">
        <v>437</v>
      </c>
      <c r="B74" s="51" t="s">
        <v>395</v>
      </c>
      <c r="C74" s="94" t="s">
        <v>54</v>
      </c>
      <c r="D74" s="95" t="s">
        <v>383</v>
      </c>
      <c r="E74" s="96" t="s">
        <v>114</v>
      </c>
      <c r="F74" s="97" t="s">
        <v>270</v>
      </c>
      <c r="G74" s="98">
        <f t="shared" si="28"/>
        <v>9330</v>
      </c>
      <c r="H74" s="99">
        <f t="shared" si="29"/>
        <v>10110</v>
      </c>
      <c r="I74" s="99">
        <f t="shared" si="30"/>
        <v>10110</v>
      </c>
      <c r="J74" s="99">
        <f t="shared" si="31"/>
        <v>12190</v>
      </c>
      <c r="K74" s="57"/>
      <c r="L74" s="156" t="s">
        <v>384</v>
      </c>
      <c r="M74" s="52" t="s">
        <v>400</v>
      </c>
      <c r="N74" s="40">
        <v>0</v>
      </c>
      <c r="O74" s="53">
        <f>VLOOKUP(B74,DRAYAGE!$A$1:$C$107,3,FALSE)</f>
        <v>2280</v>
      </c>
      <c r="P74" s="40" t="s">
        <v>414</v>
      </c>
      <c r="R74" s="101">
        <v>9225</v>
      </c>
      <c r="S74" s="101">
        <f t="shared" si="32"/>
        <v>7042.5</v>
      </c>
      <c r="T74" s="54">
        <f>7500+150+175</f>
        <v>7825</v>
      </c>
      <c r="U74" s="103">
        <f t="shared" si="33"/>
        <v>7825</v>
      </c>
      <c r="V74" s="104">
        <f t="shared" si="34"/>
        <v>9906.4500000000007</v>
      </c>
    </row>
    <row r="75" spans="1:29" s="40" customFormat="1" ht="18.75" x14ac:dyDescent="0.25">
      <c r="A75" s="133" t="s">
        <v>437</v>
      </c>
      <c r="B75" s="51" t="s">
        <v>393</v>
      </c>
      <c r="C75" s="94" t="s">
        <v>54</v>
      </c>
      <c r="D75" s="95" t="s">
        <v>383</v>
      </c>
      <c r="E75" s="96" t="s">
        <v>114</v>
      </c>
      <c r="F75" s="97" t="s">
        <v>270</v>
      </c>
      <c r="G75" s="98">
        <f t="shared" si="28"/>
        <v>8950</v>
      </c>
      <c r="H75" s="99">
        <f t="shared" si="29"/>
        <v>9630</v>
      </c>
      <c r="I75" s="99">
        <f t="shared" si="30"/>
        <v>9630</v>
      </c>
      <c r="J75" s="99">
        <f t="shared" si="31"/>
        <v>11450</v>
      </c>
      <c r="K75" s="57"/>
      <c r="L75" s="156" t="s">
        <v>384</v>
      </c>
      <c r="M75" s="52" t="s">
        <v>398</v>
      </c>
      <c r="N75" s="40">
        <v>0</v>
      </c>
      <c r="O75" s="53">
        <f>VLOOKUP(B75,DRAYAGE!$A$1:$C$107,3,FALSE)</f>
        <v>2805</v>
      </c>
      <c r="P75" s="40" t="s">
        <v>415</v>
      </c>
      <c r="R75" s="101">
        <v>8820</v>
      </c>
      <c r="S75" s="101">
        <f t="shared" si="32"/>
        <v>6142.5</v>
      </c>
      <c r="T75" s="54">
        <f>T71</f>
        <v>6825</v>
      </c>
      <c r="U75" s="103">
        <f t="shared" si="33"/>
        <v>6825</v>
      </c>
      <c r="V75" s="104">
        <f t="shared" si="34"/>
        <v>8640.4500000000007</v>
      </c>
    </row>
    <row r="76" spans="1:29" s="40" customFormat="1" ht="14.45" customHeight="1" x14ac:dyDescent="0.25">
      <c r="A76" s="133" t="s">
        <v>437</v>
      </c>
      <c r="B76" s="51" t="s">
        <v>394</v>
      </c>
      <c r="C76" s="94" t="s">
        <v>54</v>
      </c>
      <c r="D76" s="95" t="s">
        <v>383</v>
      </c>
      <c r="E76" s="96" t="s">
        <v>114</v>
      </c>
      <c r="F76" s="97" t="s">
        <v>270</v>
      </c>
      <c r="G76" s="98">
        <f t="shared" si="28"/>
        <v>9640</v>
      </c>
      <c r="H76" s="99">
        <f t="shared" si="29"/>
        <v>10510</v>
      </c>
      <c r="I76" s="99">
        <f t="shared" si="30"/>
        <v>10510</v>
      </c>
      <c r="J76" s="99">
        <f t="shared" si="31"/>
        <v>12840</v>
      </c>
      <c r="K76" s="57"/>
      <c r="L76" s="156" t="s">
        <v>384</v>
      </c>
      <c r="M76" s="52" t="s">
        <v>401</v>
      </c>
      <c r="N76" s="40">
        <v>0</v>
      </c>
      <c r="O76" s="53">
        <f>VLOOKUP(B76,DRAYAGE!$A$1:$C$107,3,FALSE)</f>
        <v>1785</v>
      </c>
      <c r="P76" s="40" t="s">
        <v>416</v>
      </c>
      <c r="R76" s="101">
        <v>8640</v>
      </c>
      <c r="S76" s="101">
        <f t="shared" si="32"/>
        <v>7852.5</v>
      </c>
      <c r="T76" s="54">
        <f>8400+150+175</f>
        <v>8725</v>
      </c>
      <c r="U76" s="103">
        <f t="shared" si="33"/>
        <v>8725</v>
      </c>
      <c r="V76" s="104">
        <f t="shared" si="34"/>
        <v>11045.85</v>
      </c>
    </row>
    <row r="77" spans="1:29" s="40" customFormat="1" ht="14.45" customHeight="1" x14ac:dyDescent="0.25">
      <c r="A77" s="212" t="s">
        <v>271</v>
      </c>
      <c r="B77" s="212"/>
      <c r="C77" s="212"/>
      <c r="D77" s="212"/>
      <c r="E77" s="212"/>
      <c r="F77" s="212"/>
      <c r="G77" s="212"/>
      <c r="H77" s="212"/>
      <c r="I77" s="212"/>
      <c r="J77" s="212"/>
      <c r="K77" s="57"/>
      <c r="L77" s="100"/>
      <c r="M77" s="100"/>
      <c r="R77" s="37"/>
      <c r="S77" s="37"/>
      <c r="T77" s="37"/>
      <c r="U77" s="37"/>
      <c r="V77" s="37"/>
    </row>
    <row r="78" spans="1:29" s="40" customFormat="1" ht="21.4" customHeight="1" x14ac:dyDescent="0.25">
      <c r="A78" s="167"/>
      <c r="B78" s="168"/>
      <c r="C78" s="168"/>
      <c r="D78" s="168"/>
      <c r="E78" s="168"/>
      <c r="F78" s="168"/>
      <c r="G78" s="168"/>
      <c r="H78" s="168"/>
      <c r="I78" s="168"/>
      <c r="J78" s="168"/>
      <c r="K78" s="57"/>
      <c r="L78" s="100"/>
      <c r="M78" s="100"/>
      <c r="S78" s="37"/>
      <c r="T78" s="37"/>
      <c r="U78" s="37"/>
      <c r="V78" s="37"/>
      <c r="W78" s="37"/>
    </row>
    <row r="79" spans="1:29" s="37" customFormat="1" ht="14.45" customHeight="1" x14ac:dyDescent="0.25">
      <c r="A79" s="180" t="s">
        <v>111</v>
      </c>
      <c r="B79" s="180"/>
      <c r="C79" s="180"/>
      <c r="D79" s="180"/>
      <c r="E79" s="180"/>
      <c r="F79" s="180"/>
      <c r="G79" s="180"/>
      <c r="H79" s="180"/>
      <c r="I79" s="180"/>
      <c r="J79" s="180"/>
      <c r="K79" s="57"/>
    </row>
    <row r="80" spans="1:29" s="37" customFormat="1" ht="14.45" customHeight="1" x14ac:dyDescent="0.25">
      <c r="A80" s="208" t="s">
        <v>112</v>
      </c>
      <c r="B80" s="208"/>
      <c r="C80" s="208"/>
      <c r="D80" s="208"/>
      <c r="E80" s="208"/>
      <c r="F80" s="208"/>
      <c r="G80" s="208"/>
      <c r="H80" s="208"/>
      <c r="I80" s="208"/>
      <c r="J80" s="208"/>
      <c r="K80" s="57"/>
    </row>
    <row r="81" spans="1:17" s="37" customFormat="1" ht="14.45" customHeight="1" x14ac:dyDescent="0.25">
      <c r="A81" s="186" t="s">
        <v>67</v>
      </c>
      <c r="B81" s="186"/>
      <c r="C81" s="186"/>
      <c r="D81" s="186"/>
      <c r="E81" s="186" t="s">
        <v>68</v>
      </c>
      <c r="F81" s="186"/>
      <c r="G81" s="186"/>
      <c r="H81" s="186"/>
      <c r="I81" s="186"/>
      <c r="J81" s="186"/>
      <c r="K81" s="57"/>
      <c r="L81" s="209" t="s">
        <v>113</v>
      </c>
      <c r="M81" s="209"/>
      <c r="N81" s="209"/>
      <c r="O81" s="209"/>
      <c r="P81" s="209"/>
      <c r="Q81" s="209"/>
    </row>
    <row r="82" spans="1:17" s="37" customFormat="1" ht="14.45" customHeight="1" x14ac:dyDescent="0.25">
      <c r="A82" s="196" t="s">
        <v>69</v>
      </c>
      <c r="B82" s="196"/>
      <c r="C82" s="196"/>
      <c r="D82" s="196"/>
      <c r="E82" s="58" t="s">
        <v>114</v>
      </c>
      <c r="F82" s="196" t="s">
        <v>70</v>
      </c>
      <c r="G82" s="196"/>
      <c r="H82" s="196"/>
      <c r="I82" s="196"/>
      <c r="J82" s="196"/>
      <c r="K82" s="57"/>
      <c r="L82" s="197" t="s">
        <v>115</v>
      </c>
      <c r="M82" s="197"/>
      <c r="N82" s="197"/>
      <c r="O82" s="197"/>
      <c r="P82" s="197"/>
      <c r="Q82" s="197"/>
    </row>
    <row r="83" spans="1:17" s="37" customFormat="1" ht="14.45" customHeight="1" x14ac:dyDescent="0.25">
      <c r="A83" s="196" t="s">
        <v>71</v>
      </c>
      <c r="B83" s="196"/>
      <c r="C83" s="196"/>
      <c r="D83" s="201"/>
      <c r="E83" s="58" t="s">
        <v>114</v>
      </c>
      <c r="F83" s="196" t="s">
        <v>116</v>
      </c>
      <c r="G83" s="196"/>
      <c r="H83" s="196"/>
      <c r="I83" s="196"/>
      <c r="J83" s="196"/>
      <c r="K83" s="57"/>
      <c r="L83" s="197"/>
      <c r="M83" s="197"/>
      <c r="N83" s="197"/>
      <c r="O83" s="197"/>
      <c r="P83" s="197"/>
      <c r="Q83" s="197"/>
    </row>
    <row r="84" spans="1:17" s="37" customFormat="1" ht="18" customHeight="1" x14ac:dyDescent="0.25">
      <c r="A84" s="196" t="s">
        <v>117</v>
      </c>
      <c r="B84" s="196"/>
      <c r="C84" s="196"/>
      <c r="D84" s="201"/>
      <c r="E84" s="58" t="s">
        <v>114</v>
      </c>
      <c r="F84" s="196" t="s">
        <v>306</v>
      </c>
      <c r="G84" s="196"/>
      <c r="H84" s="196"/>
      <c r="I84" s="196"/>
      <c r="J84" s="196"/>
      <c r="K84" s="57"/>
      <c r="L84" s="59" t="s">
        <v>118</v>
      </c>
      <c r="M84" s="129"/>
      <c r="N84" s="129"/>
      <c r="O84" s="129"/>
      <c r="P84" s="129"/>
      <c r="Q84" s="129"/>
    </row>
    <row r="85" spans="1:17" s="37" customFormat="1" ht="32.65" customHeight="1" x14ac:dyDescent="0.25">
      <c r="A85" s="202" t="s">
        <v>388</v>
      </c>
      <c r="B85" s="202"/>
      <c r="C85" s="202"/>
      <c r="D85" s="203"/>
      <c r="E85" s="58" t="s">
        <v>127</v>
      </c>
      <c r="F85" s="185" t="s">
        <v>423</v>
      </c>
      <c r="G85" s="185"/>
      <c r="H85" s="185"/>
      <c r="I85" s="185"/>
      <c r="J85" s="185"/>
      <c r="K85" s="57"/>
      <c r="L85" s="59" t="s">
        <v>118</v>
      </c>
      <c r="M85" s="129"/>
      <c r="N85" s="129"/>
      <c r="O85" s="129"/>
      <c r="P85" s="129"/>
      <c r="Q85" s="129"/>
    </row>
    <row r="86" spans="1:17" s="37" customFormat="1" ht="36.950000000000003" customHeight="1" x14ac:dyDescent="0.25">
      <c r="A86" s="196" t="s">
        <v>367</v>
      </c>
      <c r="B86" s="196"/>
      <c r="C86" s="196"/>
      <c r="D86" s="201"/>
      <c r="E86" s="58" t="s">
        <v>114</v>
      </c>
      <c r="F86" s="185" t="s">
        <v>368</v>
      </c>
      <c r="G86" s="185"/>
      <c r="H86" s="185"/>
      <c r="I86" s="185"/>
      <c r="J86" s="185"/>
      <c r="K86" s="57"/>
      <c r="L86" s="59" t="s">
        <v>118</v>
      </c>
      <c r="M86" s="129"/>
      <c r="N86" s="129"/>
      <c r="O86" s="129"/>
      <c r="P86" s="129"/>
      <c r="Q86" s="129"/>
    </row>
    <row r="87" spans="1:17" s="37" customFormat="1" ht="70.349999999999994" customHeight="1" x14ac:dyDescent="0.25">
      <c r="A87" s="204" t="s">
        <v>438</v>
      </c>
      <c r="B87" s="204"/>
      <c r="C87" s="204"/>
      <c r="D87" s="205"/>
      <c r="E87" s="58" t="s">
        <v>114</v>
      </c>
      <c r="F87" s="204" t="s">
        <v>439</v>
      </c>
      <c r="G87" s="204"/>
      <c r="H87" s="204"/>
      <c r="I87" s="204"/>
      <c r="J87" s="204"/>
      <c r="K87" s="132"/>
      <c r="L87" s="59" t="s">
        <v>118</v>
      </c>
      <c r="M87" s="129"/>
      <c r="N87" s="129"/>
      <c r="O87" s="129"/>
      <c r="P87" s="129"/>
      <c r="Q87" s="129"/>
    </row>
    <row r="88" spans="1:17" s="37" customFormat="1" ht="14.45" customHeight="1" x14ac:dyDescent="0.25">
      <c r="A88" s="196" t="s">
        <v>119</v>
      </c>
      <c r="B88" s="196"/>
      <c r="C88" s="196"/>
      <c r="D88" s="196"/>
      <c r="E88" s="58" t="s">
        <v>114</v>
      </c>
      <c r="F88" s="196" t="s">
        <v>120</v>
      </c>
      <c r="G88" s="196"/>
      <c r="H88" s="196"/>
      <c r="I88" s="196"/>
      <c r="J88" s="196"/>
      <c r="K88" s="132"/>
      <c r="L88" s="197" t="s">
        <v>121</v>
      </c>
      <c r="M88" s="197"/>
      <c r="N88" s="197"/>
      <c r="O88" s="197"/>
      <c r="P88" s="197"/>
      <c r="Q88" s="197"/>
    </row>
    <row r="89" spans="1:17" s="37" customFormat="1" ht="14.45" customHeight="1" x14ac:dyDescent="0.25">
      <c r="A89" s="196" t="s">
        <v>122</v>
      </c>
      <c r="B89" s="196"/>
      <c r="C89" s="196"/>
      <c r="D89" s="196"/>
      <c r="E89" s="58" t="s">
        <v>114</v>
      </c>
      <c r="F89" s="196" t="s">
        <v>123</v>
      </c>
      <c r="G89" s="196"/>
      <c r="H89" s="196"/>
      <c r="I89" s="196"/>
      <c r="J89" s="196"/>
      <c r="K89" s="132"/>
      <c r="L89" s="197"/>
      <c r="M89" s="197"/>
      <c r="N89" s="197"/>
      <c r="O89" s="197"/>
      <c r="P89" s="197"/>
      <c r="Q89" s="197"/>
    </row>
    <row r="90" spans="1:17" s="37" customFormat="1" ht="14.45" customHeight="1" x14ac:dyDescent="0.25">
      <c r="A90" s="196" t="s">
        <v>277</v>
      </c>
      <c r="B90" s="196"/>
      <c r="C90" s="196"/>
      <c r="D90" s="196"/>
      <c r="E90" s="58" t="s">
        <v>114</v>
      </c>
      <c r="F90" s="196" t="s">
        <v>278</v>
      </c>
      <c r="G90" s="196"/>
      <c r="H90" s="196"/>
      <c r="I90" s="196"/>
      <c r="J90" s="196"/>
      <c r="K90" s="132"/>
      <c r="L90" s="197"/>
      <c r="M90" s="197"/>
      <c r="N90" s="197"/>
      <c r="O90" s="197"/>
      <c r="P90" s="197"/>
      <c r="Q90" s="197"/>
    </row>
    <row r="91" spans="1:17" s="37" customFormat="1" ht="14.45" customHeight="1" x14ac:dyDescent="0.25">
      <c r="A91" s="196" t="s">
        <v>124</v>
      </c>
      <c r="B91" s="196"/>
      <c r="C91" s="196"/>
      <c r="D91" s="196"/>
      <c r="E91" s="58" t="s">
        <v>114</v>
      </c>
      <c r="F91" s="196" t="s">
        <v>125</v>
      </c>
      <c r="G91" s="196"/>
      <c r="H91" s="196"/>
      <c r="I91" s="196"/>
      <c r="J91" s="196"/>
      <c r="K91" s="132"/>
      <c r="L91" s="197"/>
      <c r="M91" s="197"/>
      <c r="N91" s="197"/>
      <c r="O91" s="197"/>
      <c r="P91" s="197"/>
      <c r="Q91" s="197"/>
    </row>
    <row r="92" spans="1:17" s="37" customFormat="1" ht="18.95" customHeight="1" x14ac:dyDescent="0.25">
      <c r="A92" s="196" t="s">
        <v>126</v>
      </c>
      <c r="B92" s="196"/>
      <c r="C92" s="196"/>
      <c r="D92" s="201"/>
      <c r="E92" s="58" t="s">
        <v>127</v>
      </c>
      <c r="F92" s="128" t="s">
        <v>409</v>
      </c>
      <c r="G92" s="185" t="s">
        <v>410</v>
      </c>
      <c r="H92" s="185"/>
      <c r="I92" s="185"/>
      <c r="J92" s="185"/>
      <c r="K92" s="132"/>
      <c r="L92" s="197" t="s">
        <v>130</v>
      </c>
      <c r="M92" s="197"/>
      <c r="N92" s="197"/>
      <c r="O92" s="197"/>
      <c r="P92" s="197"/>
      <c r="Q92" s="197"/>
    </row>
    <row r="93" spans="1:17" s="37" customFormat="1" ht="24.95" customHeight="1" x14ac:dyDescent="0.25">
      <c r="A93" s="196" t="s">
        <v>126</v>
      </c>
      <c r="B93" s="196"/>
      <c r="C93" s="196"/>
      <c r="D93" s="196"/>
      <c r="E93" s="58" t="s">
        <v>127</v>
      </c>
      <c r="F93" s="128" t="s">
        <v>131</v>
      </c>
      <c r="G93" s="185" t="s">
        <v>374</v>
      </c>
      <c r="H93" s="185"/>
      <c r="I93" s="185"/>
      <c r="J93" s="185"/>
      <c r="K93" s="132"/>
      <c r="L93" s="197" t="s">
        <v>130</v>
      </c>
      <c r="M93" s="197"/>
      <c r="N93" s="197"/>
      <c r="O93" s="197"/>
      <c r="P93" s="197"/>
      <c r="Q93" s="197"/>
    </row>
    <row r="94" spans="1:17" s="37" customFormat="1" ht="24.95" customHeight="1" x14ac:dyDescent="0.25">
      <c r="A94" s="196" t="s">
        <v>372</v>
      </c>
      <c r="B94" s="196"/>
      <c r="C94" s="196"/>
      <c r="D94" s="196"/>
      <c r="E94" s="58" t="s">
        <v>127</v>
      </c>
      <c r="F94" s="128" t="s">
        <v>131</v>
      </c>
      <c r="G94" s="185" t="s">
        <v>385</v>
      </c>
      <c r="H94" s="185"/>
      <c r="I94" s="185"/>
      <c r="J94" s="185"/>
      <c r="K94" s="132"/>
      <c r="L94" s="197" t="s">
        <v>130</v>
      </c>
      <c r="M94" s="197"/>
      <c r="N94" s="197"/>
      <c r="O94" s="197"/>
      <c r="P94" s="197"/>
      <c r="Q94" s="197"/>
    </row>
    <row r="95" spans="1:17" s="37" customFormat="1" ht="37.5" customHeight="1" x14ac:dyDescent="0.25">
      <c r="A95" s="198" t="s">
        <v>311</v>
      </c>
      <c r="B95" s="199"/>
      <c r="C95" s="199"/>
      <c r="D95" s="200"/>
      <c r="E95" s="198" t="s">
        <v>312</v>
      </c>
      <c r="F95" s="199"/>
      <c r="G95" s="199"/>
      <c r="H95" s="199"/>
      <c r="I95" s="199"/>
      <c r="J95" s="200"/>
      <c r="K95" s="132"/>
      <c r="L95" s="197"/>
      <c r="M95" s="197"/>
      <c r="N95" s="197"/>
      <c r="O95" s="197"/>
      <c r="P95" s="197"/>
      <c r="Q95" s="197"/>
    </row>
    <row r="96" spans="1:17" s="37" customFormat="1" ht="14.45" customHeight="1" x14ac:dyDescent="0.25">
      <c r="A96" s="180" t="s">
        <v>133</v>
      </c>
      <c r="B96" s="180"/>
      <c r="C96" s="180"/>
      <c r="D96" s="180"/>
      <c r="E96" s="180"/>
      <c r="F96" s="180"/>
      <c r="G96" s="180"/>
      <c r="H96" s="180"/>
      <c r="I96" s="180"/>
      <c r="J96" s="180"/>
      <c r="K96" s="57"/>
      <c r="L96" s="129"/>
      <c r="M96" s="129"/>
    </row>
    <row r="97" spans="1:13" s="37" customFormat="1" ht="14.45" customHeight="1" x14ac:dyDescent="0.2">
      <c r="A97" s="60" t="s">
        <v>134</v>
      </c>
      <c r="B97" s="60" t="s">
        <v>135</v>
      </c>
      <c r="C97" s="60" t="s">
        <v>136</v>
      </c>
      <c r="D97" s="193" t="s">
        <v>137</v>
      </c>
      <c r="E97" s="194"/>
      <c r="F97" s="195"/>
      <c r="G97" s="61" t="s">
        <v>138</v>
      </c>
      <c r="H97" s="60" t="s">
        <v>139</v>
      </c>
      <c r="I97" s="61" t="s">
        <v>140</v>
      </c>
      <c r="J97" s="61" t="s">
        <v>141</v>
      </c>
      <c r="K97" s="57"/>
      <c r="L97" s="129"/>
      <c r="M97" s="129"/>
    </row>
    <row r="98" spans="1:13" s="37" customFormat="1" ht="14.45" customHeight="1" x14ac:dyDescent="0.2">
      <c r="A98" s="62" t="s">
        <v>142</v>
      </c>
      <c r="B98" s="62" t="s">
        <v>49</v>
      </c>
      <c r="C98" s="62" t="s">
        <v>143</v>
      </c>
      <c r="D98" s="187" t="s">
        <v>144</v>
      </c>
      <c r="E98" s="188"/>
      <c r="F98" s="189"/>
      <c r="G98" s="63">
        <v>50</v>
      </c>
      <c r="H98" s="62" t="s">
        <v>145</v>
      </c>
      <c r="I98" s="63">
        <v>150</v>
      </c>
      <c r="J98" s="63" t="s">
        <v>110</v>
      </c>
      <c r="K98" s="57"/>
      <c r="L98" s="129"/>
      <c r="M98" s="129"/>
    </row>
    <row r="99" spans="1:13" s="37" customFormat="1" ht="14.45" hidden="1" customHeight="1" x14ac:dyDescent="0.2">
      <c r="A99" s="62" t="s">
        <v>142</v>
      </c>
      <c r="B99" s="62" t="s">
        <v>146</v>
      </c>
      <c r="C99" s="62" t="s">
        <v>147</v>
      </c>
      <c r="D99" s="187" t="s">
        <v>148</v>
      </c>
      <c r="E99" s="188"/>
      <c r="F99" s="189"/>
      <c r="G99" s="63">
        <v>3</v>
      </c>
      <c r="H99" s="62" t="s">
        <v>149</v>
      </c>
      <c r="I99" s="63">
        <v>3</v>
      </c>
      <c r="J99" s="63" t="s">
        <v>110</v>
      </c>
      <c r="K99" s="57"/>
      <c r="L99" s="129"/>
      <c r="M99" s="129"/>
    </row>
    <row r="100" spans="1:13" s="37" customFormat="1" ht="14.45" hidden="1" customHeight="1" x14ac:dyDescent="0.2">
      <c r="A100" s="62" t="s">
        <v>150</v>
      </c>
      <c r="B100" s="62" t="s">
        <v>146</v>
      </c>
      <c r="C100" s="62" t="s">
        <v>147</v>
      </c>
      <c r="D100" s="187" t="s">
        <v>151</v>
      </c>
      <c r="E100" s="188"/>
      <c r="F100" s="189"/>
      <c r="G100" s="63">
        <v>3</v>
      </c>
      <c r="H100" s="62" t="s">
        <v>152</v>
      </c>
      <c r="I100" s="63">
        <v>3</v>
      </c>
      <c r="J100" s="63" t="s">
        <v>110</v>
      </c>
      <c r="K100" s="57"/>
      <c r="L100" s="129"/>
      <c r="M100" s="129"/>
    </row>
    <row r="101" spans="1:13" s="37" customFormat="1" ht="14.45" customHeight="1" x14ac:dyDescent="0.2">
      <c r="A101" s="62" t="s">
        <v>173</v>
      </c>
      <c r="B101" s="62" t="s">
        <v>49</v>
      </c>
      <c r="C101" s="62" t="s">
        <v>143</v>
      </c>
      <c r="D101" s="187" t="s">
        <v>313</v>
      </c>
      <c r="E101" s="188"/>
      <c r="F101" s="189"/>
      <c r="G101" s="66">
        <v>75</v>
      </c>
      <c r="H101" s="62" t="s">
        <v>145</v>
      </c>
      <c r="I101" s="66">
        <f>75*3</f>
        <v>225</v>
      </c>
      <c r="J101" s="66" t="s">
        <v>314</v>
      </c>
      <c r="K101" s="132"/>
      <c r="L101" s="129"/>
      <c r="M101" s="129"/>
    </row>
    <row r="102" spans="1:13" s="37" customFormat="1" ht="14.45" customHeight="1" x14ac:dyDescent="0.2">
      <c r="A102" s="62" t="s">
        <v>142</v>
      </c>
      <c r="B102" s="62" t="s">
        <v>49</v>
      </c>
      <c r="C102" s="62" t="s">
        <v>143</v>
      </c>
      <c r="D102" s="187" t="s">
        <v>279</v>
      </c>
      <c r="E102" s="188"/>
      <c r="F102" s="189"/>
      <c r="G102" s="63">
        <v>150</v>
      </c>
      <c r="H102" s="62" t="s">
        <v>280</v>
      </c>
      <c r="I102" s="63" t="s">
        <v>153</v>
      </c>
      <c r="J102" s="63" t="s">
        <v>110</v>
      </c>
      <c r="K102" s="57"/>
      <c r="L102" s="129"/>
      <c r="M102" s="129"/>
    </row>
    <row r="103" spans="1:13" s="37" customFormat="1" ht="14.45" customHeight="1" x14ac:dyDescent="0.2">
      <c r="A103" s="62" t="s">
        <v>154</v>
      </c>
      <c r="B103" s="62" t="s">
        <v>49</v>
      </c>
      <c r="C103" s="62" t="s">
        <v>143</v>
      </c>
      <c r="D103" s="187" t="s">
        <v>155</v>
      </c>
      <c r="E103" s="188"/>
      <c r="F103" s="189"/>
      <c r="G103" s="63">
        <v>250</v>
      </c>
      <c r="H103" s="62" t="s">
        <v>49</v>
      </c>
      <c r="I103" s="63" t="s">
        <v>153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5" t="s">
        <v>156</v>
      </c>
      <c r="B104" s="65" t="s">
        <v>49</v>
      </c>
      <c r="C104" s="65" t="s">
        <v>143</v>
      </c>
      <c r="D104" s="187" t="s">
        <v>157</v>
      </c>
      <c r="E104" s="188"/>
      <c r="F104" s="189"/>
      <c r="G104" s="63">
        <v>250</v>
      </c>
      <c r="H104" s="62" t="s">
        <v>49</v>
      </c>
      <c r="I104" s="63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142</v>
      </c>
      <c r="B105" s="62" t="s">
        <v>49</v>
      </c>
      <c r="C105" s="62" t="s">
        <v>143</v>
      </c>
      <c r="D105" s="187" t="s">
        <v>281</v>
      </c>
      <c r="E105" s="188"/>
      <c r="F105" s="189"/>
      <c r="G105" s="63">
        <v>200</v>
      </c>
      <c r="H105" s="62" t="s">
        <v>280</v>
      </c>
      <c r="I105" s="63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142</v>
      </c>
      <c r="B106" s="62" t="s">
        <v>49</v>
      </c>
      <c r="C106" s="62" t="s">
        <v>143</v>
      </c>
      <c r="D106" s="187" t="s">
        <v>158</v>
      </c>
      <c r="E106" s="188"/>
      <c r="F106" s="189"/>
      <c r="G106" s="66">
        <v>150</v>
      </c>
      <c r="H106" s="62" t="s">
        <v>49</v>
      </c>
      <c r="I106" s="66" t="s">
        <v>153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150</v>
      </c>
      <c r="B107" s="67" t="s">
        <v>49</v>
      </c>
      <c r="C107" s="62" t="s">
        <v>143</v>
      </c>
      <c r="D107" s="187" t="s">
        <v>159</v>
      </c>
      <c r="E107" s="188"/>
      <c r="F107" s="189"/>
      <c r="G107" s="68">
        <v>180</v>
      </c>
      <c r="H107" s="67" t="s">
        <v>49</v>
      </c>
      <c r="I107" s="68" t="s">
        <v>153</v>
      </c>
      <c r="J107" s="63" t="s">
        <v>110</v>
      </c>
      <c r="K107" s="57"/>
      <c r="L107" s="129"/>
      <c r="M107" s="129"/>
    </row>
    <row r="108" spans="1:13" s="37" customFormat="1" ht="14.45" customHeight="1" x14ac:dyDescent="0.2">
      <c r="A108" s="62" t="s">
        <v>160</v>
      </c>
      <c r="B108" s="67" t="s">
        <v>49</v>
      </c>
      <c r="C108" s="62" t="s">
        <v>143</v>
      </c>
      <c r="D108" s="187" t="s">
        <v>161</v>
      </c>
      <c r="E108" s="188"/>
      <c r="F108" s="189"/>
      <c r="G108" s="69">
        <v>47.9</v>
      </c>
      <c r="H108" s="67" t="s">
        <v>24</v>
      </c>
      <c r="I108" s="69">
        <v>47.9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160</v>
      </c>
      <c r="B109" s="67" t="s">
        <v>49</v>
      </c>
      <c r="C109" s="62" t="s">
        <v>143</v>
      </c>
      <c r="D109" s="187" t="s">
        <v>161</v>
      </c>
      <c r="E109" s="188"/>
      <c r="F109" s="189"/>
      <c r="G109" s="69">
        <v>65.400000000000006</v>
      </c>
      <c r="H109" s="67" t="s">
        <v>162</v>
      </c>
      <c r="I109" s="69">
        <v>65.400000000000006</v>
      </c>
      <c r="J109" s="63" t="s">
        <v>110</v>
      </c>
      <c r="K109" s="57"/>
      <c r="L109" s="129"/>
      <c r="M109" s="129"/>
    </row>
    <row r="110" spans="1:13" s="37" customFormat="1" ht="14.1" customHeight="1" x14ac:dyDescent="0.2">
      <c r="A110" s="62" t="s">
        <v>163</v>
      </c>
      <c r="B110" s="67" t="s">
        <v>49</v>
      </c>
      <c r="C110" s="62" t="s">
        <v>143</v>
      </c>
      <c r="D110" s="187" t="s">
        <v>164</v>
      </c>
      <c r="E110" s="188"/>
      <c r="F110" s="189"/>
      <c r="G110" s="69">
        <v>48</v>
      </c>
      <c r="H110" s="67" t="s">
        <v>49</v>
      </c>
      <c r="I110" s="69">
        <v>48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163</v>
      </c>
      <c r="B111" s="67" t="s">
        <v>49</v>
      </c>
      <c r="C111" s="62" t="s">
        <v>143</v>
      </c>
      <c r="D111" s="187" t="s">
        <v>165</v>
      </c>
      <c r="E111" s="188"/>
      <c r="F111" s="189"/>
      <c r="G111" s="69">
        <v>18</v>
      </c>
      <c r="H111" s="67" t="s">
        <v>49</v>
      </c>
      <c r="I111" s="69">
        <v>18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2" t="s">
        <v>163</v>
      </c>
      <c r="B112" s="67" t="s">
        <v>49</v>
      </c>
      <c r="C112" s="62" t="s">
        <v>143</v>
      </c>
      <c r="D112" s="187" t="s">
        <v>166</v>
      </c>
      <c r="E112" s="188"/>
      <c r="F112" s="189"/>
      <c r="G112" s="69">
        <v>42</v>
      </c>
      <c r="H112" s="67" t="s">
        <v>49</v>
      </c>
      <c r="I112" s="69">
        <v>42</v>
      </c>
      <c r="J112" s="63" t="s">
        <v>110</v>
      </c>
      <c r="K112" s="57"/>
      <c r="L112" s="129"/>
      <c r="M112" s="129"/>
    </row>
    <row r="113" spans="1:13" s="37" customFormat="1" ht="14.45" customHeight="1" x14ac:dyDescent="0.2">
      <c r="A113" s="62" t="s">
        <v>167</v>
      </c>
      <c r="B113" s="62" t="s">
        <v>49</v>
      </c>
      <c r="C113" s="62" t="s">
        <v>143</v>
      </c>
      <c r="D113" s="187" t="s">
        <v>168</v>
      </c>
      <c r="E113" s="188"/>
      <c r="F113" s="189"/>
      <c r="G113" s="66">
        <v>54</v>
      </c>
      <c r="H113" s="62" t="s">
        <v>49</v>
      </c>
      <c r="I113" s="66">
        <v>54</v>
      </c>
      <c r="J113" s="63" t="s">
        <v>110</v>
      </c>
      <c r="K113" s="57"/>
      <c r="L113" s="129"/>
      <c r="M113" s="129"/>
    </row>
    <row r="114" spans="1:13" s="37" customFormat="1" ht="14.45" customHeight="1" x14ac:dyDescent="0.2">
      <c r="A114" s="67" t="s">
        <v>169</v>
      </c>
      <c r="B114" s="67" t="s">
        <v>49</v>
      </c>
      <c r="C114" s="67" t="s">
        <v>147</v>
      </c>
      <c r="D114" s="187" t="s">
        <v>170</v>
      </c>
      <c r="E114" s="188"/>
      <c r="F114" s="189"/>
      <c r="G114" s="70">
        <v>35</v>
      </c>
      <c r="H114" s="70" t="s">
        <v>280</v>
      </c>
      <c r="I114" s="70">
        <v>35</v>
      </c>
      <c r="J114" s="63" t="s">
        <v>110</v>
      </c>
      <c r="K114" s="57"/>
      <c r="L114" s="129"/>
      <c r="M114" s="129"/>
    </row>
    <row r="115" spans="1:13" s="37" customFormat="1" ht="14.45" customHeight="1" x14ac:dyDescent="0.2">
      <c r="A115" s="62" t="s">
        <v>142</v>
      </c>
      <c r="B115" s="62" t="s">
        <v>49</v>
      </c>
      <c r="C115" s="62" t="s">
        <v>143</v>
      </c>
      <c r="D115" s="187" t="s">
        <v>171</v>
      </c>
      <c r="E115" s="188"/>
      <c r="F115" s="189"/>
      <c r="G115" s="63">
        <v>85</v>
      </c>
      <c r="H115" s="62" t="s">
        <v>172</v>
      </c>
      <c r="I115" s="63" t="s">
        <v>153</v>
      </c>
      <c r="J115" s="63" t="s">
        <v>110</v>
      </c>
      <c r="K115" s="57"/>
      <c r="L115" s="129"/>
      <c r="M115" s="129"/>
    </row>
    <row r="116" spans="1:13" s="37" customFormat="1" ht="14.45" hidden="1" customHeight="1" x14ac:dyDescent="0.2">
      <c r="A116" s="62" t="s">
        <v>173</v>
      </c>
      <c r="B116" s="62" t="s">
        <v>146</v>
      </c>
      <c r="C116" s="62" t="s">
        <v>147</v>
      </c>
      <c r="D116" s="187" t="s">
        <v>174</v>
      </c>
      <c r="E116" s="188"/>
      <c r="F116" s="189"/>
      <c r="G116" s="63">
        <v>4</v>
      </c>
      <c r="H116" s="62" t="s">
        <v>149</v>
      </c>
      <c r="I116" s="63">
        <v>4</v>
      </c>
      <c r="J116" s="63" t="s">
        <v>110</v>
      </c>
      <c r="K116" s="57"/>
      <c r="L116" s="129"/>
      <c r="M116" s="129"/>
    </row>
    <row r="117" spans="1:13" s="37" customFormat="1" ht="24" customHeight="1" x14ac:dyDescent="0.2">
      <c r="A117" s="62" t="s">
        <v>173</v>
      </c>
      <c r="B117" s="62" t="s">
        <v>49</v>
      </c>
      <c r="C117" s="62" t="s">
        <v>143</v>
      </c>
      <c r="D117" s="187" t="s">
        <v>175</v>
      </c>
      <c r="E117" s="188"/>
      <c r="F117" s="189"/>
      <c r="G117" s="137" t="s">
        <v>348</v>
      </c>
      <c r="H117" s="62" t="s">
        <v>24</v>
      </c>
      <c r="I117" s="66" t="s">
        <v>153</v>
      </c>
      <c r="J117" s="63" t="s">
        <v>282</v>
      </c>
      <c r="K117" s="57"/>
      <c r="L117" s="129"/>
      <c r="M117" s="129"/>
    </row>
    <row r="118" spans="1:13" s="37" customFormat="1" ht="27" customHeight="1" x14ac:dyDescent="0.2">
      <c r="A118" s="62" t="s">
        <v>173</v>
      </c>
      <c r="B118" s="62" t="s">
        <v>49</v>
      </c>
      <c r="C118" s="62" t="s">
        <v>143</v>
      </c>
      <c r="D118" s="187" t="s">
        <v>176</v>
      </c>
      <c r="E118" s="188"/>
      <c r="F118" s="189"/>
      <c r="G118" s="137" t="s">
        <v>348</v>
      </c>
      <c r="H118" s="62" t="s">
        <v>162</v>
      </c>
      <c r="I118" s="66" t="s">
        <v>153</v>
      </c>
      <c r="J118" s="63" t="s">
        <v>282</v>
      </c>
      <c r="K118" s="57"/>
      <c r="L118" s="129"/>
      <c r="M118" s="129"/>
    </row>
    <row r="119" spans="1:13" s="152" customFormat="1" ht="52.35" customHeight="1" x14ac:dyDescent="0.2">
      <c r="A119" s="67" t="s">
        <v>142</v>
      </c>
      <c r="B119" s="67" t="s">
        <v>49</v>
      </c>
      <c r="C119" s="147" t="s">
        <v>362</v>
      </c>
      <c r="D119" s="190" t="s">
        <v>363</v>
      </c>
      <c r="E119" s="191"/>
      <c r="F119" s="192"/>
      <c r="G119" s="146" t="s">
        <v>371</v>
      </c>
      <c r="H119" s="148" t="s">
        <v>280</v>
      </c>
      <c r="I119" s="69" t="s">
        <v>153</v>
      </c>
      <c r="J119" s="149" t="s">
        <v>365</v>
      </c>
      <c r="K119" s="111"/>
      <c r="L119" s="151"/>
      <c r="M119" s="151"/>
    </row>
    <row r="120" spans="1:13" s="37" customFormat="1" ht="14.45" hidden="1" customHeight="1" x14ac:dyDescent="0.2">
      <c r="A120" s="62" t="s">
        <v>173</v>
      </c>
      <c r="B120" s="62" t="s">
        <v>146</v>
      </c>
      <c r="C120" s="62" t="s">
        <v>147</v>
      </c>
      <c r="D120" s="187" t="s">
        <v>177</v>
      </c>
      <c r="E120" s="188"/>
      <c r="F120" s="189"/>
      <c r="G120" s="63">
        <v>2</v>
      </c>
      <c r="H120" s="62" t="s">
        <v>149</v>
      </c>
      <c r="I120" s="63">
        <v>2</v>
      </c>
      <c r="J120" s="63" t="s">
        <v>110</v>
      </c>
      <c r="K120" s="57"/>
      <c r="L120" s="129"/>
      <c r="M120" s="129"/>
    </row>
    <row r="121" spans="1:13" s="37" customFormat="1" ht="14.45" hidden="1" customHeight="1" x14ac:dyDescent="0.2">
      <c r="A121" s="62" t="s">
        <v>173</v>
      </c>
      <c r="B121" s="62" t="s">
        <v>146</v>
      </c>
      <c r="C121" s="62" t="s">
        <v>283</v>
      </c>
      <c r="D121" s="187" t="s">
        <v>284</v>
      </c>
      <c r="E121" s="188"/>
      <c r="F121" s="189"/>
      <c r="G121" s="63">
        <v>10</v>
      </c>
      <c r="H121" s="62" t="s">
        <v>285</v>
      </c>
      <c r="I121" s="63" t="s">
        <v>153</v>
      </c>
      <c r="J121" s="63" t="s">
        <v>110</v>
      </c>
      <c r="K121" s="57"/>
      <c r="L121" s="129"/>
      <c r="M121" s="129"/>
    </row>
    <row r="122" spans="1:13" s="37" customFormat="1" ht="14.45" customHeight="1" x14ac:dyDescent="0.2">
      <c r="A122" s="62" t="s">
        <v>142</v>
      </c>
      <c r="B122" s="62" t="s">
        <v>49</v>
      </c>
      <c r="C122" s="62" t="s">
        <v>143</v>
      </c>
      <c r="D122" s="187" t="s">
        <v>178</v>
      </c>
      <c r="E122" s="188"/>
      <c r="F122" s="189"/>
      <c r="G122" s="63">
        <v>50</v>
      </c>
      <c r="H122" s="62" t="s">
        <v>145</v>
      </c>
      <c r="I122" s="63" t="s">
        <v>153</v>
      </c>
      <c r="J122" s="63" t="s">
        <v>110</v>
      </c>
      <c r="K122" s="57"/>
      <c r="L122" s="129"/>
      <c r="M122" s="129"/>
    </row>
    <row r="123" spans="1:13" s="37" customFormat="1" ht="14.45" customHeight="1" x14ac:dyDescent="0.2">
      <c r="A123" s="62" t="s">
        <v>173</v>
      </c>
      <c r="B123" s="62" t="s">
        <v>49</v>
      </c>
      <c r="C123" s="62" t="s">
        <v>143</v>
      </c>
      <c r="D123" s="187" t="s">
        <v>179</v>
      </c>
      <c r="E123" s="188"/>
      <c r="F123" s="189"/>
      <c r="G123" s="63">
        <v>175</v>
      </c>
      <c r="H123" s="62" t="s">
        <v>49</v>
      </c>
      <c r="I123" s="63" t="s">
        <v>153</v>
      </c>
      <c r="J123" s="63" t="s">
        <v>110</v>
      </c>
      <c r="K123" s="57"/>
      <c r="L123" s="129"/>
      <c r="M123" s="129"/>
    </row>
    <row r="124" spans="1:13" s="37" customFormat="1" ht="14.45" customHeight="1" x14ac:dyDescent="0.2">
      <c r="A124" s="62" t="s">
        <v>142</v>
      </c>
      <c r="B124" s="62" t="s">
        <v>49</v>
      </c>
      <c r="C124" s="62" t="s">
        <v>147</v>
      </c>
      <c r="D124" s="187" t="s">
        <v>180</v>
      </c>
      <c r="E124" s="188"/>
      <c r="F124" s="189"/>
      <c r="G124" s="63">
        <v>40</v>
      </c>
      <c r="H124" s="62" t="s">
        <v>181</v>
      </c>
      <c r="I124" s="63" t="s">
        <v>153</v>
      </c>
      <c r="J124" s="63" t="s">
        <v>110</v>
      </c>
      <c r="K124" s="57"/>
      <c r="L124" s="129"/>
      <c r="M124" s="129"/>
    </row>
    <row r="125" spans="1:13" s="37" customFormat="1" ht="14.45" hidden="1" customHeight="1" x14ac:dyDescent="0.2">
      <c r="A125" s="62" t="s">
        <v>173</v>
      </c>
      <c r="B125" s="62" t="s">
        <v>146</v>
      </c>
      <c r="C125" s="62" t="s">
        <v>147</v>
      </c>
      <c r="D125" s="187" t="s">
        <v>182</v>
      </c>
      <c r="E125" s="188"/>
      <c r="F125" s="189"/>
      <c r="G125" s="63">
        <v>7.5</v>
      </c>
      <c r="H125" s="62" t="s">
        <v>152</v>
      </c>
      <c r="I125" s="63">
        <v>75</v>
      </c>
      <c r="J125" s="63" t="s">
        <v>110</v>
      </c>
      <c r="K125" s="57"/>
      <c r="L125" s="129"/>
      <c r="M125" s="129"/>
    </row>
    <row r="126" spans="1:13" s="37" customFormat="1" ht="14.45" hidden="1" customHeight="1" x14ac:dyDescent="0.2">
      <c r="A126" s="62" t="s">
        <v>142</v>
      </c>
      <c r="B126" s="62" t="s">
        <v>146</v>
      </c>
      <c r="C126" s="62" t="s">
        <v>147</v>
      </c>
      <c r="D126" s="187" t="s">
        <v>183</v>
      </c>
      <c r="E126" s="188"/>
      <c r="F126" s="189"/>
      <c r="G126" s="63">
        <v>20</v>
      </c>
      <c r="H126" s="62" t="s">
        <v>184</v>
      </c>
      <c r="I126" s="63" t="s">
        <v>153</v>
      </c>
      <c r="J126" s="63" t="s">
        <v>110</v>
      </c>
      <c r="K126" s="57"/>
      <c r="L126" s="129"/>
      <c r="M126" s="129"/>
    </row>
    <row r="127" spans="1:13" s="37" customFormat="1" ht="14.45" hidden="1" customHeight="1" x14ac:dyDescent="0.2">
      <c r="A127" s="62" t="s">
        <v>142</v>
      </c>
      <c r="B127" s="62" t="s">
        <v>146</v>
      </c>
      <c r="C127" s="62" t="s">
        <v>147</v>
      </c>
      <c r="D127" s="187" t="s">
        <v>185</v>
      </c>
      <c r="E127" s="188"/>
      <c r="F127" s="189"/>
      <c r="G127" s="63">
        <v>25</v>
      </c>
      <c r="H127" s="62" t="s">
        <v>184</v>
      </c>
      <c r="I127" s="63" t="s">
        <v>153</v>
      </c>
      <c r="J127" s="63" t="s">
        <v>110</v>
      </c>
      <c r="K127" s="57"/>
      <c r="L127" s="129"/>
      <c r="M127" s="129"/>
    </row>
    <row r="128" spans="1:13" s="37" customFormat="1" ht="14.45" customHeight="1" x14ac:dyDescent="0.2">
      <c r="A128" s="62" t="s">
        <v>142</v>
      </c>
      <c r="B128" s="62" t="s">
        <v>142</v>
      </c>
      <c r="C128" s="62" t="s">
        <v>147</v>
      </c>
      <c r="D128" s="187" t="s">
        <v>186</v>
      </c>
      <c r="E128" s="188"/>
      <c r="F128" s="189"/>
      <c r="G128" s="68">
        <v>75</v>
      </c>
      <c r="H128" s="62" t="s">
        <v>181</v>
      </c>
      <c r="I128" s="63" t="s">
        <v>153</v>
      </c>
      <c r="J128" s="63" t="s">
        <v>110</v>
      </c>
      <c r="K128" s="57"/>
      <c r="L128" s="129"/>
      <c r="M128" s="129"/>
    </row>
    <row r="129" spans="1:29" s="37" customFormat="1" ht="14.45" customHeight="1" x14ac:dyDescent="0.2">
      <c r="A129" s="62" t="s">
        <v>142</v>
      </c>
      <c r="B129" s="62" t="s">
        <v>142</v>
      </c>
      <c r="C129" s="62" t="s">
        <v>147</v>
      </c>
      <c r="D129" s="187" t="s">
        <v>187</v>
      </c>
      <c r="E129" s="188"/>
      <c r="F129" s="189"/>
      <c r="G129" s="63">
        <v>35</v>
      </c>
      <c r="H129" s="62" t="s">
        <v>181</v>
      </c>
      <c r="I129" s="63" t="s">
        <v>153</v>
      </c>
      <c r="J129" s="63" t="s">
        <v>110</v>
      </c>
      <c r="K129" s="57"/>
      <c r="L129" s="129"/>
      <c r="M129" s="129"/>
    </row>
    <row r="130" spans="1:29" s="37" customFormat="1" ht="14.45" hidden="1" customHeight="1" x14ac:dyDescent="0.2">
      <c r="A130" s="62" t="s">
        <v>142</v>
      </c>
      <c r="B130" s="62" t="s">
        <v>146</v>
      </c>
      <c r="C130" s="62" t="s">
        <v>143</v>
      </c>
      <c r="D130" s="187" t="s">
        <v>188</v>
      </c>
      <c r="E130" s="188"/>
      <c r="F130" s="189"/>
      <c r="G130" s="63">
        <v>100</v>
      </c>
      <c r="H130" s="62" t="s">
        <v>181</v>
      </c>
      <c r="I130" s="63" t="s">
        <v>153</v>
      </c>
      <c r="J130" s="63" t="s">
        <v>110</v>
      </c>
      <c r="K130" s="57"/>
      <c r="L130" s="129"/>
      <c r="M130" s="129"/>
    </row>
    <row r="131" spans="1:29" s="37" customFormat="1" ht="14.45" hidden="1" customHeight="1" x14ac:dyDescent="0.2">
      <c r="A131" s="62" t="s">
        <v>142</v>
      </c>
      <c r="B131" s="62" t="s">
        <v>146</v>
      </c>
      <c r="C131" s="62" t="s">
        <v>143</v>
      </c>
      <c r="D131" s="187" t="s">
        <v>189</v>
      </c>
      <c r="E131" s="188"/>
      <c r="F131" s="189"/>
      <c r="G131" s="63">
        <v>100</v>
      </c>
      <c r="H131" s="62" t="s">
        <v>190</v>
      </c>
      <c r="I131" s="63" t="s">
        <v>153</v>
      </c>
      <c r="J131" s="63" t="s">
        <v>110</v>
      </c>
      <c r="K131" s="57"/>
      <c r="O131" s="38"/>
      <c r="P131" s="38"/>
    </row>
    <row r="132" spans="1:29" s="37" customFormat="1" ht="14.45" hidden="1" customHeight="1" x14ac:dyDescent="0.2">
      <c r="A132" s="62" t="s">
        <v>142</v>
      </c>
      <c r="B132" s="62" t="s">
        <v>146</v>
      </c>
      <c r="C132" s="62" t="s">
        <v>143</v>
      </c>
      <c r="D132" s="187" t="s">
        <v>191</v>
      </c>
      <c r="E132" s="188"/>
      <c r="F132" s="189"/>
      <c r="G132" s="63">
        <v>100</v>
      </c>
      <c r="H132" s="62" t="s">
        <v>181</v>
      </c>
      <c r="I132" s="63" t="s">
        <v>153</v>
      </c>
      <c r="J132" s="63" t="s">
        <v>110</v>
      </c>
      <c r="K132" s="57"/>
      <c r="O132" s="39"/>
      <c r="P132" s="39"/>
    </row>
    <row r="133" spans="1:29" s="37" customFormat="1" ht="14.45" hidden="1" customHeight="1" x14ac:dyDescent="0.2">
      <c r="A133" s="62" t="s">
        <v>173</v>
      </c>
      <c r="B133" s="62" t="s">
        <v>146</v>
      </c>
      <c r="C133" s="62" t="s">
        <v>143</v>
      </c>
      <c r="D133" s="187" t="s">
        <v>189</v>
      </c>
      <c r="E133" s="188"/>
      <c r="F133" s="189"/>
      <c r="G133" s="63">
        <v>50</v>
      </c>
      <c r="H133" s="62" t="s">
        <v>192</v>
      </c>
      <c r="I133" s="63" t="s">
        <v>153</v>
      </c>
      <c r="J133" s="63" t="s">
        <v>110</v>
      </c>
      <c r="K133" s="57"/>
      <c r="O133" s="39"/>
      <c r="P133" s="39"/>
    </row>
    <row r="134" spans="1:29" s="37" customFormat="1" ht="14.45" hidden="1" customHeight="1" x14ac:dyDescent="0.2">
      <c r="A134" s="62" t="s">
        <v>173</v>
      </c>
      <c r="B134" s="62" t="s">
        <v>146</v>
      </c>
      <c r="C134" s="62" t="s">
        <v>143</v>
      </c>
      <c r="D134" s="187" t="s">
        <v>191</v>
      </c>
      <c r="E134" s="188"/>
      <c r="F134" s="189"/>
      <c r="G134" s="63">
        <v>50</v>
      </c>
      <c r="H134" s="62" t="s">
        <v>181</v>
      </c>
      <c r="I134" s="63" t="s">
        <v>153</v>
      </c>
      <c r="J134" s="63" t="s">
        <v>110</v>
      </c>
      <c r="K134" s="57"/>
      <c r="O134" s="38"/>
      <c r="P134" s="38"/>
    </row>
    <row r="135" spans="1:29" s="37" customFormat="1" ht="14.45" hidden="1" customHeight="1" x14ac:dyDescent="0.25">
      <c r="A135" s="62" t="s">
        <v>142</v>
      </c>
      <c r="B135" s="62" t="s">
        <v>146</v>
      </c>
      <c r="C135" s="62" t="s">
        <v>143</v>
      </c>
      <c r="D135" s="187" t="s">
        <v>193</v>
      </c>
      <c r="E135" s="188"/>
      <c r="F135" s="189"/>
      <c r="G135" s="63">
        <v>85</v>
      </c>
      <c r="H135" s="62" t="s">
        <v>194</v>
      </c>
      <c r="I135" s="63" t="s">
        <v>153</v>
      </c>
      <c r="J135" s="63" t="s">
        <v>110</v>
      </c>
      <c r="K135" s="57"/>
      <c r="O135" s="36"/>
      <c r="P135" s="36"/>
    </row>
    <row r="136" spans="1:29" s="37" customFormat="1" ht="14.45" hidden="1" customHeight="1" x14ac:dyDescent="0.25">
      <c r="A136" s="62" t="s">
        <v>173</v>
      </c>
      <c r="B136" s="62" t="s">
        <v>146</v>
      </c>
      <c r="C136" s="62" t="s">
        <v>195</v>
      </c>
      <c r="D136" s="187" t="s">
        <v>196</v>
      </c>
      <c r="E136" s="188"/>
      <c r="F136" s="189"/>
      <c r="G136" s="63">
        <v>0.1</v>
      </c>
      <c r="H136" s="62" t="s">
        <v>197</v>
      </c>
      <c r="I136" s="63">
        <v>150</v>
      </c>
      <c r="J136" s="63" t="s">
        <v>110</v>
      </c>
      <c r="K136" s="57"/>
      <c r="O136" s="36"/>
      <c r="P136" s="36"/>
    </row>
    <row r="137" spans="1:29" s="37" customFormat="1" ht="14.45" customHeight="1" x14ac:dyDescent="0.25">
      <c r="A137" s="62" t="s">
        <v>142</v>
      </c>
      <c r="B137" s="62" t="s">
        <v>49</v>
      </c>
      <c r="C137" s="62" t="s">
        <v>198</v>
      </c>
      <c r="D137" s="187" t="s">
        <v>199</v>
      </c>
      <c r="E137" s="188"/>
      <c r="F137" s="189"/>
      <c r="G137" s="63">
        <v>35</v>
      </c>
      <c r="H137" s="62" t="s">
        <v>181</v>
      </c>
      <c r="I137" s="63" t="s">
        <v>153</v>
      </c>
      <c r="J137" s="63" t="s">
        <v>110</v>
      </c>
      <c r="K137" s="57"/>
      <c r="O137" s="36"/>
      <c r="P137" s="36"/>
    </row>
    <row r="138" spans="1:29" s="37" customFormat="1" ht="14.45" hidden="1" customHeight="1" x14ac:dyDescent="0.25">
      <c r="A138" s="62" t="s">
        <v>142</v>
      </c>
      <c r="B138" s="62" t="s">
        <v>146</v>
      </c>
      <c r="C138" s="62" t="s">
        <v>198</v>
      </c>
      <c r="D138" s="187" t="s">
        <v>200</v>
      </c>
      <c r="E138" s="188"/>
      <c r="F138" s="189"/>
      <c r="G138" s="63">
        <v>7</v>
      </c>
      <c r="H138" s="62" t="s">
        <v>152</v>
      </c>
      <c r="I138" s="63">
        <v>7</v>
      </c>
      <c r="J138" s="63" t="s">
        <v>110</v>
      </c>
      <c r="K138" s="57"/>
      <c r="O138" s="36"/>
      <c r="P138" s="36"/>
    </row>
    <row r="139" spans="1:29" s="37" customFormat="1" ht="14.1" customHeight="1" x14ac:dyDescent="0.25">
      <c r="A139" s="62" t="s">
        <v>142</v>
      </c>
      <c r="B139" s="62" t="s">
        <v>142</v>
      </c>
      <c r="C139" s="62" t="s">
        <v>201</v>
      </c>
      <c r="D139" s="187" t="s">
        <v>202</v>
      </c>
      <c r="E139" s="188"/>
      <c r="F139" s="189"/>
      <c r="G139" s="63">
        <v>40</v>
      </c>
      <c r="H139" s="62" t="s">
        <v>203</v>
      </c>
      <c r="I139" s="63" t="s">
        <v>153</v>
      </c>
      <c r="J139" s="63" t="s">
        <v>110</v>
      </c>
      <c r="K139" s="57"/>
      <c r="O139" s="36"/>
      <c r="P139" s="36"/>
    </row>
    <row r="140" spans="1:29" s="37" customFormat="1" ht="14.1" customHeight="1" x14ac:dyDescent="0.25">
      <c r="A140" s="62" t="s">
        <v>142</v>
      </c>
      <c r="B140" s="62" t="s">
        <v>49</v>
      </c>
      <c r="C140" s="62" t="s">
        <v>143</v>
      </c>
      <c r="D140" s="187" t="s">
        <v>204</v>
      </c>
      <c r="E140" s="188"/>
      <c r="F140" s="189"/>
      <c r="G140" s="63">
        <v>50</v>
      </c>
      <c r="H140" s="62" t="s">
        <v>49</v>
      </c>
      <c r="I140" s="63" t="s">
        <v>153</v>
      </c>
      <c r="J140" s="63" t="s">
        <v>110</v>
      </c>
      <c r="K140" s="57"/>
      <c r="L140" s="38"/>
      <c r="M140" s="38"/>
      <c r="N140" s="38"/>
      <c r="O140" s="36"/>
      <c r="P140" s="36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 spans="1:29" s="39" customFormat="1" ht="14.1" customHeight="1" x14ac:dyDescent="0.25">
      <c r="A141" s="62" t="s">
        <v>142</v>
      </c>
      <c r="B141" s="62" t="s">
        <v>49</v>
      </c>
      <c r="C141" s="62" t="s">
        <v>143</v>
      </c>
      <c r="D141" s="187" t="s">
        <v>205</v>
      </c>
      <c r="E141" s="188"/>
      <c r="F141" s="189"/>
      <c r="G141" s="63">
        <v>200</v>
      </c>
      <c r="H141" s="62" t="s">
        <v>206</v>
      </c>
      <c r="I141" s="63" t="s">
        <v>153</v>
      </c>
      <c r="J141" s="63" t="s">
        <v>110</v>
      </c>
      <c r="K141" s="57"/>
      <c r="O141" s="36"/>
      <c r="P141" s="36"/>
    </row>
    <row r="142" spans="1:29" s="39" customFormat="1" ht="14.1" customHeight="1" x14ac:dyDescent="0.25">
      <c r="A142" s="62" t="s">
        <v>142</v>
      </c>
      <c r="B142" s="62" t="s">
        <v>49</v>
      </c>
      <c r="C142" s="62" t="s">
        <v>143</v>
      </c>
      <c r="D142" s="187" t="s">
        <v>207</v>
      </c>
      <c r="E142" s="188"/>
      <c r="F142" s="189"/>
      <c r="G142" s="63">
        <v>250</v>
      </c>
      <c r="H142" s="62" t="s">
        <v>208</v>
      </c>
      <c r="I142" s="63">
        <v>100</v>
      </c>
      <c r="J142" s="63" t="s">
        <v>110</v>
      </c>
      <c r="K142" s="57"/>
      <c r="L142" s="38"/>
      <c r="M142" s="38"/>
      <c r="N142" s="38"/>
      <c r="O142" s="36"/>
      <c r="P142" s="36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 spans="1:29" s="38" customFormat="1" ht="14.1" customHeight="1" x14ac:dyDescent="0.25">
      <c r="A143" s="62" t="s">
        <v>142</v>
      </c>
      <c r="B143" s="62" t="s">
        <v>49</v>
      </c>
      <c r="C143" s="62" t="s">
        <v>201</v>
      </c>
      <c r="D143" s="187" t="s">
        <v>209</v>
      </c>
      <c r="E143" s="188"/>
      <c r="F143" s="189"/>
      <c r="G143" s="63" t="s">
        <v>210</v>
      </c>
      <c r="H143" s="62"/>
      <c r="I143" s="63" t="s">
        <v>153</v>
      </c>
      <c r="J143" s="63" t="s">
        <v>110</v>
      </c>
      <c r="K143" s="57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:29" s="36" customFormat="1" x14ac:dyDescent="0.25">
      <c r="A144" s="62" t="s">
        <v>142</v>
      </c>
      <c r="B144" s="62" t="s">
        <v>49</v>
      </c>
      <c r="C144" s="62" t="s">
        <v>201</v>
      </c>
      <c r="D144" s="187" t="s">
        <v>211</v>
      </c>
      <c r="E144" s="188"/>
      <c r="F144" s="189"/>
      <c r="G144" s="63" t="s">
        <v>212</v>
      </c>
      <c r="H144" s="62"/>
      <c r="I144" s="63" t="s">
        <v>153</v>
      </c>
      <c r="J144" s="63" t="s">
        <v>110</v>
      </c>
      <c r="K144" s="72"/>
    </row>
    <row r="145" spans="1:11" s="36" customFormat="1" x14ac:dyDescent="0.25">
      <c r="A145" s="62" t="s">
        <v>213</v>
      </c>
      <c r="B145" s="62" t="s">
        <v>49</v>
      </c>
      <c r="C145" s="62" t="s">
        <v>214</v>
      </c>
      <c r="D145" s="187" t="s">
        <v>215</v>
      </c>
      <c r="E145" s="188"/>
      <c r="F145" s="189"/>
      <c r="G145" s="63">
        <v>100</v>
      </c>
      <c r="H145" s="62" t="s">
        <v>49</v>
      </c>
      <c r="I145" s="63">
        <v>100</v>
      </c>
      <c r="J145" s="63" t="s">
        <v>110</v>
      </c>
      <c r="K145" s="72"/>
    </row>
    <row r="146" spans="1:11" s="36" customFormat="1" x14ac:dyDescent="0.25">
      <c r="A146" s="62" t="s">
        <v>213</v>
      </c>
      <c r="B146" s="62" t="s">
        <v>216</v>
      </c>
      <c r="C146" s="62" t="s">
        <v>147</v>
      </c>
      <c r="D146" s="187" t="s">
        <v>217</v>
      </c>
      <c r="E146" s="188"/>
      <c r="F146" s="189"/>
      <c r="G146" s="63">
        <v>50</v>
      </c>
      <c r="H146" s="62"/>
      <c r="I146" s="63">
        <v>50</v>
      </c>
      <c r="J146" s="63" t="s">
        <v>110</v>
      </c>
      <c r="K146" s="72"/>
    </row>
    <row r="147" spans="1:11" s="36" customFormat="1" x14ac:dyDescent="0.25">
      <c r="A147" s="62" t="s">
        <v>150</v>
      </c>
      <c r="B147" s="62" t="s">
        <v>49</v>
      </c>
      <c r="C147" s="62" t="s">
        <v>218</v>
      </c>
      <c r="D147" s="187" t="s">
        <v>219</v>
      </c>
      <c r="E147" s="188"/>
      <c r="F147" s="189"/>
      <c r="G147" s="69" t="s">
        <v>220</v>
      </c>
      <c r="H147" s="67" t="s">
        <v>49</v>
      </c>
      <c r="I147" s="69" t="s">
        <v>153</v>
      </c>
      <c r="J147" s="63" t="s">
        <v>110</v>
      </c>
      <c r="K147" s="72"/>
    </row>
    <row r="148" spans="1:11" s="36" customFormat="1" x14ac:dyDescent="0.25">
      <c r="A148" s="62" t="s">
        <v>221</v>
      </c>
      <c r="B148" s="62" t="s">
        <v>49</v>
      </c>
      <c r="C148" s="62" t="s">
        <v>201</v>
      </c>
      <c r="D148" s="187" t="s">
        <v>222</v>
      </c>
      <c r="E148" s="188"/>
      <c r="F148" s="189"/>
      <c r="G148" s="69" t="s">
        <v>220</v>
      </c>
      <c r="H148" s="67" t="s">
        <v>49</v>
      </c>
      <c r="I148" s="69" t="s">
        <v>153</v>
      </c>
      <c r="J148" s="63" t="s">
        <v>110</v>
      </c>
      <c r="K148" s="72"/>
    </row>
    <row r="149" spans="1:11" s="36" customFormat="1" x14ac:dyDescent="0.25">
      <c r="A149" s="62" t="s">
        <v>142</v>
      </c>
      <c r="B149" s="62" t="s">
        <v>49</v>
      </c>
      <c r="C149" s="62" t="s">
        <v>223</v>
      </c>
      <c r="D149" s="187" t="s">
        <v>224</v>
      </c>
      <c r="E149" s="188"/>
      <c r="F149" s="189"/>
      <c r="G149" s="63" t="s">
        <v>225</v>
      </c>
      <c r="H149" s="62"/>
      <c r="I149" s="63" t="s">
        <v>153</v>
      </c>
      <c r="J149" s="63" t="s">
        <v>110</v>
      </c>
      <c r="K149" s="72"/>
    </row>
    <row r="150" spans="1:11" s="36" customFormat="1" x14ac:dyDescent="0.25">
      <c r="A150" s="62" t="s">
        <v>142</v>
      </c>
      <c r="B150" s="62" t="s">
        <v>49</v>
      </c>
      <c r="C150" s="62" t="s">
        <v>226</v>
      </c>
      <c r="D150" s="187" t="s">
        <v>227</v>
      </c>
      <c r="E150" s="188"/>
      <c r="F150" s="189"/>
      <c r="G150" s="66">
        <v>150</v>
      </c>
      <c r="H150" s="62" t="s">
        <v>49</v>
      </c>
      <c r="I150" s="66">
        <v>150</v>
      </c>
      <c r="J150" s="63" t="s">
        <v>110</v>
      </c>
      <c r="K150" s="72"/>
    </row>
    <row r="151" spans="1:11" s="36" customFormat="1" x14ac:dyDescent="0.25">
      <c r="A151" s="62" t="s">
        <v>142</v>
      </c>
      <c r="B151" s="62" t="s">
        <v>49</v>
      </c>
      <c r="C151" s="62" t="s">
        <v>228</v>
      </c>
      <c r="D151" s="187" t="s">
        <v>229</v>
      </c>
      <c r="E151" s="188"/>
      <c r="F151" s="189"/>
      <c r="G151" s="66">
        <v>25</v>
      </c>
      <c r="H151" s="62" t="s">
        <v>230</v>
      </c>
      <c r="I151" s="66">
        <v>25</v>
      </c>
      <c r="J151" s="63" t="s">
        <v>110</v>
      </c>
      <c r="K151" s="72"/>
    </row>
    <row r="152" spans="1:11" s="36" customFormat="1" hidden="1" x14ac:dyDescent="0.25">
      <c r="A152" s="62" t="s">
        <v>142</v>
      </c>
      <c r="B152" s="62" t="s">
        <v>146</v>
      </c>
      <c r="C152" s="62" t="s">
        <v>198</v>
      </c>
      <c r="D152" s="187" t="s">
        <v>231</v>
      </c>
      <c r="E152" s="188"/>
      <c r="F152" s="189"/>
      <c r="G152" s="66" t="s">
        <v>232</v>
      </c>
      <c r="H152" s="62" t="s">
        <v>149</v>
      </c>
      <c r="I152" s="66" t="s">
        <v>153</v>
      </c>
      <c r="J152" s="63" t="s">
        <v>110</v>
      </c>
      <c r="K152" s="72"/>
    </row>
    <row r="153" spans="1:11" s="36" customFormat="1" hidden="1" x14ac:dyDescent="0.25">
      <c r="A153" s="62" t="s">
        <v>173</v>
      </c>
      <c r="B153" s="62" t="s">
        <v>146</v>
      </c>
      <c r="C153" s="62" t="s">
        <v>233</v>
      </c>
      <c r="D153" s="187" t="s">
        <v>234</v>
      </c>
      <c r="E153" s="188"/>
      <c r="F153" s="189"/>
      <c r="G153" s="66">
        <v>0.5</v>
      </c>
      <c r="H153" s="62" t="s">
        <v>235</v>
      </c>
      <c r="I153" s="66">
        <v>50</v>
      </c>
      <c r="J153" s="63" t="s">
        <v>110</v>
      </c>
      <c r="K153" s="72"/>
    </row>
    <row r="154" spans="1:11" s="36" customFormat="1" hidden="1" x14ac:dyDescent="0.25">
      <c r="A154" s="62" t="s">
        <v>173</v>
      </c>
      <c r="B154" s="62" t="s">
        <v>146</v>
      </c>
      <c r="C154" s="62" t="s">
        <v>201</v>
      </c>
      <c r="D154" s="187" t="s">
        <v>237</v>
      </c>
      <c r="E154" s="188"/>
      <c r="F154" s="189"/>
      <c r="G154" s="66" t="s">
        <v>238</v>
      </c>
      <c r="H154" s="62" t="s">
        <v>235</v>
      </c>
      <c r="I154" s="66">
        <v>50</v>
      </c>
      <c r="J154" s="63" t="s">
        <v>110</v>
      </c>
      <c r="K154" s="72"/>
    </row>
    <row r="155" spans="1:11" s="36" customFormat="1" x14ac:dyDescent="0.25">
      <c r="A155" s="62" t="s">
        <v>239</v>
      </c>
      <c r="B155" s="62" t="s">
        <v>49</v>
      </c>
      <c r="C155" s="62" t="s">
        <v>143</v>
      </c>
      <c r="D155" s="187" t="s">
        <v>240</v>
      </c>
      <c r="E155" s="188"/>
      <c r="F155" s="189"/>
      <c r="G155" s="69" t="s">
        <v>220</v>
      </c>
      <c r="H155" s="67" t="s">
        <v>49</v>
      </c>
      <c r="I155" s="69" t="s">
        <v>153</v>
      </c>
      <c r="J155" s="63" t="s">
        <v>110</v>
      </c>
      <c r="K155" s="72"/>
    </row>
    <row r="156" spans="1:11" s="36" customFormat="1" x14ac:dyDescent="0.25">
      <c r="A156" s="62" t="s">
        <v>142</v>
      </c>
      <c r="B156" s="62" t="s">
        <v>142</v>
      </c>
      <c r="C156" s="62" t="s">
        <v>147</v>
      </c>
      <c r="D156" s="187" t="s">
        <v>241</v>
      </c>
      <c r="E156" s="188"/>
      <c r="F156" s="189"/>
      <c r="G156" s="66" t="s">
        <v>242</v>
      </c>
      <c r="H156" s="62"/>
      <c r="I156" s="66">
        <v>15</v>
      </c>
      <c r="J156" s="63" t="s">
        <v>110</v>
      </c>
      <c r="K156" s="72"/>
    </row>
    <row r="157" spans="1:11" s="36" customFormat="1" x14ac:dyDescent="0.25">
      <c r="A157" s="62" t="s">
        <v>243</v>
      </c>
      <c r="B157" s="62" t="s">
        <v>49</v>
      </c>
      <c r="C157" s="62" t="s">
        <v>143</v>
      </c>
      <c r="D157" s="187" t="s">
        <v>244</v>
      </c>
      <c r="E157" s="188"/>
      <c r="F157" s="189"/>
      <c r="G157" s="66">
        <v>200</v>
      </c>
      <c r="H157" s="62" t="s">
        <v>49</v>
      </c>
      <c r="I157" s="63">
        <v>200</v>
      </c>
      <c r="J157" s="63" t="s">
        <v>110</v>
      </c>
      <c r="K157" s="72"/>
    </row>
    <row r="158" spans="1:11" s="36" customFormat="1" x14ac:dyDescent="0.25">
      <c r="A158" s="62" t="s">
        <v>245</v>
      </c>
      <c r="B158" s="62" t="s">
        <v>49</v>
      </c>
      <c r="C158" s="62" t="s">
        <v>143</v>
      </c>
      <c r="D158" s="187" t="s">
        <v>246</v>
      </c>
      <c r="E158" s="188"/>
      <c r="F158" s="189"/>
      <c r="G158" s="66">
        <v>250</v>
      </c>
      <c r="H158" s="62" t="s">
        <v>49</v>
      </c>
      <c r="I158" s="63">
        <v>100</v>
      </c>
      <c r="J158" s="63" t="s">
        <v>110</v>
      </c>
      <c r="K158" s="72"/>
    </row>
    <row r="159" spans="1:11" s="36" customFormat="1" x14ac:dyDescent="0.25">
      <c r="A159" s="62" t="s">
        <v>247</v>
      </c>
      <c r="B159" s="62" t="s">
        <v>49</v>
      </c>
      <c r="C159" s="62" t="s">
        <v>143</v>
      </c>
      <c r="D159" s="187" t="s">
        <v>248</v>
      </c>
      <c r="E159" s="188"/>
      <c r="F159" s="189"/>
      <c r="G159" s="63">
        <v>250</v>
      </c>
      <c r="H159" s="62" t="s">
        <v>49</v>
      </c>
      <c r="I159" s="63">
        <v>200</v>
      </c>
      <c r="J159" s="63" t="s">
        <v>110</v>
      </c>
      <c r="K159" s="72"/>
    </row>
    <row r="160" spans="1:11" s="36" customFormat="1" x14ac:dyDescent="0.25">
      <c r="A160" s="62" t="s">
        <v>142</v>
      </c>
      <c r="B160" s="62" t="s">
        <v>49</v>
      </c>
      <c r="C160" s="62" t="s">
        <v>143</v>
      </c>
      <c r="D160" s="187" t="s">
        <v>249</v>
      </c>
      <c r="E160" s="188"/>
      <c r="F160" s="189"/>
      <c r="G160" s="63"/>
      <c r="H160" s="62" t="s">
        <v>49</v>
      </c>
      <c r="I160" s="63" t="s">
        <v>153</v>
      </c>
      <c r="J160" s="63" t="s">
        <v>110</v>
      </c>
      <c r="K160" s="72"/>
    </row>
    <row r="161" spans="1:11" s="36" customFormat="1" x14ac:dyDescent="0.25">
      <c r="A161" s="62" t="s">
        <v>250</v>
      </c>
      <c r="B161" s="62" t="s">
        <v>49</v>
      </c>
      <c r="C161" s="62" t="s">
        <v>143</v>
      </c>
      <c r="D161" s="187" t="s">
        <v>251</v>
      </c>
      <c r="E161" s="188"/>
      <c r="F161" s="189"/>
      <c r="G161" s="66">
        <v>350</v>
      </c>
      <c r="H161" s="62" t="s">
        <v>49</v>
      </c>
      <c r="I161" s="63">
        <v>350</v>
      </c>
      <c r="J161" s="63" t="s">
        <v>110</v>
      </c>
      <c r="K161" s="72"/>
    </row>
    <row r="162" spans="1:11" s="36" customFormat="1" x14ac:dyDescent="0.25">
      <c r="A162" s="118"/>
      <c r="B162" s="118"/>
      <c r="C162" s="118"/>
      <c r="D162" s="119"/>
      <c r="E162" s="119"/>
      <c r="F162" s="119"/>
      <c r="G162" s="120"/>
      <c r="H162" s="118"/>
      <c r="I162" s="121"/>
      <c r="J162" s="121"/>
      <c r="K162" s="72"/>
    </row>
    <row r="163" spans="1:11" s="36" customFormat="1" x14ac:dyDescent="0.25">
      <c r="A163" s="180" t="s">
        <v>72</v>
      </c>
      <c r="B163" s="180"/>
      <c r="C163" s="180"/>
      <c r="D163" s="180"/>
      <c r="E163" s="180"/>
      <c r="F163" s="180"/>
      <c r="G163" s="180"/>
      <c r="H163" s="180"/>
      <c r="I163" s="180"/>
      <c r="J163" s="180"/>
      <c r="K163" s="72"/>
    </row>
    <row r="164" spans="1:11" s="36" customFormat="1" x14ac:dyDescent="0.25">
      <c r="A164" s="186" t="s">
        <v>67</v>
      </c>
      <c r="B164" s="186"/>
      <c r="C164" s="186"/>
      <c r="D164" s="186"/>
      <c r="E164" s="186" t="s">
        <v>68</v>
      </c>
      <c r="F164" s="186"/>
      <c r="G164" s="186"/>
      <c r="H164" s="186"/>
      <c r="I164" s="186"/>
      <c r="J164" s="186"/>
      <c r="K164" s="72"/>
    </row>
    <row r="165" spans="1:11" s="36" customFormat="1" x14ac:dyDescent="0.25">
      <c r="A165" s="185" t="s">
        <v>73</v>
      </c>
      <c r="B165" s="185"/>
      <c r="C165" s="185"/>
      <c r="D165" s="185"/>
      <c r="E165" s="185" t="s">
        <v>254</v>
      </c>
      <c r="F165" s="185"/>
      <c r="G165" s="185"/>
      <c r="H165" s="185"/>
      <c r="I165" s="185"/>
      <c r="J165" s="185"/>
      <c r="K165" s="72"/>
    </row>
    <row r="166" spans="1:11" s="36" customFormat="1" ht="15" customHeight="1" x14ac:dyDescent="0.25">
      <c r="A166" s="185" t="s">
        <v>252</v>
      </c>
      <c r="B166" s="185"/>
      <c r="C166" s="185"/>
      <c r="D166" s="185"/>
      <c r="E166" s="185" t="s">
        <v>253</v>
      </c>
      <c r="F166" s="185"/>
      <c r="G166" s="185"/>
      <c r="H166" s="185"/>
      <c r="I166" s="185"/>
      <c r="J166" s="185"/>
      <c r="K166" s="72"/>
    </row>
    <row r="167" spans="1:11" s="36" customFormat="1" ht="15" customHeight="1" x14ac:dyDescent="0.25">
      <c r="A167" s="185" t="s">
        <v>74</v>
      </c>
      <c r="B167" s="185"/>
      <c r="C167" s="185"/>
      <c r="D167" s="185"/>
      <c r="E167" s="185" t="s">
        <v>75</v>
      </c>
      <c r="F167" s="185"/>
      <c r="G167" s="185"/>
      <c r="H167" s="185"/>
      <c r="I167" s="185"/>
      <c r="J167" s="185"/>
      <c r="K167" s="72"/>
    </row>
    <row r="168" spans="1:11" s="36" customFormat="1" x14ac:dyDescent="0.25">
      <c r="A168" s="185" t="s">
        <v>76</v>
      </c>
      <c r="B168" s="185"/>
      <c r="C168" s="185"/>
      <c r="D168" s="185"/>
      <c r="E168" s="185" t="s">
        <v>77</v>
      </c>
      <c r="F168" s="185"/>
      <c r="G168" s="185"/>
      <c r="H168" s="185"/>
      <c r="I168" s="185"/>
      <c r="J168" s="185"/>
      <c r="K168" s="72"/>
    </row>
    <row r="169" spans="1:11" s="36" customFormat="1" ht="15" customHeight="1" x14ac:dyDescent="0.25">
      <c r="A169" s="185" t="s">
        <v>78</v>
      </c>
      <c r="B169" s="185"/>
      <c r="C169" s="185"/>
      <c r="D169" s="185"/>
      <c r="E169" s="185" t="s">
        <v>79</v>
      </c>
      <c r="F169" s="185"/>
      <c r="G169" s="185"/>
      <c r="H169" s="185"/>
      <c r="I169" s="185"/>
      <c r="J169" s="185"/>
      <c r="K169" s="72"/>
    </row>
    <row r="170" spans="1:11" s="36" customFormat="1" ht="15" customHeight="1" x14ac:dyDescent="0.25">
      <c r="A170" s="180" t="s">
        <v>89</v>
      </c>
      <c r="B170" s="180"/>
      <c r="C170" s="180"/>
      <c r="D170" s="180"/>
      <c r="E170" s="180"/>
      <c r="F170" s="180"/>
      <c r="G170" s="180"/>
      <c r="H170" s="180"/>
      <c r="I170" s="180"/>
      <c r="J170" s="180"/>
      <c r="K170" s="72"/>
    </row>
    <row r="171" spans="1:11" s="36" customFormat="1" x14ac:dyDescent="0.25">
      <c r="A171" s="181" t="s">
        <v>80</v>
      </c>
      <c r="B171" s="181"/>
      <c r="C171" s="181"/>
      <c r="D171" s="181"/>
      <c r="E171" s="181"/>
      <c r="F171" s="181"/>
      <c r="G171" s="181"/>
      <c r="H171" s="181"/>
      <c r="I171" s="181"/>
      <c r="J171" s="181"/>
      <c r="K171" s="72"/>
    </row>
    <row r="172" spans="1:11" s="36" customFormat="1" ht="15" customHeight="1" x14ac:dyDescent="0.2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72"/>
    </row>
    <row r="173" spans="1:11" s="36" customFormat="1" x14ac:dyDescent="0.25">
      <c r="A173" s="182" t="s">
        <v>90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72"/>
    </row>
    <row r="174" spans="1:11" s="36" customFormat="1" ht="15" customHeight="1" x14ac:dyDescent="0.25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72"/>
    </row>
    <row r="175" spans="1:11" s="42" customFormat="1" ht="13.9" customHeight="1" x14ac:dyDescent="0.25">
      <c r="A175" s="183" t="s">
        <v>353</v>
      </c>
      <c r="B175" s="183"/>
      <c r="C175" s="183"/>
      <c r="D175" s="183"/>
      <c r="E175" s="183"/>
      <c r="F175" s="183"/>
      <c r="G175" s="183"/>
      <c r="H175" s="183"/>
      <c r="I175" s="183"/>
      <c r="J175" s="48"/>
    </row>
    <row r="176" spans="1:11" s="49" customFormat="1" ht="13.9" customHeight="1" x14ac:dyDescent="0.25">
      <c r="A176" s="184" t="s">
        <v>354</v>
      </c>
      <c r="B176" s="184"/>
      <c r="C176" s="184"/>
      <c r="D176" s="184"/>
      <c r="E176" s="184"/>
      <c r="F176" s="184"/>
      <c r="G176" s="184"/>
      <c r="H176" s="184"/>
      <c r="I176" s="184"/>
      <c r="J176" s="48"/>
    </row>
    <row r="177" spans="10:10" x14ac:dyDescent="0.25">
      <c r="J177" s="48"/>
    </row>
    <row r="178" spans="10:10" x14ac:dyDescent="0.25">
      <c r="J178" s="48"/>
    </row>
    <row r="179" spans="10:10" x14ac:dyDescent="0.25">
      <c r="J179" s="48"/>
    </row>
  </sheetData>
  <protectedRanges>
    <protectedRange algorithmName="SHA-512" hashValue="VF6HSW3Iy4xJ9rvYE/9xGHEoimGCygSu8D4FeqmdsD954MzAHwkkxLcwSP9Q5ui8KTGpWBzFAFpp2yGVfuii3Q==" saltValue="Ht0jMOW+8eakbuvlYpVr7Q==" spinCount="100000" sqref="G54:J59 G29:J31 G33:J35 G37:J42 G13:J27 G61:J68 G78:J78 G70:J76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3:J43 G45:J48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0:J52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77:J77" name="Range1_3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97:WWE161" xr:uid="{FA694B6A-433F-4FA4-84BF-050781CB5F76}">
    <filterColumn colId="1">
      <filters>
        <filter val="ALL"/>
        <filter val="CY"/>
      </filters>
    </filterColumn>
    <filterColumn colId="3" showButton="0"/>
    <filterColumn colId="4" showButton="0"/>
  </autoFilter>
  <mergeCells count="152">
    <mergeCell ref="A173:J174"/>
    <mergeCell ref="A175:I175"/>
    <mergeCell ref="A176:I176"/>
    <mergeCell ref="A168:D168"/>
    <mergeCell ref="E168:J168"/>
    <mergeCell ref="A169:D169"/>
    <mergeCell ref="E169:J169"/>
    <mergeCell ref="A170:J170"/>
    <mergeCell ref="A171:J172"/>
    <mergeCell ref="A165:D165"/>
    <mergeCell ref="E165:J165"/>
    <mergeCell ref="A166:D166"/>
    <mergeCell ref="E166:J166"/>
    <mergeCell ref="A167:D167"/>
    <mergeCell ref="E167:J167"/>
    <mergeCell ref="D159:F159"/>
    <mergeCell ref="D160:F160"/>
    <mergeCell ref="D161:F161"/>
    <mergeCell ref="A163:J163"/>
    <mergeCell ref="A164:D164"/>
    <mergeCell ref="E164:J164"/>
    <mergeCell ref="D153:F153"/>
    <mergeCell ref="D154:F154"/>
    <mergeCell ref="D155:F155"/>
    <mergeCell ref="D156:F156"/>
    <mergeCell ref="D157:F157"/>
    <mergeCell ref="D158:F158"/>
    <mergeCell ref="D147:F147"/>
    <mergeCell ref="D148:F148"/>
    <mergeCell ref="D149:F149"/>
    <mergeCell ref="D150:F150"/>
    <mergeCell ref="D151:F151"/>
    <mergeCell ref="D152:F152"/>
    <mergeCell ref="D141:F141"/>
    <mergeCell ref="D142:F142"/>
    <mergeCell ref="D143:F143"/>
    <mergeCell ref="D144:F144"/>
    <mergeCell ref="D145:F145"/>
    <mergeCell ref="D146:F146"/>
    <mergeCell ref="D135:F135"/>
    <mergeCell ref="D136:F136"/>
    <mergeCell ref="D137:F137"/>
    <mergeCell ref="D138:F138"/>
    <mergeCell ref="D139:F139"/>
    <mergeCell ref="D140:F140"/>
    <mergeCell ref="D129:F129"/>
    <mergeCell ref="D130:F130"/>
    <mergeCell ref="D131:F131"/>
    <mergeCell ref="D132:F132"/>
    <mergeCell ref="D133:F133"/>
    <mergeCell ref="D134:F134"/>
    <mergeCell ref="D123:F123"/>
    <mergeCell ref="D124:F124"/>
    <mergeCell ref="D125:F125"/>
    <mergeCell ref="D126:F126"/>
    <mergeCell ref="D127:F127"/>
    <mergeCell ref="D128:F128"/>
    <mergeCell ref="D117:F117"/>
    <mergeCell ref="D118:F118"/>
    <mergeCell ref="D119:F119"/>
    <mergeCell ref="D120:F120"/>
    <mergeCell ref="D121:F121"/>
    <mergeCell ref="D122:F122"/>
    <mergeCell ref="D111:F111"/>
    <mergeCell ref="D112:F112"/>
    <mergeCell ref="D113:F113"/>
    <mergeCell ref="D114:F114"/>
    <mergeCell ref="D115:F115"/>
    <mergeCell ref="D116:F116"/>
    <mergeCell ref="D105:F105"/>
    <mergeCell ref="D106:F106"/>
    <mergeCell ref="D107:F107"/>
    <mergeCell ref="D108:F108"/>
    <mergeCell ref="D109:F109"/>
    <mergeCell ref="D110:F110"/>
    <mergeCell ref="D99:F99"/>
    <mergeCell ref="D100:F100"/>
    <mergeCell ref="D101:F101"/>
    <mergeCell ref="D102:F102"/>
    <mergeCell ref="D103:F103"/>
    <mergeCell ref="D104:F104"/>
    <mergeCell ref="A95:D95"/>
    <mergeCell ref="E95:J95"/>
    <mergeCell ref="L95:Q95"/>
    <mergeCell ref="A96:J96"/>
    <mergeCell ref="D97:F97"/>
    <mergeCell ref="D98:F98"/>
    <mergeCell ref="A93:D93"/>
    <mergeCell ref="G93:J93"/>
    <mergeCell ref="L93:Q93"/>
    <mergeCell ref="A94:D94"/>
    <mergeCell ref="G94:J94"/>
    <mergeCell ref="L94:Q94"/>
    <mergeCell ref="A91:D91"/>
    <mergeCell ref="F91:J91"/>
    <mergeCell ref="L91:Q91"/>
    <mergeCell ref="A92:D92"/>
    <mergeCell ref="G92:J92"/>
    <mergeCell ref="L92:Q92"/>
    <mergeCell ref="L88:Q88"/>
    <mergeCell ref="A89:D89"/>
    <mergeCell ref="F89:J89"/>
    <mergeCell ref="L89:Q89"/>
    <mergeCell ref="A90:D90"/>
    <mergeCell ref="F90:J90"/>
    <mergeCell ref="L90:Q90"/>
    <mergeCell ref="A86:D86"/>
    <mergeCell ref="F86:J86"/>
    <mergeCell ref="A87:D87"/>
    <mergeCell ref="F87:J87"/>
    <mergeCell ref="A88:D88"/>
    <mergeCell ref="F88:J88"/>
    <mergeCell ref="A83:D83"/>
    <mergeCell ref="F83:J83"/>
    <mergeCell ref="L83:Q83"/>
    <mergeCell ref="A84:D84"/>
    <mergeCell ref="F84:J84"/>
    <mergeCell ref="A85:D85"/>
    <mergeCell ref="F85:J85"/>
    <mergeCell ref="A79:J79"/>
    <mergeCell ref="A80:J80"/>
    <mergeCell ref="A81:D81"/>
    <mergeCell ref="E81:J81"/>
    <mergeCell ref="L81:Q81"/>
    <mergeCell ref="A82:D82"/>
    <mergeCell ref="F82:J82"/>
    <mergeCell ref="L82:Q82"/>
    <mergeCell ref="E44:F44"/>
    <mergeCell ref="E49:F49"/>
    <mergeCell ref="E53:F53"/>
    <mergeCell ref="E60:F60"/>
    <mergeCell ref="Y10:AB10"/>
    <mergeCell ref="E11:F11"/>
    <mergeCell ref="E12:F12"/>
    <mergeCell ref="E28:F28"/>
    <mergeCell ref="E32:F32"/>
    <mergeCell ref="E36:F36"/>
    <mergeCell ref="B6:C6"/>
    <mergeCell ref="G6:I6"/>
    <mergeCell ref="E8:I8"/>
    <mergeCell ref="A10:J10"/>
    <mergeCell ref="N10:R10"/>
    <mergeCell ref="S10:X10"/>
    <mergeCell ref="A1:B1"/>
    <mergeCell ref="C2:G2"/>
    <mergeCell ref="B3:H3"/>
    <mergeCell ref="B4:C4"/>
    <mergeCell ref="G4:I4"/>
    <mergeCell ref="B5:C5"/>
    <mergeCell ref="G5:I5"/>
    <mergeCell ref="E69:F69"/>
    <mergeCell ref="A77:J77"/>
  </mergeCells>
  <hyperlinks>
    <hyperlink ref="G6" r:id="rId1" xr:uid="{347B27BE-32A3-4A05-9C99-D670D139366D}"/>
    <hyperlink ref="G4" r:id="rId2" display="jchang.lax@oecgroup.com" xr:uid="{9F94DA94-5473-4F47-8CD5-3F953BCCD954}"/>
  </hyperlinks>
  <pageMargins left="0.35" right="0.35" top="0.35" bottom="0.35" header="0.3" footer="0.3"/>
  <pageSetup scale="47" fitToHeight="4" orientation="portrait" r:id="rId3"/>
  <rowBreaks count="1" manualBreakCount="1">
    <brk id="78" max="9" man="1"/>
  </rowBreaks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F4CE78E-8A36-4DFC-B250-36A5499A442A}">
          <x14:formula1>
            <xm:f>'C:\Users\twang\AppData\Local\Microsoft\Windows\Temporary Internet Files\Content.Outlook\U7WJNCNV\[QUOTE TEMPLATE 05-01-21.xltx]Sheet1'!#REF!</xm:f>
          </x14:formula1>
          <xm:sqref>C13:C27 C33:C35 C29:C31 C45:C48 C37:C43 C54:C59 Q13:Q14 C61:C68 C70:C76</xm:sqref>
        </x14:dataValidation>
        <x14:dataValidation type="list" allowBlank="1" showInputMessage="1" showErrorMessage="1" xr:uid="{D121AF4F-A156-41FB-8A31-194599A464F2}">
          <x14:formula1>
            <xm:f>'C:\Users\twang\AppData\Local\Microsoft\Windows\Temporary Internet Files\Content.Outlook\U7WJNCNV\[QUOTE TEMPLATE 05-01-21.xltx]Sheet1'!#REF!</xm:f>
          </x14:formula1>
          <xm:sqref>E88:E89 E54:E59 E82:E85 E33:E35 E29:E31 E91:E94 E45:E48 E37:E43 E61:E68 E70:E76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7E89-C2EB-479B-B568-52C33495ACEC}">
  <sheetPr filterMode="1">
    <pageSetUpPr fitToPage="1"/>
  </sheetPr>
  <dimension ref="A1:AC177"/>
  <sheetViews>
    <sheetView topLeftCell="A49" zoomScale="85" zoomScaleNormal="85" zoomScaleSheetLayoutView="40" workbookViewId="0">
      <pane xSplit="4" topLeftCell="G1" activePane="topRight" state="frozen"/>
      <selection activeCell="A19" sqref="A19"/>
      <selection pane="topRight" activeCell="B74" sqref="B74"/>
    </sheetView>
  </sheetViews>
  <sheetFormatPr defaultColWidth="8.85546875" defaultRowHeight="15" x14ac:dyDescent="0.25"/>
  <cols>
    <col min="1" max="1" width="27.5703125" style="50" customWidth="1"/>
    <col min="2" max="2" width="55.28515625" style="50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15.7109375" style="50" customWidth="1"/>
    <col min="13" max="13" width="11.140625" style="50" customWidth="1"/>
    <col min="14" max="14" width="9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44809</v>
      </c>
      <c r="C8" s="45" t="s">
        <v>91</v>
      </c>
      <c r="D8" s="44">
        <v>44834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383</v>
      </c>
      <c r="E13" s="95" t="s">
        <v>127</v>
      </c>
      <c r="F13" s="97" t="s">
        <v>422</v>
      </c>
      <c r="G13" s="98">
        <f>CEILING(S13+W13+X13+O13+N13+Y13,10)</f>
        <v>4720</v>
      </c>
      <c r="H13" s="99">
        <f>CEILING(T13+W13+X13+O13+N13+Z13,10)</f>
        <v>5060</v>
      </c>
      <c r="I13" s="99">
        <f>CEILING(U13+W13+X13+O13+N13+AA13,10)</f>
        <v>5060</v>
      </c>
      <c r="J13" s="99">
        <f>CEILING(V13+W13+X13+O13+N13+AB13,10)</f>
        <v>5970</v>
      </c>
      <c r="K13" s="57"/>
      <c r="L13" s="156" t="s">
        <v>384</v>
      </c>
      <c r="M13" s="52" t="s">
        <v>292</v>
      </c>
      <c r="N13" s="40">
        <f>50*7</f>
        <v>350</v>
      </c>
      <c r="O13" s="53">
        <f>VLOOKUP(B13,DRAYAGE!$A$1:$C$107,3,FALSE)</f>
        <v>1310</v>
      </c>
      <c r="P13" s="40" t="s">
        <v>347</v>
      </c>
      <c r="S13" s="101">
        <f t="shared" ref="S13:S27" si="0">0.9*T13</f>
        <v>3060</v>
      </c>
      <c r="T13" s="54">
        <v>3400</v>
      </c>
      <c r="U13" s="103">
        <f>T13</f>
        <v>3400</v>
      </c>
      <c r="V13" s="104">
        <f>U13*1.266</f>
        <v>4304.3999999999996</v>
      </c>
      <c r="X13" s="40">
        <v>0</v>
      </c>
    </row>
    <row r="14" spans="1:29" s="40" customFormat="1" ht="18.75" x14ac:dyDescent="0.25">
      <c r="A14" s="133" t="s">
        <v>55</v>
      </c>
      <c r="B14" s="51" t="s">
        <v>338</v>
      </c>
      <c r="C14" s="94" t="s">
        <v>54</v>
      </c>
      <c r="D14" s="95" t="s">
        <v>383</v>
      </c>
      <c r="E14" s="95" t="s">
        <v>127</v>
      </c>
      <c r="F14" s="97" t="s">
        <v>422</v>
      </c>
      <c r="G14" s="98">
        <f t="shared" ref="G14:G27" si="1">CEILING(S14+W14+X14+O14+N14+Y14,10)</f>
        <v>4720</v>
      </c>
      <c r="H14" s="99">
        <f t="shared" ref="H14:H27" si="2">CEILING(T14+W14+X14+O14+N14+Z14,10)</f>
        <v>5060</v>
      </c>
      <c r="I14" s="99">
        <f t="shared" ref="I14:I27" si="3">CEILING(U14+W14+X14+O14+N14+AA14,10)</f>
        <v>5060</v>
      </c>
      <c r="J14" s="99">
        <f t="shared" ref="J14:J27" si="4">CEILING(V14+W14+X14+O14+N14+AB14,10)</f>
        <v>5970</v>
      </c>
      <c r="K14" s="57"/>
      <c r="L14" s="156" t="s">
        <v>384</v>
      </c>
      <c r="M14" s="52" t="s">
        <v>292</v>
      </c>
      <c r="N14" s="40">
        <f t="shared" ref="N14:N27" si="5">50*7</f>
        <v>350</v>
      </c>
      <c r="O14" s="53">
        <f>VLOOKUP(B14,DRAYAGE!$A$1:$C$107,3,FALSE)</f>
        <v>1310</v>
      </c>
      <c r="P14" s="40" t="s">
        <v>347</v>
      </c>
      <c r="S14" s="101">
        <f t="shared" si="0"/>
        <v>3060</v>
      </c>
      <c r="T14" s="54">
        <v>3400</v>
      </c>
      <c r="U14" s="103">
        <f t="shared" ref="U14:U59" si="6">T14</f>
        <v>3400</v>
      </c>
      <c r="V14" s="104">
        <f t="shared" ref="V14:V19" si="7">U14*1.266</f>
        <v>4304.3999999999996</v>
      </c>
      <c r="X14" s="40">
        <v>0</v>
      </c>
    </row>
    <row r="15" spans="1:29" s="40" customFormat="1" ht="18.75" x14ac:dyDescent="0.25">
      <c r="A15" s="133" t="s">
        <v>56</v>
      </c>
      <c r="B15" s="51" t="s">
        <v>338</v>
      </c>
      <c r="C15" s="94" t="s">
        <v>54</v>
      </c>
      <c r="D15" s="95" t="s">
        <v>383</v>
      </c>
      <c r="E15" s="95" t="s">
        <v>127</v>
      </c>
      <c r="F15" s="97" t="s">
        <v>422</v>
      </c>
      <c r="G15" s="98">
        <f t="shared" si="1"/>
        <v>4720</v>
      </c>
      <c r="H15" s="99">
        <f t="shared" si="2"/>
        <v>5060</v>
      </c>
      <c r="I15" s="99">
        <f t="shared" si="3"/>
        <v>5060</v>
      </c>
      <c r="J15" s="99">
        <f t="shared" si="4"/>
        <v>5970</v>
      </c>
      <c r="K15" s="57"/>
      <c r="L15" s="156" t="s">
        <v>384</v>
      </c>
      <c r="M15" s="52" t="s">
        <v>292</v>
      </c>
      <c r="N15" s="40">
        <f t="shared" si="5"/>
        <v>350</v>
      </c>
      <c r="O15" s="53">
        <f>VLOOKUP(B15,DRAYAGE!$A$1:$C$107,3,FALSE)</f>
        <v>1310</v>
      </c>
      <c r="P15" s="40" t="s">
        <v>347</v>
      </c>
      <c r="S15" s="101">
        <f t="shared" si="0"/>
        <v>3060</v>
      </c>
      <c r="T15" s="54">
        <v>3400</v>
      </c>
      <c r="U15" s="103">
        <f t="shared" si="6"/>
        <v>3400</v>
      </c>
      <c r="V15" s="104">
        <f t="shared" si="7"/>
        <v>4304.3999999999996</v>
      </c>
      <c r="X15" s="40">
        <v>0</v>
      </c>
    </row>
    <row r="16" spans="1:29" s="40" customFormat="1" ht="18.75" x14ac:dyDescent="0.25">
      <c r="A16" s="133" t="s">
        <v>57</v>
      </c>
      <c r="B16" s="51" t="s">
        <v>338</v>
      </c>
      <c r="C16" s="94" t="s">
        <v>54</v>
      </c>
      <c r="D16" s="95" t="s">
        <v>383</v>
      </c>
      <c r="E16" s="95" t="s">
        <v>127</v>
      </c>
      <c r="F16" s="97" t="s">
        <v>422</v>
      </c>
      <c r="G16" s="98">
        <f t="shared" si="1"/>
        <v>5350</v>
      </c>
      <c r="H16" s="99">
        <f t="shared" si="2"/>
        <v>5760</v>
      </c>
      <c r="I16" s="99">
        <f t="shared" si="3"/>
        <v>5760</v>
      </c>
      <c r="J16" s="99">
        <f t="shared" si="4"/>
        <v>6860</v>
      </c>
      <c r="K16" s="57"/>
      <c r="L16" s="156" t="s">
        <v>384</v>
      </c>
      <c r="M16" s="52" t="s">
        <v>292</v>
      </c>
      <c r="N16" s="40">
        <f t="shared" si="5"/>
        <v>350</v>
      </c>
      <c r="O16" s="53">
        <f>VLOOKUP(B16,DRAYAGE!$A$1:$C$107,3,FALSE)</f>
        <v>1310</v>
      </c>
      <c r="P16" s="40" t="s">
        <v>347</v>
      </c>
      <c r="S16" s="101">
        <f t="shared" si="0"/>
        <v>3690</v>
      </c>
      <c r="T16" s="54">
        <v>4100</v>
      </c>
      <c r="U16" s="103">
        <f t="shared" si="6"/>
        <v>4100</v>
      </c>
      <c r="V16" s="104">
        <f t="shared" si="7"/>
        <v>5190.6000000000004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383</v>
      </c>
      <c r="E17" s="95" t="s">
        <v>127</v>
      </c>
      <c r="F17" s="97" t="s">
        <v>422</v>
      </c>
      <c r="G17" s="98">
        <f t="shared" si="1"/>
        <v>5530</v>
      </c>
      <c r="H17" s="99">
        <f t="shared" si="2"/>
        <v>5960</v>
      </c>
      <c r="I17" s="99">
        <f t="shared" si="3"/>
        <v>5960</v>
      </c>
      <c r="J17" s="99">
        <f t="shared" si="4"/>
        <v>7110</v>
      </c>
      <c r="K17" s="57"/>
      <c r="L17" s="156" t="s">
        <v>384</v>
      </c>
      <c r="M17" s="52" t="s">
        <v>292</v>
      </c>
      <c r="N17" s="40">
        <f t="shared" si="5"/>
        <v>350</v>
      </c>
      <c r="O17" s="53">
        <f>VLOOKUP(B17,DRAYAGE!$A$1:$C$107,3,FALSE)</f>
        <v>1310</v>
      </c>
      <c r="P17" s="40" t="s">
        <v>347</v>
      </c>
      <c r="S17" s="101">
        <f>0.9*T17</f>
        <v>3870</v>
      </c>
      <c r="T17" s="54">
        <v>4300</v>
      </c>
      <c r="U17" s="103">
        <f>T17</f>
        <v>4300</v>
      </c>
      <c r="V17" s="104">
        <f>U17*1.266</f>
        <v>5443.8</v>
      </c>
      <c r="X17" s="40">
        <v>0</v>
      </c>
    </row>
    <row r="18" spans="1:29" s="40" customFormat="1" ht="18.75" x14ac:dyDescent="0.25">
      <c r="A18" s="133" t="s">
        <v>366</v>
      </c>
      <c r="B18" s="51" t="s">
        <v>338</v>
      </c>
      <c r="C18" s="94" t="s">
        <v>54</v>
      </c>
      <c r="D18" s="95" t="s">
        <v>383</v>
      </c>
      <c r="E18" s="95" t="s">
        <v>127</v>
      </c>
      <c r="F18" s="97" t="s">
        <v>422</v>
      </c>
      <c r="G18" s="98">
        <f t="shared" si="1"/>
        <v>5850</v>
      </c>
      <c r="H18" s="99">
        <f t="shared" si="2"/>
        <v>6310</v>
      </c>
      <c r="I18" s="99">
        <f t="shared" si="3"/>
        <v>6310</v>
      </c>
      <c r="J18" s="99">
        <f t="shared" si="4"/>
        <v>7550</v>
      </c>
      <c r="K18" s="57"/>
      <c r="L18" s="156" t="s">
        <v>384</v>
      </c>
      <c r="M18" s="52" t="s">
        <v>292</v>
      </c>
      <c r="N18" s="40">
        <f t="shared" si="5"/>
        <v>350</v>
      </c>
      <c r="O18" s="53">
        <f>VLOOKUP(B18,DRAYAGE!$A$1:$C$107,3,FALSE)</f>
        <v>1310</v>
      </c>
      <c r="P18" s="40" t="s">
        <v>347</v>
      </c>
      <c r="S18" s="101">
        <f>0.9*T18</f>
        <v>4185</v>
      </c>
      <c r="T18" s="54">
        <f>T16+550</f>
        <v>4650</v>
      </c>
      <c r="U18" s="103">
        <f>T18</f>
        <v>4650</v>
      </c>
      <c r="V18" s="104">
        <f>U18*1.266</f>
        <v>5886.9</v>
      </c>
      <c r="X18" s="40">
        <v>0</v>
      </c>
    </row>
    <row r="19" spans="1:29" s="40" customFormat="1" ht="18.75" x14ac:dyDescent="0.25">
      <c r="A19" s="133" t="s">
        <v>59</v>
      </c>
      <c r="B19" s="51" t="s">
        <v>338</v>
      </c>
      <c r="C19" s="94" t="s">
        <v>54</v>
      </c>
      <c r="D19" s="95" t="s">
        <v>383</v>
      </c>
      <c r="E19" s="95" t="s">
        <v>127</v>
      </c>
      <c r="F19" s="97" t="s">
        <v>422</v>
      </c>
      <c r="G19" s="98">
        <f t="shared" si="1"/>
        <v>4720</v>
      </c>
      <c r="H19" s="99">
        <f t="shared" si="2"/>
        <v>5060</v>
      </c>
      <c r="I19" s="99">
        <f t="shared" si="3"/>
        <v>5060</v>
      </c>
      <c r="J19" s="99">
        <f t="shared" si="4"/>
        <v>5970</v>
      </c>
      <c r="K19" s="57"/>
      <c r="L19" s="156" t="s">
        <v>384</v>
      </c>
      <c r="M19" s="52" t="s">
        <v>292</v>
      </c>
      <c r="N19" s="40">
        <f t="shared" si="5"/>
        <v>350</v>
      </c>
      <c r="O19" s="53">
        <f>VLOOKUP(B19,DRAYAGE!$A$1:$C$107,3,FALSE)</f>
        <v>1310</v>
      </c>
      <c r="P19" s="40" t="s">
        <v>347</v>
      </c>
      <c r="S19" s="101">
        <f t="shared" si="0"/>
        <v>3060</v>
      </c>
      <c r="T19" s="54">
        <v>3400</v>
      </c>
      <c r="U19" s="103">
        <f t="shared" si="6"/>
        <v>3400</v>
      </c>
      <c r="V19" s="104">
        <f t="shared" si="7"/>
        <v>4304.3999999999996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383</v>
      </c>
      <c r="E20" s="95" t="s">
        <v>127</v>
      </c>
      <c r="F20" s="97" t="s">
        <v>422</v>
      </c>
      <c r="G20" s="98">
        <f t="shared" si="1"/>
        <v>4720</v>
      </c>
      <c r="H20" s="99">
        <f t="shared" si="2"/>
        <v>5060</v>
      </c>
      <c r="I20" s="99">
        <f t="shared" si="3"/>
        <v>5060</v>
      </c>
      <c r="J20" s="99">
        <f t="shared" si="4"/>
        <v>5970</v>
      </c>
      <c r="K20" s="57"/>
      <c r="L20" s="156" t="s">
        <v>384</v>
      </c>
      <c r="M20" s="52" t="s">
        <v>292</v>
      </c>
      <c r="N20" s="40">
        <f t="shared" si="5"/>
        <v>350</v>
      </c>
      <c r="O20" s="53">
        <f>VLOOKUP(B20,DRAYAGE!$A$1:$C$107,3,FALSE)</f>
        <v>1310</v>
      </c>
      <c r="P20" s="40" t="s">
        <v>347</v>
      </c>
      <c r="S20" s="101">
        <f t="shared" si="0"/>
        <v>3060</v>
      </c>
      <c r="T20" s="54">
        <v>3400</v>
      </c>
      <c r="U20" s="103">
        <f t="shared" si="6"/>
        <v>3400</v>
      </c>
      <c r="V20" s="104">
        <f>U20*1.266</f>
        <v>4304.3999999999996</v>
      </c>
      <c r="X20" s="40">
        <v>0</v>
      </c>
    </row>
    <row r="21" spans="1:29" s="40" customFormat="1" ht="18.75" x14ac:dyDescent="0.25">
      <c r="A21" s="133" t="s">
        <v>376</v>
      </c>
      <c r="B21" s="51" t="s">
        <v>338</v>
      </c>
      <c r="C21" s="94" t="s">
        <v>54</v>
      </c>
      <c r="D21" s="95" t="s">
        <v>383</v>
      </c>
      <c r="E21" s="95" t="s">
        <v>127</v>
      </c>
      <c r="F21" s="97" t="s">
        <v>422</v>
      </c>
      <c r="G21" s="98">
        <f t="shared" si="1"/>
        <v>4720</v>
      </c>
      <c r="H21" s="99">
        <f t="shared" si="2"/>
        <v>5060</v>
      </c>
      <c r="I21" s="99">
        <f t="shared" si="3"/>
        <v>5060</v>
      </c>
      <c r="J21" s="99">
        <f t="shared" si="4"/>
        <v>5970</v>
      </c>
      <c r="K21" s="57"/>
      <c r="L21" s="156" t="s">
        <v>384</v>
      </c>
      <c r="M21" s="52" t="s">
        <v>292</v>
      </c>
      <c r="N21" s="40">
        <f t="shared" si="5"/>
        <v>350</v>
      </c>
      <c r="O21" s="53">
        <f>VLOOKUP(B21,DRAYAGE!$A$1:$C$107,3,FALSE)</f>
        <v>1310</v>
      </c>
      <c r="P21" s="40" t="s">
        <v>347</v>
      </c>
      <c r="S21" s="101">
        <f t="shared" si="0"/>
        <v>3060</v>
      </c>
      <c r="T21" s="54">
        <v>3400</v>
      </c>
      <c r="U21" s="103">
        <f t="shared" si="6"/>
        <v>3400</v>
      </c>
      <c r="V21" s="104">
        <f t="shared" ref="V21:V27" si="8">U21*1.266</f>
        <v>4304.3999999999996</v>
      </c>
      <c r="X21" s="40">
        <v>0</v>
      </c>
    </row>
    <row r="22" spans="1:29" s="40" customFormat="1" ht="18.75" x14ac:dyDescent="0.25">
      <c r="A22" s="133" t="s">
        <v>108</v>
      </c>
      <c r="B22" s="51" t="s">
        <v>338</v>
      </c>
      <c r="C22" s="94" t="s">
        <v>54</v>
      </c>
      <c r="D22" s="95" t="s">
        <v>383</v>
      </c>
      <c r="E22" s="95" t="s">
        <v>127</v>
      </c>
      <c r="F22" s="97" t="s">
        <v>422</v>
      </c>
      <c r="G22" s="98">
        <f t="shared" si="1"/>
        <v>5040</v>
      </c>
      <c r="H22" s="99">
        <f t="shared" si="2"/>
        <v>5410</v>
      </c>
      <c r="I22" s="99">
        <f t="shared" si="3"/>
        <v>5410</v>
      </c>
      <c r="J22" s="99">
        <f t="shared" si="4"/>
        <v>6410</v>
      </c>
      <c r="K22" s="57"/>
      <c r="L22" s="156" t="s">
        <v>384</v>
      </c>
      <c r="M22" s="52" t="s">
        <v>292</v>
      </c>
      <c r="N22" s="40">
        <f t="shared" si="5"/>
        <v>350</v>
      </c>
      <c r="O22" s="53">
        <f>VLOOKUP(B22,DRAYAGE!$A$1:$C$107,3,FALSE)</f>
        <v>1310</v>
      </c>
      <c r="P22" s="40" t="s">
        <v>347</v>
      </c>
      <c r="S22" s="101">
        <f t="shared" si="0"/>
        <v>3375</v>
      </c>
      <c r="T22" s="54">
        <v>3750</v>
      </c>
      <c r="U22" s="103">
        <f t="shared" si="6"/>
        <v>3750</v>
      </c>
      <c r="V22" s="104">
        <f t="shared" si="8"/>
        <v>4747.5</v>
      </c>
      <c r="X22" s="40">
        <v>0</v>
      </c>
    </row>
    <row r="23" spans="1:29" s="40" customFormat="1" ht="18.75" x14ac:dyDescent="0.25">
      <c r="A23" s="133" t="s">
        <v>62</v>
      </c>
      <c r="B23" s="51" t="s">
        <v>338</v>
      </c>
      <c r="C23" s="94" t="s">
        <v>54</v>
      </c>
      <c r="D23" s="95" t="s">
        <v>383</v>
      </c>
      <c r="E23" s="95" t="s">
        <v>127</v>
      </c>
      <c r="F23" s="97" t="s">
        <v>422</v>
      </c>
      <c r="G23" s="98">
        <f t="shared" si="1"/>
        <v>4810</v>
      </c>
      <c r="H23" s="99">
        <f t="shared" si="2"/>
        <v>5160</v>
      </c>
      <c r="I23" s="99">
        <f t="shared" si="3"/>
        <v>5160</v>
      </c>
      <c r="J23" s="99">
        <f t="shared" si="4"/>
        <v>6100</v>
      </c>
      <c r="K23" s="57"/>
      <c r="L23" s="156" t="s">
        <v>384</v>
      </c>
      <c r="M23" s="52" t="s">
        <v>292</v>
      </c>
      <c r="N23" s="40">
        <f t="shared" si="5"/>
        <v>350</v>
      </c>
      <c r="O23" s="53">
        <f>VLOOKUP(B23,DRAYAGE!$A$1:$C$107,3,FALSE)</f>
        <v>1310</v>
      </c>
      <c r="P23" s="40" t="s">
        <v>347</v>
      </c>
      <c r="S23" s="101">
        <f t="shared" si="0"/>
        <v>3150</v>
      </c>
      <c r="T23" s="54">
        <v>3500</v>
      </c>
      <c r="U23" s="103">
        <f t="shared" si="6"/>
        <v>3500</v>
      </c>
      <c r="V23" s="104">
        <f t="shared" si="8"/>
        <v>4431</v>
      </c>
      <c r="X23" s="40">
        <v>0</v>
      </c>
      <c r="Y23" s="40">
        <f>0.9*Z23</f>
        <v>0</v>
      </c>
      <c r="AA23" s="40">
        <f>Z23</f>
        <v>0</v>
      </c>
      <c r="AB23" s="40">
        <f>Z23*1.266</f>
        <v>0</v>
      </c>
    </row>
    <row r="24" spans="1:29" s="40" customFormat="1" ht="18.75" x14ac:dyDescent="0.25">
      <c r="A24" s="133" t="s">
        <v>66</v>
      </c>
      <c r="B24" s="51" t="s">
        <v>338</v>
      </c>
      <c r="C24" s="94" t="s">
        <v>54</v>
      </c>
      <c r="D24" s="95" t="s">
        <v>383</v>
      </c>
      <c r="E24" s="95" t="s">
        <v>127</v>
      </c>
      <c r="F24" s="97" t="s">
        <v>422</v>
      </c>
      <c r="G24" s="98">
        <f t="shared" si="1"/>
        <v>5040</v>
      </c>
      <c r="H24" s="99">
        <f t="shared" si="2"/>
        <v>5410</v>
      </c>
      <c r="I24" s="99">
        <f t="shared" si="3"/>
        <v>5410</v>
      </c>
      <c r="J24" s="99">
        <f t="shared" si="4"/>
        <v>6410</v>
      </c>
      <c r="K24" s="57"/>
      <c r="L24" s="156" t="s">
        <v>384</v>
      </c>
      <c r="M24" s="52" t="s">
        <v>292</v>
      </c>
      <c r="N24" s="40">
        <f t="shared" si="5"/>
        <v>350</v>
      </c>
      <c r="O24" s="53">
        <f>VLOOKUP(B24,DRAYAGE!$A$1:$C$107,3,FALSE)</f>
        <v>1310</v>
      </c>
      <c r="P24" s="40" t="s">
        <v>347</v>
      </c>
      <c r="S24" s="101">
        <f t="shared" si="0"/>
        <v>3375</v>
      </c>
      <c r="T24" s="54">
        <f>T20+350</f>
        <v>3750</v>
      </c>
      <c r="U24" s="103">
        <f t="shared" si="6"/>
        <v>3750</v>
      </c>
      <c r="V24" s="104">
        <f t="shared" si="8"/>
        <v>4747.5</v>
      </c>
      <c r="X24" s="40">
        <v>0</v>
      </c>
    </row>
    <row r="25" spans="1:29" s="40" customFormat="1" ht="18.75" x14ac:dyDescent="0.25">
      <c r="A25" s="133" t="s">
        <v>65</v>
      </c>
      <c r="B25" s="51" t="s">
        <v>338</v>
      </c>
      <c r="C25" s="94" t="s">
        <v>54</v>
      </c>
      <c r="D25" s="95" t="s">
        <v>383</v>
      </c>
      <c r="E25" s="95" t="s">
        <v>127</v>
      </c>
      <c r="F25" s="97" t="s">
        <v>422</v>
      </c>
      <c r="G25" s="98">
        <f t="shared" si="1"/>
        <v>5020</v>
      </c>
      <c r="H25" s="99">
        <f t="shared" si="2"/>
        <v>5390</v>
      </c>
      <c r="I25" s="99">
        <f t="shared" si="3"/>
        <v>5390</v>
      </c>
      <c r="J25" s="99">
        <f t="shared" si="4"/>
        <v>6380</v>
      </c>
      <c r="K25" s="57"/>
      <c r="L25" s="156" t="s">
        <v>384</v>
      </c>
      <c r="M25" s="52" t="s">
        <v>292</v>
      </c>
      <c r="N25" s="40">
        <f t="shared" si="5"/>
        <v>350</v>
      </c>
      <c r="O25" s="53">
        <f>VLOOKUP(B25,DRAYAGE!$A$1:$C$107,3,FALSE)</f>
        <v>1310</v>
      </c>
      <c r="P25" s="40" t="s">
        <v>347</v>
      </c>
      <c r="S25" s="101">
        <f t="shared" si="0"/>
        <v>3352.5</v>
      </c>
      <c r="T25" s="54">
        <f>T20+325</f>
        <v>3725</v>
      </c>
      <c r="U25" s="103">
        <f t="shared" si="6"/>
        <v>3725</v>
      </c>
      <c r="V25" s="104">
        <f t="shared" si="8"/>
        <v>4715.8500000000004</v>
      </c>
      <c r="X25" s="40">
        <v>0</v>
      </c>
      <c r="Y25" s="40">
        <f>0.9*Z25</f>
        <v>0</v>
      </c>
      <c r="AA25" s="40">
        <f>Z25</f>
        <v>0</v>
      </c>
      <c r="AB25" s="40">
        <f>Z25*1.266</f>
        <v>0</v>
      </c>
    </row>
    <row r="26" spans="1:29" s="40" customFormat="1" ht="18.75" x14ac:dyDescent="0.25">
      <c r="A26" s="133" t="s">
        <v>63</v>
      </c>
      <c r="B26" s="51" t="s">
        <v>338</v>
      </c>
      <c r="C26" s="94" t="s">
        <v>54</v>
      </c>
      <c r="D26" s="95" t="s">
        <v>383</v>
      </c>
      <c r="E26" s="95" t="s">
        <v>127</v>
      </c>
      <c r="F26" s="97" t="s">
        <v>422</v>
      </c>
      <c r="G26" s="98">
        <f t="shared" si="1"/>
        <v>5040</v>
      </c>
      <c r="H26" s="99">
        <f t="shared" si="2"/>
        <v>5410</v>
      </c>
      <c r="I26" s="99">
        <f t="shared" si="3"/>
        <v>5410</v>
      </c>
      <c r="J26" s="99">
        <f t="shared" si="4"/>
        <v>6410</v>
      </c>
      <c r="K26" s="57"/>
      <c r="L26" s="156" t="s">
        <v>384</v>
      </c>
      <c r="M26" s="52" t="s">
        <v>292</v>
      </c>
      <c r="N26" s="40">
        <f t="shared" si="5"/>
        <v>350</v>
      </c>
      <c r="O26" s="53">
        <f>VLOOKUP(B26,DRAYAGE!$A$1:$C$107,3,FALSE)</f>
        <v>1310</v>
      </c>
      <c r="P26" s="40" t="s">
        <v>347</v>
      </c>
      <c r="S26" s="101">
        <f t="shared" si="0"/>
        <v>3375</v>
      </c>
      <c r="T26" s="54">
        <f>T20+350</f>
        <v>3750</v>
      </c>
      <c r="U26" s="103">
        <f t="shared" si="6"/>
        <v>3750</v>
      </c>
      <c r="V26" s="104">
        <f t="shared" si="8"/>
        <v>4747.5</v>
      </c>
      <c r="X26" s="40">
        <v>0</v>
      </c>
      <c r="Y26" s="40">
        <f>0.9*Z26</f>
        <v>0</v>
      </c>
      <c r="AA26" s="40">
        <f>Z26</f>
        <v>0</v>
      </c>
      <c r="AB26" s="40">
        <f>Z26*1.266</f>
        <v>0</v>
      </c>
    </row>
    <row r="27" spans="1:29" s="45" customFormat="1" ht="18.75" x14ac:dyDescent="0.25">
      <c r="A27" s="133" t="s">
        <v>275</v>
      </c>
      <c r="B27" s="51" t="s">
        <v>338</v>
      </c>
      <c r="C27" s="106" t="s">
        <v>54</v>
      </c>
      <c r="D27" s="95" t="s">
        <v>383</v>
      </c>
      <c r="E27" s="95" t="s">
        <v>127</v>
      </c>
      <c r="F27" s="97" t="s">
        <v>422</v>
      </c>
      <c r="G27" s="98">
        <f t="shared" si="1"/>
        <v>5040</v>
      </c>
      <c r="H27" s="99">
        <f t="shared" si="2"/>
        <v>5410</v>
      </c>
      <c r="I27" s="99">
        <f t="shared" si="3"/>
        <v>5410</v>
      </c>
      <c r="J27" s="99">
        <f t="shared" si="4"/>
        <v>6410</v>
      </c>
      <c r="K27" s="111"/>
      <c r="L27" s="156" t="s">
        <v>384</v>
      </c>
      <c r="M27" s="52" t="s">
        <v>292</v>
      </c>
      <c r="N27" s="40">
        <f t="shared" si="5"/>
        <v>350</v>
      </c>
      <c r="O27" s="53">
        <f>VLOOKUP(B27,DRAYAGE!$A$1:$C$107,3,FALSE)</f>
        <v>1310</v>
      </c>
      <c r="P27" s="40" t="s">
        <v>347</v>
      </c>
      <c r="R27" s="105"/>
      <c r="S27" s="113">
        <f t="shared" si="0"/>
        <v>3375</v>
      </c>
      <c r="T27" s="54">
        <f>T20+350</f>
        <v>3750</v>
      </c>
      <c r="U27" s="103">
        <f t="shared" si="6"/>
        <v>3750</v>
      </c>
      <c r="V27" s="114">
        <f t="shared" si="8"/>
        <v>4747.5</v>
      </c>
      <c r="X27" s="45">
        <v>0</v>
      </c>
      <c r="Y27" s="40">
        <f>0.9*Z27</f>
        <v>0</v>
      </c>
      <c r="AA27" s="40">
        <f>Z27</f>
        <v>0</v>
      </c>
      <c r="AB27" s="40">
        <f>Z27*1.266</f>
        <v>0</v>
      </c>
    </row>
    <row r="28" spans="1:29" s="40" customFormat="1" ht="14.45" customHeight="1" x14ac:dyDescent="0.25">
      <c r="A28" s="134" t="s">
        <v>333</v>
      </c>
      <c r="B28" s="88"/>
      <c r="C28" s="88"/>
      <c r="D28" s="88"/>
      <c r="E28" s="210"/>
      <c r="F28" s="211"/>
      <c r="G28" s="88"/>
      <c r="H28" s="88"/>
      <c r="I28" s="88"/>
      <c r="J28" s="88"/>
      <c r="K28" s="57"/>
      <c r="L28" s="89" t="s">
        <v>48</v>
      </c>
      <c r="M28" s="89" t="s">
        <v>261</v>
      </c>
      <c r="N28" s="90" t="s">
        <v>51</v>
      </c>
      <c r="O28" s="91" t="s">
        <v>50</v>
      </c>
      <c r="P28" s="91" t="s">
        <v>262</v>
      </c>
      <c r="Q28" s="91" t="s">
        <v>263</v>
      </c>
      <c r="R28" s="91" t="s">
        <v>264</v>
      </c>
      <c r="S28" s="92" t="s">
        <v>52</v>
      </c>
      <c r="T28" s="92" t="s">
        <v>53</v>
      </c>
      <c r="U28" s="92" t="s">
        <v>265</v>
      </c>
      <c r="V28" s="92" t="s">
        <v>266</v>
      </c>
      <c r="W28" s="92" t="s">
        <v>267</v>
      </c>
      <c r="X28" s="92" t="s">
        <v>268</v>
      </c>
      <c r="Y28" s="92" t="s">
        <v>52</v>
      </c>
      <c r="Z28" s="92" t="s">
        <v>53</v>
      </c>
      <c r="AA28" s="92" t="s">
        <v>265</v>
      </c>
      <c r="AB28" s="92" t="s">
        <v>266</v>
      </c>
      <c r="AC28" s="93" t="s">
        <v>269</v>
      </c>
    </row>
    <row r="29" spans="1:29" s="40" customFormat="1" ht="14.45" customHeight="1" x14ac:dyDescent="0.25">
      <c r="A29" s="133" t="s">
        <v>58</v>
      </c>
      <c r="B29" s="51" t="s">
        <v>339</v>
      </c>
      <c r="C29" s="94" t="s">
        <v>54</v>
      </c>
      <c r="D29" s="95" t="s">
        <v>383</v>
      </c>
      <c r="E29" s="96" t="s">
        <v>114</v>
      </c>
      <c r="F29" s="97" t="s">
        <v>270</v>
      </c>
      <c r="G29" s="98">
        <f>CEILING(S29+W29+X29+O29+N29+Y29,10)</f>
        <v>10590</v>
      </c>
      <c r="H29" s="99">
        <f>CEILING(T29+W29+X29+O29+N29+Z29,10)</f>
        <v>11470</v>
      </c>
      <c r="I29" s="99">
        <f>CEILING(U29+W29+X29+O29+N29+AA29,10)</f>
        <v>11470</v>
      </c>
      <c r="J29" s="99">
        <f>CEILING(V29+W29+X29+O29+N29+AB29,10)</f>
        <v>13810</v>
      </c>
      <c r="K29" s="57"/>
      <c r="L29" s="156" t="s">
        <v>384</v>
      </c>
      <c r="M29" s="52" t="s">
        <v>293</v>
      </c>
      <c r="N29" s="40">
        <v>0</v>
      </c>
      <c r="O29" s="53">
        <f>VLOOKUP(B29,DRAYAGE!$A$1:$C$107,3,FALSE)</f>
        <v>2665</v>
      </c>
      <c r="P29" s="40" t="s">
        <v>299</v>
      </c>
      <c r="S29" s="101">
        <f>0.9*T29</f>
        <v>7920</v>
      </c>
      <c r="T29" s="54">
        <f>8500+300</f>
        <v>8800</v>
      </c>
      <c r="U29" s="103">
        <f t="shared" si="6"/>
        <v>8800</v>
      </c>
      <c r="V29" s="104">
        <f>U29*1.266</f>
        <v>11140.8</v>
      </c>
    </row>
    <row r="30" spans="1:29" s="40" customFormat="1" ht="14.45" customHeight="1" x14ac:dyDescent="0.25">
      <c r="A30" s="133" t="s">
        <v>55</v>
      </c>
      <c r="B30" s="51" t="s">
        <v>339</v>
      </c>
      <c r="C30" s="94" t="s">
        <v>54</v>
      </c>
      <c r="D30" s="95" t="s">
        <v>383</v>
      </c>
      <c r="E30" s="96" t="s">
        <v>114</v>
      </c>
      <c r="F30" s="97" t="s">
        <v>270</v>
      </c>
      <c r="G30" s="98">
        <f>CEILING(S30+W30+X30+O30+N30+Y30,10)</f>
        <v>10270</v>
      </c>
      <c r="H30" s="99">
        <f>CEILING(T30+W30+X30+O30+N30+Z30,10)</f>
        <v>11120</v>
      </c>
      <c r="I30" s="99">
        <f>CEILING(U30+W30+X30+O30+N30+AA30,10)</f>
        <v>11120</v>
      </c>
      <c r="J30" s="99">
        <f>CEILING(V30+W30+X30+O30+N30+AB30,10)</f>
        <v>13370</v>
      </c>
      <c r="K30" s="57"/>
      <c r="L30" s="156" t="s">
        <v>384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S30" s="101">
        <f>0.9*T30</f>
        <v>7605</v>
      </c>
      <c r="T30" s="54">
        <v>8450</v>
      </c>
      <c r="U30" s="103">
        <f t="shared" si="6"/>
        <v>8450</v>
      </c>
      <c r="V30" s="104">
        <f>U30*1.266</f>
        <v>10697.7</v>
      </c>
    </row>
    <row r="31" spans="1:29" s="40" customFormat="1" ht="14.45" customHeight="1" x14ac:dyDescent="0.25">
      <c r="A31" s="133" t="s">
        <v>61</v>
      </c>
      <c r="B31" s="51" t="s">
        <v>339</v>
      </c>
      <c r="C31" s="94" t="s">
        <v>54</v>
      </c>
      <c r="D31" s="95" t="s">
        <v>383</v>
      </c>
      <c r="E31" s="96" t="s">
        <v>114</v>
      </c>
      <c r="F31" s="97" t="s">
        <v>270</v>
      </c>
      <c r="G31" s="98">
        <f>CEILING(S31+W31+X31+O31+N31+Y31,10)</f>
        <v>10270</v>
      </c>
      <c r="H31" s="99">
        <f>CEILING(T31+W31+X31+O31+N31+Z31,10)</f>
        <v>11120</v>
      </c>
      <c r="I31" s="99">
        <f>CEILING(U31+W31+X31+O31+N31+AA31,10)</f>
        <v>11120</v>
      </c>
      <c r="J31" s="99">
        <f>CEILING(V31+W31+X31+O31+N31+AB31,10)</f>
        <v>13370</v>
      </c>
      <c r="K31" s="57"/>
      <c r="L31" s="156" t="s">
        <v>384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S31" s="101">
        <f>0.9*T31</f>
        <v>7605</v>
      </c>
      <c r="T31" s="54">
        <v>8450</v>
      </c>
      <c r="U31" s="103">
        <f t="shared" si="6"/>
        <v>8450</v>
      </c>
      <c r="V31" s="104">
        <f>U31*1.266</f>
        <v>10697.7</v>
      </c>
    </row>
    <row r="32" spans="1:29" s="40" customFormat="1" ht="14.45" customHeight="1" x14ac:dyDescent="0.25">
      <c r="A32" s="134" t="s">
        <v>334</v>
      </c>
      <c r="B32" s="88"/>
      <c r="C32" s="88"/>
      <c r="D32" s="88"/>
      <c r="E32" s="210"/>
      <c r="F32" s="211"/>
      <c r="G32" s="88"/>
      <c r="H32" s="88"/>
      <c r="I32" s="88"/>
      <c r="J32" s="88"/>
      <c r="K32" s="57"/>
      <c r="L32" s="89" t="s">
        <v>48</v>
      </c>
      <c r="M32" s="89" t="s">
        <v>261</v>
      </c>
      <c r="N32" s="90" t="s">
        <v>51</v>
      </c>
      <c r="O32" s="91" t="s">
        <v>50</v>
      </c>
      <c r="P32" s="91" t="s">
        <v>262</v>
      </c>
      <c r="Q32" s="91" t="s">
        <v>263</v>
      </c>
      <c r="R32" s="91" t="s">
        <v>264</v>
      </c>
      <c r="S32" s="92" t="s">
        <v>52</v>
      </c>
      <c r="T32" s="92" t="s">
        <v>53</v>
      </c>
      <c r="U32" s="92" t="s">
        <v>265</v>
      </c>
      <c r="V32" s="92" t="s">
        <v>266</v>
      </c>
      <c r="W32" s="92" t="s">
        <v>267</v>
      </c>
      <c r="X32" s="92" t="s">
        <v>268</v>
      </c>
      <c r="Y32" s="92" t="s">
        <v>52</v>
      </c>
      <c r="Z32" s="92" t="s">
        <v>53</v>
      </c>
      <c r="AA32" s="92" t="s">
        <v>265</v>
      </c>
      <c r="AB32" s="92" t="s">
        <v>266</v>
      </c>
      <c r="AC32" s="93" t="s">
        <v>269</v>
      </c>
    </row>
    <row r="33" spans="1:29" s="40" customFormat="1" ht="14.45" customHeight="1" x14ac:dyDescent="0.25">
      <c r="A33" s="133" t="s">
        <v>58</v>
      </c>
      <c r="B33" s="51" t="s">
        <v>341</v>
      </c>
      <c r="C33" s="94" t="s">
        <v>54</v>
      </c>
      <c r="D33" s="95" t="s">
        <v>383</v>
      </c>
      <c r="E33" s="96" t="s">
        <v>114</v>
      </c>
      <c r="F33" s="97" t="s">
        <v>270</v>
      </c>
      <c r="G33" s="98">
        <f>CEILING(S33+W33+X33+O33+N33+Y33,10)</f>
        <v>9610</v>
      </c>
      <c r="H33" s="99">
        <f>CEILING(T33+W33+X33+O33+N33+Z33,10)</f>
        <v>10490</v>
      </c>
      <c r="I33" s="99">
        <f>CEILING(U33+W33+X33+O33+N33+AA33,10)</f>
        <v>10490</v>
      </c>
      <c r="J33" s="99">
        <f>CEILING(V33+W33+X33+O33+N33+AB33,10)</f>
        <v>12840</v>
      </c>
      <c r="K33" s="57"/>
      <c r="L33" s="156" t="s">
        <v>384</v>
      </c>
      <c r="M33" s="52" t="s">
        <v>293</v>
      </c>
      <c r="N33" s="40">
        <v>0</v>
      </c>
      <c r="O33" s="53">
        <f>VLOOKUP(B33,DRAYAGE!$A$1:$C$107,3,FALSE)</f>
        <v>1690</v>
      </c>
      <c r="P33" s="40" t="s">
        <v>299</v>
      </c>
      <c r="S33" s="101">
        <f>0.9*T33</f>
        <v>7920</v>
      </c>
      <c r="T33" s="54">
        <f>T29</f>
        <v>8800</v>
      </c>
      <c r="U33" s="103">
        <f t="shared" si="6"/>
        <v>8800</v>
      </c>
      <c r="V33" s="104">
        <f>U33*1.266</f>
        <v>11140.8</v>
      </c>
      <c r="X33" s="40">
        <v>0</v>
      </c>
    </row>
    <row r="34" spans="1:29" s="40" customFormat="1" ht="14.45" customHeight="1" x14ac:dyDescent="0.25">
      <c r="A34" s="133" t="s">
        <v>55</v>
      </c>
      <c r="B34" s="51" t="s">
        <v>341</v>
      </c>
      <c r="C34" s="94" t="s">
        <v>54</v>
      </c>
      <c r="D34" s="95" t="s">
        <v>383</v>
      </c>
      <c r="E34" s="96" t="s">
        <v>114</v>
      </c>
      <c r="F34" s="97" t="s">
        <v>270</v>
      </c>
      <c r="G34" s="98">
        <f>CEILING(S34+W34+X34+O34+N34+Y34,10)</f>
        <v>9300</v>
      </c>
      <c r="H34" s="99">
        <f>CEILING(T34+W34+X34+O34+N34+Z34,10)</f>
        <v>10140</v>
      </c>
      <c r="I34" s="99">
        <f>CEILING(U34+W34+X34+O34+N34+AA34,10)</f>
        <v>10140</v>
      </c>
      <c r="J34" s="99">
        <f>CEILING(V34+W34+X34+O34+N34+AB34,10)</f>
        <v>12390</v>
      </c>
      <c r="K34" s="57"/>
      <c r="L34" s="156" t="s">
        <v>384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S34" s="101">
        <f>0.9*T34</f>
        <v>7605</v>
      </c>
      <c r="T34" s="54">
        <f>T30</f>
        <v>8450</v>
      </c>
      <c r="U34" s="103">
        <f t="shared" si="6"/>
        <v>8450</v>
      </c>
      <c r="V34" s="104">
        <f>U34*1.266</f>
        <v>10697.7</v>
      </c>
      <c r="X34" s="40">
        <v>0</v>
      </c>
    </row>
    <row r="35" spans="1:29" s="40" customFormat="1" ht="14.45" customHeight="1" x14ac:dyDescent="0.25">
      <c r="A35" s="133" t="s">
        <v>61</v>
      </c>
      <c r="B35" s="51" t="s">
        <v>341</v>
      </c>
      <c r="C35" s="94" t="s">
        <v>54</v>
      </c>
      <c r="D35" s="95" t="s">
        <v>383</v>
      </c>
      <c r="E35" s="96" t="s">
        <v>114</v>
      </c>
      <c r="F35" s="97" t="s">
        <v>270</v>
      </c>
      <c r="G35" s="98">
        <f>CEILING(S35+W35+X35+O35+N35+Y35,10)</f>
        <v>9300</v>
      </c>
      <c r="H35" s="99">
        <f>CEILING(T35+W35+X35+O35+N35+Z35,10)</f>
        <v>10140</v>
      </c>
      <c r="I35" s="99">
        <f>CEILING(U35+W35+X35+O35+N35+AA35,10)</f>
        <v>10140</v>
      </c>
      <c r="J35" s="99">
        <f>CEILING(V35+W35+X35+O35+N35+AB35,10)</f>
        <v>12390</v>
      </c>
      <c r="K35" s="57"/>
      <c r="L35" s="156" t="s">
        <v>384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S35" s="101">
        <f>0.9*T35</f>
        <v>7605</v>
      </c>
      <c r="T35" s="54">
        <f>T31</f>
        <v>8450</v>
      </c>
      <c r="U35" s="103">
        <f t="shared" si="6"/>
        <v>8450</v>
      </c>
      <c r="V35" s="104">
        <f>U35*1.266</f>
        <v>10697.7</v>
      </c>
      <c r="X35" s="40">
        <v>0</v>
      </c>
    </row>
    <row r="36" spans="1:29" s="40" customFormat="1" ht="14.45" customHeight="1" x14ac:dyDescent="0.25">
      <c r="A36" s="134" t="s">
        <v>335</v>
      </c>
      <c r="B36" s="88"/>
      <c r="C36" s="88"/>
      <c r="D36" s="88"/>
      <c r="E36" s="210"/>
      <c r="F36" s="211"/>
      <c r="G36" s="88"/>
      <c r="H36" s="88"/>
      <c r="I36" s="88"/>
      <c r="J36" s="88"/>
      <c r="K36" s="57"/>
      <c r="L36" s="89" t="s">
        <v>48</v>
      </c>
      <c r="M36" s="89" t="s">
        <v>261</v>
      </c>
      <c r="N36" s="90" t="s">
        <v>51</v>
      </c>
      <c r="O36" s="91" t="s">
        <v>50</v>
      </c>
      <c r="P36" s="91" t="s">
        <v>262</v>
      </c>
      <c r="Q36" s="91" t="s">
        <v>263</v>
      </c>
      <c r="R36" s="91" t="s">
        <v>264</v>
      </c>
      <c r="S36" s="92" t="s">
        <v>52</v>
      </c>
      <c r="T36" s="92" t="s">
        <v>53</v>
      </c>
      <c r="U36" s="92" t="s">
        <v>265</v>
      </c>
      <c r="V36" s="92" t="s">
        <v>266</v>
      </c>
      <c r="W36" s="92" t="s">
        <v>267</v>
      </c>
      <c r="X36" s="92" t="s">
        <v>268</v>
      </c>
      <c r="Y36" s="92" t="s">
        <v>52</v>
      </c>
      <c r="Z36" s="92" t="s">
        <v>53</v>
      </c>
      <c r="AA36" s="92" t="s">
        <v>265</v>
      </c>
      <c r="AB36" s="92" t="s">
        <v>266</v>
      </c>
      <c r="AC36" s="93" t="s">
        <v>269</v>
      </c>
    </row>
    <row r="37" spans="1:29" s="40" customFormat="1" ht="18.75" x14ac:dyDescent="0.25">
      <c r="A37" s="133" t="s">
        <v>81</v>
      </c>
      <c r="B37" s="51" t="s">
        <v>340</v>
      </c>
      <c r="C37" s="94" t="s">
        <v>54</v>
      </c>
      <c r="D37" s="95" t="s">
        <v>383</v>
      </c>
      <c r="E37" s="96" t="s">
        <v>114</v>
      </c>
      <c r="F37" s="97" t="s">
        <v>270</v>
      </c>
      <c r="G37" s="98">
        <f t="shared" ref="G37:G43" si="9">CEILING(S37+W37+X37+O37+N37+Y37,10)</f>
        <v>9890</v>
      </c>
      <c r="H37" s="99">
        <f t="shared" ref="H37:H43" si="10">CEILING(T37+W37+X37+O37+N37+Z37,10)</f>
        <v>10780</v>
      </c>
      <c r="I37" s="99">
        <f t="shared" ref="I37:I43" si="11">CEILING(U37+W37+X37+O37+N37+AA37,10)</f>
        <v>10780</v>
      </c>
      <c r="J37" s="99">
        <f t="shared" ref="J37:J43" si="12">CEILING(V37+W37+X37+O37+N37+AB37,10)</f>
        <v>13170</v>
      </c>
      <c r="K37" s="57"/>
      <c r="L37" s="156" t="s">
        <v>384</v>
      </c>
      <c r="M37" s="52" t="s">
        <v>294</v>
      </c>
      <c r="N37" s="40">
        <v>0</v>
      </c>
      <c r="O37" s="53">
        <f>VLOOKUP(B37,DRAYAGE!$A$1:$C$107,3,FALSE)</f>
        <v>1805</v>
      </c>
      <c r="P37" s="40" t="s">
        <v>300</v>
      </c>
      <c r="S37" s="101">
        <f t="shared" ref="S37:S43" si="13">0.9*T37</f>
        <v>8077.5</v>
      </c>
      <c r="T37" s="54">
        <v>8975</v>
      </c>
      <c r="U37" s="103">
        <f t="shared" si="6"/>
        <v>8975</v>
      </c>
      <c r="V37" s="104">
        <f t="shared" ref="V37:V43" si="14">U37*1.266</f>
        <v>11362.35</v>
      </c>
      <c r="X37" s="40">
        <v>0</v>
      </c>
    </row>
    <row r="38" spans="1:29" s="40" customFormat="1" ht="27" customHeight="1" x14ac:dyDescent="0.25">
      <c r="A38" s="133" t="s">
        <v>55</v>
      </c>
      <c r="B38" s="51" t="s">
        <v>340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 t="shared" si="9"/>
        <v>9890</v>
      </c>
      <c r="H38" s="99">
        <f t="shared" si="10"/>
        <v>10780</v>
      </c>
      <c r="I38" s="99">
        <f t="shared" si="11"/>
        <v>10780</v>
      </c>
      <c r="J38" s="99">
        <f t="shared" si="12"/>
        <v>13170</v>
      </c>
      <c r="K38" s="57"/>
      <c r="L38" s="156" t="s">
        <v>384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S38" s="101">
        <f t="shared" si="13"/>
        <v>8077.5</v>
      </c>
      <c r="T38" s="54">
        <v>8975</v>
      </c>
      <c r="U38" s="103">
        <f t="shared" si="6"/>
        <v>8975</v>
      </c>
      <c r="V38" s="104">
        <f t="shared" si="14"/>
        <v>11362.35</v>
      </c>
      <c r="X38" s="40">
        <v>0</v>
      </c>
    </row>
    <row r="39" spans="1:29" s="40" customFormat="1" ht="14.45" customHeight="1" x14ac:dyDescent="0.25">
      <c r="A39" s="133" t="s">
        <v>59</v>
      </c>
      <c r="B39" s="51" t="s">
        <v>340</v>
      </c>
      <c r="C39" s="94" t="s">
        <v>54</v>
      </c>
      <c r="D39" s="95" t="s">
        <v>383</v>
      </c>
      <c r="E39" s="96" t="s">
        <v>114</v>
      </c>
      <c r="F39" s="97" t="s">
        <v>270</v>
      </c>
      <c r="G39" s="98">
        <f t="shared" si="9"/>
        <v>9890</v>
      </c>
      <c r="H39" s="99">
        <f t="shared" si="10"/>
        <v>10780</v>
      </c>
      <c r="I39" s="99">
        <f t="shared" si="11"/>
        <v>10780</v>
      </c>
      <c r="J39" s="99">
        <f t="shared" si="12"/>
        <v>13170</v>
      </c>
      <c r="K39" s="57"/>
      <c r="L39" s="156" t="s">
        <v>384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S39" s="101">
        <f t="shared" si="13"/>
        <v>8077.5</v>
      </c>
      <c r="T39" s="54">
        <v>8975</v>
      </c>
      <c r="U39" s="103">
        <f t="shared" si="6"/>
        <v>8975</v>
      </c>
      <c r="V39" s="104">
        <f t="shared" si="14"/>
        <v>11362.35</v>
      </c>
      <c r="X39" s="40">
        <v>0</v>
      </c>
    </row>
    <row r="40" spans="1:29" s="40" customFormat="1" ht="18.75" x14ac:dyDescent="0.25">
      <c r="A40" s="133" t="s">
        <v>60</v>
      </c>
      <c r="B40" s="51" t="s">
        <v>340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 t="shared" si="9"/>
        <v>9890</v>
      </c>
      <c r="H40" s="99">
        <f t="shared" si="10"/>
        <v>10780</v>
      </c>
      <c r="I40" s="99">
        <f t="shared" si="11"/>
        <v>10780</v>
      </c>
      <c r="J40" s="99">
        <f t="shared" si="12"/>
        <v>13170</v>
      </c>
      <c r="K40" s="57"/>
      <c r="L40" s="156" t="s">
        <v>384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S40" s="101">
        <f t="shared" si="13"/>
        <v>8077.5</v>
      </c>
      <c r="T40" s="54">
        <v>8975</v>
      </c>
      <c r="U40" s="103">
        <f t="shared" si="6"/>
        <v>8975</v>
      </c>
      <c r="V40" s="104">
        <f t="shared" si="14"/>
        <v>11362.35</v>
      </c>
      <c r="X40" s="40">
        <v>0</v>
      </c>
    </row>
    <row r="41" spans="1:29" s="45" customFormat="1" ht="14.45" customHeight="1" x14ac:dyDescent="0.25">
      <c r="A41" s="133" t="s">
        <v>61</v>
      </c>
      <c r="B41" s="51" t="s">
        <v>340</v>
      </c>
      <c r="C41" s="106" t="s">
        <v>54</v>
      </c>
      <c r="D41" s="95" t="s">
        <v>383</v>
      </c>
      <c r="E41" s="107" t="s">
        <v>114</v>
      </c>
      <c r="F41" s="108" t="s">
        <v>270</v>
      </c>
      <c r="G41" s="109">
        <f t="shared" si="9"/>
        <v>9890</v>
      </c>
      <c r="H41" s="110">
        <f t="shared" si="10"/>
        <v>10780</v>
      </c>
      <c r="I41" s="110">
        <f t="shared" si="11"/>
        <v>10780</v>
      </c>
      <c r="J41" s="110">
        <f t="shared" si="12"/>
        <v>13170</v>
      </c>
      <c r="K41" s="111"/>
      <c r="L41" s="156" t="s">
        <v>384</v>
      </c>
      <c r="M41" s="52" t="s">
        <v>294</v>
      </c>
      <c r="N41" s="45">
        <v>0</v>
      </c>
      <c r="O41" s="53">
        <f>VLOOKUP(B41,DRAYAGE!$A$1:$C$107,3,FALSE)</f>
        <v>1805</v>
      </c>
      <c r="P41" s="40" t="s">
        <v>300</v>
      </c>
      <c r="R41" s="40"/>
      <c r="S41" s="113">
        <f t="shared" si="13"/>
        <v>8077.5</v>
      </c>
      <c r="T41" s="54">
        <v>8975</v>
      </c>
      <c r="U41" s="103">
        <f t="shared" si="6"/>
        <v>8975</v>
      </c>
      <c r="V41" s="114">
        <f t="shared" si="14"/>
        <v>11362.35</v>
      </c>
      <c r="X41" s="45">
        <v>0</v>
      </c>
      <c r="Y41" s="40"/>
      <c r="Z41" s="40"/>
      <c r="AA41" s="40"/>
      <c r="AB41" s="40"/>
    </row>
    <row r="42" spans="1:29" s="40" customFormat="1" ht="18.75" x14ac:dyDescent="0.25">
      <c r="A42" s="133" t="s">
        <v>273</v>
      </c>
      <c r="B42" s="51" t="s">
        <v>340</v>
      </c>
      <c r="C42" s="94" t="s">
        <v>54</v>
      </c>
      <c r="D42" s="95" t="s">
        <v>383</v>
      </c>
      <c r="E42" s="96" t="s">
        <v>114</v>
      </c>
      <c r="F42" s="97" t="s">
        <v>270</v>
      </c>
      <c r="G42" s="98">
        <f t="shared" si="9"/>
        <v>10020</v>
      </c>
      <c r="H42" s="99">
        <f t="shared" si="10"/>
        <v>10930</v>
      </c>
      <c r="I42" s="99">
        <f t="shared" si="11"/>
        <v>10930</v>
      </c>
      <c r="J42" s="99">
        <f t="shared" si="12"/>
        <v>13360</v>
      </c>
      <c r="K42" s="57"/>
      <c r="L42" s="156" t="s">
        <v>384</v>
      </c>
      <c r="M42" s="52" t="s">
        <v>294</v>
      </c>
      <c r="N42" s="40">
        <v>0</v>
      </c>
      <c r="O42" s="53">
        <f>VLOOKUP(B42,DRAYAGE!$A$1:$C$107,3,FALSE)</f>
        <v>1805</v>
      </c>
      <c r="P42" s="40" t="s">
        <v>300</v>
      </c>
      <c r="S42" s="101">
        <f t="shared" si="13"/>
        <v>8212.5</v>
      </c>
      <c r="T42" s="54">
        <f>8975+150</f>
        <v>9125</v>
      </c>
      <c r="U42" s="103">
        <f t="shared" si="6"/>
        <v>9125</v>
      </c>
      <c r="V42" s="104">
        <f t="shared" si="14"/>
        <v>11552.25</v>
      </c>
      <c r="X42" s="40">
        <v>0</v>
      </c>
    </row>
    <row r="43" spans="1:29" s="40" customFormat="1" ht="14.45" customHeight="1" x14ac:dyDescent="0.25">
      <c r="A43" s="133" t="s">
        <v>58</v>
      </c>
      <c r="B43" s="51" t="s">
        <v>340</v>
      </c>
      <c r="C43" s="94" t="s">
        <v>54</v>
      </c>
      <c r="D43" s="95" t="s">
        <v>383</v>
      </c>
      <c r="E43" s="96" t="s">
        <v>114</v>
      </c>
      <c r="F43" s="97" t="s">
        <v>270</v>
      </c>
      <c r="G43" s="98">
        <f t="shared" si="9"/>
        <v>10160</v>
      </c>
      <c r="H43" s="99">
        <f t="shared" si="10"/>
        <v>11080</v>
      </c>
      <c r="I43" s="99">
        <f t="shared" si="11"/>
        <v>11080</v>
      </c>
      <c r="J43" s="99">
        <f t="shared" si="12"/>
        <v>13550</v>
      </c>
      <c r="K43" s="57"/>
      <c r="L43" s="156" t="s">
        <v>384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S43" s="101">
        <f t="shared" si="13"/>
        <v>8347.5</v>
      </c>
      <c r="T43" s="54">
        <f>T37+300</f>
        <v>9275</v>
      </c>
      <c r="U43" s="103">
        <f t="shared" si="6"/>
        <v>9275</v>
      </c>
      <c r="V43" s="104">
        <f t="shared" si="14"/>
        <v>11742.15</v>
      </c>
      <c r="X43" s="40">
        <v>0</v>
      </c>
    </row>
    <row r="44" spans="1:29" s="40" customFormat="1" ht="14.45" customHeight="1" x14ac:dyDescent="0.25">
      <c r="A44" s="134" t="s">
        <v>98</v>
      </c>
      <c r="B44" s="88"/>
      <c r="C44" s="88"/>
      <c r="D44" s="88"/>
      <c r="E44" s="210"/>
      <c r="F44" s="211"/>
      <c r="G44" s="88"/>
      <c r="H44" s="88"/>
      <c r="I44" s="88"/>
      <c r="J44" s="88"/>
      <c r="K44" s="57"/>
      <c r="L44" s="89" t="s">
        <v>48</v>
      </c>
      <c r="M44" s="89" t="s">
        <v>261</v>
      </c>
      <c r="N44" s="90" t="s">
        <v>51</v>
      </c>
      <c r="O44" s="91" t="s">
        <v>50</v>
      </c>
      <c r="P44" s="91" t="s">
        <v>262</v>
      </c>
      <c r="Q44" s="91" t="s">
        <v>263</v>
      </c>
      <c r="R44" s="92" t="s">
        <v>52</v>
      </c>
      <c r="S44" s="92" t="s">
        <v>52</v>
      </c>
      <c r="T44" s="92" t="s">
        <v>53</v>
      </c>
      <c r="U44" s="92" t="s">
        <v>265</v>
      </c>
      <c r="V44" s="92" t="s">
        <v>266</v>
      </c>
      <c r="W44" s="92" t="s">
        <v>267</v>
      </c>
      <c r="X44" s="92" t="s">
        <v>268</v>
      </c>
      <c r="Y44" s="92" t="s">
        <v>52</v>
      </c>
      <c r="Z44" s="92" t="s">
        <v>53</v>
      </c>
      <c r="AA44" s="92" t="s">
        <v>265</v>
      </c>
      <c r="AB44" s="92" t="s">
        <v>266</v>
      </c>
      <c r="AC44" s="93" t="s">
        <v>269</v>
      </c>
    </row>
    <row r="45" spans="1:29" s="40" customFormat="1" ht="14.45" customHeight="1" x14ac:dyDescent="0.25">
      <c r="A45" s="133" t="s">
        <v>331</v>
      </c>
      <c r="B45" s="51" t="s">
        <v>342</v>
      </c>
      <c r="C45" s="94" t="s">
        <v>54</v>
      </c>
      <c r="D45" s="95" t="s">
        <v>383</v>
      </c>
      <c r="E45" s="96" t="s">
        <v>114</v>
      </c>
      <c r="F45" s="97" t="s">
        <v>270</v>
      </c>
      <c r="G45" s="98">
        <f>CEILING(S45+W45+X45+O45+N45+Y45,10)</f>
        <v>10830</v>
      </c>
      <c r="H45" s="99">
        <f>CEILING(T45+W45+X45+O45+N45+Z45,10)</f>
        <v>11700</v>
      </c>
      <c r="I45" s="99">
        <f>CEILING(U45+W45+X45+O45+N45+AA45,10)</f>
        <v>11700</v>
      </c>
      <c r="J45" s="99">
        <f>CEILING(V45+W45+X45+O45+N45+AB45,10)</f>
        <v>14010</v>
      </c>
      <c r="K45" s="57"/>
      <c r="L45" s="156" t="s">
        <v>384</v>
      </c>
      <c r="M45" s="52" t="s">
        <v>293</v>
      </c>
      <c r="N45" s="40">
        <v>0</v>
      </c>
      <c r="O45" s="53">
        <f>VLOOKUP(B45,DRAYAGE!$A$1:$C$107,3,FALSE)</f>
        <v>2995</v>
      </c>
      <c r="P45" s="40" t="s">
        <v>302</v>
      </c>
      <c r="R45" s="101">
        <v>19800</v>
      </c>
      <c r="S45" s="101">
        <f>0.9*T45</f>
        <v>7830</v>
      </c>
      <c r="T45" s="54">
        <v>8700</v>
      </c>
      <c r="U45" s="103">
        <f>T45</f>
        <v>8700</v>
      </c>
      <c r="V45" s="104">
        <f>U45*1.266</f>
        <v>11014.2</v>
      </c>
      <c r="W45" s="40">
        <v>0</v>
      </c>
    </row>
    <row r="46" spans="1:29" s="40" customFormat="1" ht="14.45" customHeight="1" x14ac:dyDescent="0.25">
      <c r="A46" s="133" t="s">
        <v>328</v>
      </c>
      <c r="B46" s="51" t="s">
        <v>342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>CEILING(S46+W46+X46+O46+N46+Y46,10)</f>
        <v>10830</v>
      </c>
      <c r="H46" s="99">
        <f>CEILING(T46+W46+X46+O46+N46+Z46,10)</f>
        <v>11700</v>
      </c>
      <c r="I46" s="99">
        <f>CEILING(U46+W46+X46+O46+N46+AA46,10)</f>
        <v>11700</v>
      </c>
      <c r="J46" s="99">
        <f>CEILING(V46+W46+X46+O46+N46+AB46,10)</f>
        <v>14010</v>
      </c>
      <c r="K46" s="57"/>
      <c r="L46" s="156" t="s">
        <v>384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R46" s="101">
        <v>19800</v>
      </c>
      <c r="S46" s="101">
        <f>0.9*T46</f>
        <v>7830</v>
      </c>
      <c r="T46" s="54">
        <v>8700</v>
      </c>
      <c r="U46" s="103">
        <f>T46</f>
        <v>8700</v>
      </c>
      <c r="V46" s="104">
        <f>U46*1.266</f>
        <v>11014.2</v>
      </c>
      <c r="W46" s="40">
        <v>0</v>
      </c>
    </row>
    <row r="47" spans="1:29" s="40" customFormat="1" ht="14.45" customHeight="1" x14ac:dyDescent="0.25">
      <c r="A47" s="133" t="s">
        <v>58</v>
      </c>
      <c r="B47" s="51" t="s">
        <v>342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>CEILING(S47+W47+X47+O47+N47+Y47,10)</f>
        <v>11100</v>
      </c>
      <c r="H47" s="99">
        <f>CEILING(T47+W47+X47+O47+N47+Z47,10)</f>
        <v>12000</v>
      </c>
      <c r="I47" s="99">
        <f>CEILING(U47+W47+X47+O47+N47+AA47,10)</f>
        <v>12000</v>
      </c>
      <c r="J47" s="99">
        <f>CEILING(V47+W47+X47+O47+N47+AB47,10)</f>
        <v>14390</v>
      </c>
      <c r="K47" s="57"/>
      <c r="L47" s="156" t="s">
        <v>384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R47" s="101">
        <v>19800</v>
      </c>
      <c r="S47" s="101">
        <f>0.9*T47</f>
        <v>8100</v>
      </c>
      <c r="T47" s="54">
        <f>8700+300</f>
        <v>9000</v>
      </c>
      <c r="U47" s="103">
        <f>T47</f>
        <v>9000</v>
      </c>
      <c r="V47" s="104">
        <f>U47*1.266</f>
        <v>11394</v>
      </c>
      <c r="W47" s="40">
        <v>0</v>
      </c>
    </row>
    <row r="48" spans="1:29" s="40" customFormat="1" ht="14.45" customHeight="1" x14ac:dyDescent="0.25">
      <c r="A48" s="133" t="s">
        <v>330</v>
      </c>
      <c r="B48" s="51" t="s">
        <v>342</v>
      </c>
      <c r="C48" s="94" t="s">
        <v>54</v>
      </c>
      <c r="D48" s="95" t="s">
        <v>383</v>
      </c>
      <c r="E48" s="96" t="s">
        <v>114</v>
      </c>
      <c r="F48" s="97" t="s">
        <v>270</v>
      </c>
      <c r="G48" s="98">
        <f>CEILING(S48+W48+X48+O48+N48+Y48,10)</f>
        <v>10830</v>
      </c>
      <c r="H48" s="99">
        <f>CEILING(T48+W48+X48+O48+N48+Z48,10)</f>
        <v>11700</v>
      </c>
      <c r="I48" s="99">
        <f>CEILING(U48+W48+X48+O48+N48+AA48,10)</f>
        <v>11700</v>
      </c>
      <c r="J48" s="99">
        <f>CEILING(V48+W48+X48+O48+N48+AB48,10)</f>
        <v>14010</v>
      </c>
      <c r="K48" s="57"/>
      <c r="L48" s="156" t="s">
        <v>384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R48" s="101">
        <v>19800</v>
      </c>
      <c r="S48" s="101">
        <f>0.9*T48</f>
        <v>7830</v>
      </c>
      <c r="T48" s="54">
        <v>8700</v>
      </c>
      <c r="U48" s="103">
        <f>T48</f>
        <v>8700</v>
      </c>
      <c r="V48" s="104">
        <f>U48*1.266</f>
        <v>11014.2</v>
      </c>
      <c r="W48" s="40">
        <v>0</v>
      </c>
    </row>
    <row r="49" spans="1:29" s="40" customFormat="1" ht="14.45" customHeight="1" x14ac:dyDescent="0.25">
      <c r="A49" s="134" t="s">
        <v>336</v>
      </c>
      <c r="B49" s="88"/>
      <c r="C49" s="88"/>
      <c r="D49" s="88"/>
      <c r="E49" s="210"/>
      <c r="F49" s="211"/>
      <c r="G49" s="88"/>
      <c r="H49" s="88"/>
      <c r="I49" s="88"/>
      <c r="J49" s="88"/>
      <c r="K49" s="57"/>
      <c r="L49" s="89" t="s">
        <v>48</v>
      </c>
      <c r="M49" s="89" t="s">
        <v>261</v>
      </c>
      <c r="N49" s="90" t="s">
        <v>51</v>
      </c>
      <c r="O49" s="91" t="s">
        <v>50</v>
      </c>
      <c r="P49" s="91" t="s">
        <v>262</v>
      </c>
      <c r="Q49" s="91" t="s">
        <v>263</v>
      </c>
      <c r="R49" s="92" t="s">
        <v>52</v>
      </c>
      <c r="S49" s="92" t="s">
        <v>52</v>
      </c>
      <c r="T49" s="92" t="s">
        <v>53</v>
      </c>
      <c r="U49" s="92" t="s">
        <v>265</v>
      </c>
      <c r="V49" s="92" t="s">
        <v>266</v>
      </c>
      <c r="W49" s="92" t="s">
        <v>267</v>
      </c>
      <c r="X49" s="92" t="s">
        <v>268</v>
      </c>
      <c r="Y49" s="92" t="s">
        <v>52</v>
      </c>
      <c r="Z49" s="92" t="s">
        <v>53</v>
      </c>
      <c r="AA49" s="92" t="s">
        <v>265</v>
      </c>
      <c r="AB49" s="92" t="s">
        <v>266</v>
      </c>
      <c r="AC49" s="93" t="s">
        <v>269</v>
      </c>
    </row>
    <row r="50" spans="1:29" s="40" customFormat="1" ht="14.45" customHeight="1" x14ac:dyDescent="0.25">
      <c r="A50" s="133" t="s">
        <v>326</v>
      </c>
      <c r="B50" s="51" t="s">
        <v>343</v>
      </c>
      <c r="C50" s="94" t="s">
        <v>54</v>
      </c>
      <c r="D50" s="95" t="s">
        <v>383</v>
      </c>
      <c r="E50" s="96" t="s">
        <v>114</v>
      </c>
      <c r="F50" s="97" t="s">
        <v>270</v>
      </c>
      <c r="G50" s="98">
        <v>18510</v>
      </c>
      <c r="H50" s="99">
        <v>20510</v>
      </c>
      <c r="I50" s="99">
        <v>20510</v>
      </c>
      <c r="J50" s="99">
        <v>25830</v>
      </c>
      <c r="K50" s="57"/>
      <c r="L50" s="156" t="s">
        <v>384</v>
      </c>
      <c r="M50" s="52" t="s">
        <v>295</v>
      </c>
      <c r="N50" s="40">
        <v>0</v>
      </c>
      <c r="O50" s="53">
        <f>VLOOKUP(B50,DRAYAGE!$A$1:$C$107,3,FALSE)</f>
        <v>1185</v>
      </c>
      <c r="P50" s="40" t="s">
        <v>361</v>
      </c>
      <c r="R50" s="101">
        <v>18000</v>
      </c>
      <c r="S50" s="101">
        <f>0.9*T50</f>
        <v>8190</v>
      </c>
      <c r="T50" s="54">
        <f>8900+200</f>
        <v>9100</v>
      </c>
      <c r="U50" s="103">
        <f>T50</f>
        <v>9100</v>
      </c>
      <c r="V50" s="104">
        <f>U50*1.266</f>
        <v>11520.6</v>
      </c>
      <c r="W50" s="40">
        <v>0</v>
      </c>
    </row>
    <row r="51" spans="1:29" s="40" customFormat="1" ht="14.45" customHeight="1" x14ac:dyDescent="0.25">
      <c r="A51" s="133" t="s">
        <v>327</v>
      </c>
      <c r="B51" s="51" t="s">
        <v>343</v>
      </c>
      <c r="C51" s="94" t="s">
        <v>54</v>
      </c>
      <c r="D51" s="95" t="s">
        <v>383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56" t="s">
        <v>384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R51" s="101">
        <v>18000</v>
      </c>
      <c r="S51" s="101">
        <f>0.9*T51</f>
        <v>8190</v>
      </c>
      <c r="T51" s="54">
        <f>8900+200</f>
        <v>9100</v>
      </c>
      <c r="U51" s="103">
        <f>T51</f>
        <v>9100</v>
      </c>
      <c r="V51" s="104">
        <f>U51*1.266</f>
        <v>11520.6</v>
      </c>
      <c r="W51" s="40">
        <v>0</v>
      </c>
    </row>
    <row r="52" spans="1:29" s="40" customFormat="1" ht="14.45" customHeight="1" x14ac:dyDescent="0.25">
      <c r="A52" s="133" t="s">
        <v>328</v>
      </c>
      <c r="B52" s="51" t="s">
        <v>343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v>18510</v>
      </c>
      <c r="H52" s="99">
        <v>20510</v>
      </c>
      <c r="I52" s="99">
        <v>20510</v>
      </c>
      <c r="J52" s="99">
        <v>25830</v>
      </c>
      <c r="K52" s="57"/>
      <c r="L52" s="156" t="s">
        <v>384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R52" s="101">
        <v>18000</v>
      </c>
      <c r="S52" s="101">
        <f>0.9*T52</f>
        <v>8280</v>
      </c>
      <c r="T52" s="54">
        <f>8900+300</f>
        <v>9200</v>
      </c>
      <c r="U52" s="103">
        <f>T52</f>
        <v>9200</v>
      </c>
      <c r="V52" s="104">
        <f>U52*1.266</f>
        <v>11647.2</v>
      </c>
      <c r="W52" s="40">
        <v>0</v>
      </c>
    </row>
    <row r="53" spans="1:29" s="40" customFormat="1" ht="14.45" customHeight="1" x14ac:dyDescent="0.25">
      <c r="A53" s="134" t="s">
        <v>337</v>
      </c>
      <c r="B53" s="88"/>
      <c r="C53" s="88"/>
      <c r="D53" s="88"/>
      <c r="E53" s="210"/>
      <c r="F53" s="211"/>
      <c r="G53" s="88"/>
      <c r="H53" s="88"/>
      <c r="I53" s="88"/>
      <c r="J53" s="88"/>
      <c r="K53" s="57"/>
      <c r="L53" s="89" t="s">
        <v>48</v>
      </c>
      <c r="M53" s="89" t="s">
        <v>261</v>
      </c>
      <c r="N53" s="90" t="s">
        <v>51</v>
      </c>
      <c r="O53" s="91" t="s">
        <v>50</v>
      </c>
      <c r="P53" s="91" t="s">
        <v>262</v>
      </c>
      <c r="Q53" s="91" t="s">
        <v>263</v>
      </c>
      <c r="R53" s="91" t="s">
        <v>264</v>
      </c>
      <c r="S53" s="92" t="s">
        <v>52</v>
      </c>
      <c r="T53" s="92" t="s">
        <v>53</v>
      </c>
      <c r="U53" s="92" t="s">
        <v>265</v>
      </c>
      <c r="V53" s="92" t="s">
        <v>266</v>
      </c>
      <c r="W53" s="92" t="s">
        <v>267</v>
      </c>
      <c r="X53" s="92" t="s">
        <v>268</v>
      </c>
      <c r="Y53" s="92" t="s">
        <v>52</v>
      </c>
      <c r="Z53" s="92" t="s">
        <v>53</v>
      </c>
      <c r="AA53" s="92" t="s">
        <v>265</v>
      </c>
      <c r="AB53" s="92" t="s">
        <v>266</v>
      </c>
      <c r="AC53" s="93" t="s">
        <v>269</v>
      </c>
    </row>
    <row r="54" spans="1:29" s="40" customFormat="1" ht="18.75" x14ac:dyDescent="0.25">
      <c r="A54" s="133" t="s">
        <v>81</v>
      </c>
      <c r="B54" s="51" t="s">
        <v>344</v>
      </c>
      <c r="C54" s="94" t="s">
        <v>54</v>
      </c>
      <c r="D54" s="95" t="s">
        <v>383</v>
      </c>
      <c r="E54" s="96" t="s">
        <v>114</v>
      </c>
      <c r="F54" s="97" t="s">
        <v>270</v>
      </c>
      <c r="G54" s="98">
        <f t="shared" ref="G54:G59" si="15">CEILING(S54+W54+X54+O54+N54+Y54,10)</f>
        <v>9430</v>
      </c>
      <c r="H54" s="99">
        <f t="shared" ref="H54:H59" si="16">CEILING(T54+W54+X54+O54+N54+Z54,10)</f>
        <v>10320</v>
      </c>
      <c r="I54" s="99">
        <f t="shared" ref="I54:I59" si="17">CEILING(U54+W54+X54+O54+N54+AA54,10)</f>
        <v>10320</v>
      </c>
      <c r="J54" s="99">
        <f t="shared" ref="J54:J59" si="18">CEILING(V54+W54+X54+O54+N54+AB54,10)</f>
        <v>12710</v>
      </c>
      <c r="K54" s="57"/>
      <c r="L54" s="156" t="s">
        <v>384</v>
      </c>
      <c r="M54" s="52" t="s">
        <v>294</v>
      </c>
      <c r="N54" s="40">
        <v>0</v>
      </c>
      <c r="O54" s="53">
        <f>VLOOKUP(B54,DRAYAGE!$A$1:$C$107,3,FALSE)</f>
        <v>1345</v>
      </c>
      <c r="P54" s="40" t="s">
        <v>301</v>
      </c>
      <c r="S54" s="101">
        <f t="shared" ref="S54:S68" si="19">0.9*T54</f>
        <v>8077.5</v>
      </c>
      <c r="T54" s="54">
        <f t="shared" ref="T54:T59" si="20">T37</f>
        <v>8975</v>
      </c>
      <c r="U54" s="103">
        <f t="shared" si="6"/>
        <v>8975</v>
      </c>
      <c r="V54" s="104">
        <f t="shared" ref="V54:V59" si="21">U54*1.266</f>
        <v>11362.35</v>
      </c>
      <c r="X54" s="40">
        <v>0</v>
      </c>
    </row>
    <row r="55" spans="1:29" s="40" customFormat="1" ht="14.45" customHeight="1" x14ac:dyDescent="0.25">
      <c r="A55" s="133" t="s">
        <v>55</v>
      </c>
      <c r="B55" s="51" t="s">
        <v>344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 t="shared" si="15"/>
        <v>9430</v>
      </c>
      <c r="H55" s="99">
        <f t="shared" si="16"/>
        <v>10320</v>
      </c>
      <c r="I55" s="99">
        <f t="shared" si="17"/>
        <v>10320</v>
      </c>
      <c r="J55" s="99">
        <f t="shared" si="18"/>
        <v>12710</v>
      </c>
      <c r="K55" s="57"/>
      <c r="L55" s="156" t="s">
        <v>384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S55" s="101">
        <f t="shared" si="19"/>
        <v>8077.5</v>
      </c>
      <c r="T55" s="54">
        <f t="shared" si="20"/>
        <v>8975</v>
      </c>
      <c r="U55" s="103">
        <f t="shared" si="6"/>
        <v>8975</v>
      </c>
      <c r="V55" s="104">
        <f t="shared" si="21"/>
        <v>11362.35</v>
      </c>
      <c r="X55" s="40">
        <v>0</v>
      </c>
    </row>
    <row r="56" spans="1:29" s="40" customFormat="1" ht="14.45" customHeight="1" x14ac:dyDescent="0.25">
      <c r="A56" s="133" t="s">
        <v>59</v>
      </c>
      <c r="B56" s="51" t="s">
        <v>344</v>
      </c>
      <c r="C56" s="94" t="s">
        <v>54</v>
      </c>
      <c r="D56" s="95" t="s">
        <v>383</v>
      </c>
      <c r="E56" s="96" t="s">
        <v>114</v>
      </c>
      <c r="F56" s="97" t="s">
        <v>270</v>
      </c>
      <c r="G56" s="98">
        <f t="shared" si="15"/>
        <v>9430</v>
      </c>
      <c r="H56" s="99">
        <f t="shared" si="16"/>
        <v>10320</v>
      </c>
      <c r="I56" s="99">
        <f t="shared" si="17"/>
        <v>10320</v>
      </c>
      <c r="J56" s="99">
        <f t="shared" si="18"/>
        <v>12710</v>
      </c>
      <c r="K56" s="57"/>
      <c r="L56" s="156" t="s">
        <v>384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S56" s="101">
        <f t="shared" si="19"/>
        <v>8077.5</v>
      </c>
      <c r="T56" s="54">
        <f t="shared" si="20"/>
        <v>8975</v>
      </c>
      <c r="U56" s="103">
        <f t="shared" si="6"/>
        <v>8975</v>
      </c>
      <c r="V56" s="104">
        <f t="shared" si="21"/>
        <v>11362.35</v>
      </c>
      <c r="X56" s="40">
        <v>0</v>
      </c>
    </row>
    <row r="57" spans="1:29" s="40" customFormat="1" ht="18.75" x14ac:dyDescent="0.25">
      <c r="A57" s="133" t="s">
        <v>60</v>
      </c>
      <c r="B57" s="51" t="s">
        <v>344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f t="shared" si="15"/>
        <v>9430</v>
      </c>
      <c r="H57" s="99">
        <f t="shared" si="16"/>
        <v>10320</v>
      </c>
      <c r="I57" s="99">
        <f t="shared" si="17"/>
        <v>10320</v>
      </c>
      <c r="J57" s="99">
        <f t="shared" si="18"/>
        <v>12710</v>
      </c>
      <c r="K57" s="57"/>
      <c r="L57" s="156" t="s">
        <v>384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S57" s="101">
        <f t="shared" si="19"/>
        <v>8077.5</v>
      </c>
      <c r="T57" s="54">
        <f t="shared" si="20"/>
        <v>8975</v>
      </c>
      <c r="U57" s="103">
        <f t="shared" si="6"/>
        <v>8975</v>
      </c>
      <c r="V57" s="104">
        <f t="shared" si="21"/>
        <v>11362.35</v>
      </c>
      <c r="X57" s="40">
        <v>0</v>
      </c>
    </row>
    <row r="58" spans="1:29" s="40" customFormat="1" ht="14.45" customHeight="1" x14ac:dyDescent="0.25">
      <c r="A58" s="133" t="s">
        <v>61</v>
      </c>
      <c r="B58" s="51" t="s">
        <v>344</v>
      </c>
      <c r="C58" s="94" t="s">
        <v>54</v>
      </c>
      <c r="D58" s="95" t="s">
        <v>383</v>
      </c>
      <c r="E58" s="96" t="s">
        <v>114</v>
      </c>
      <c r="F58" s="97" t="s">
        <v>270</v>
      </c>
      <c r="G58" s="98">
        <f t="shared" si="15"/>
        <v>9430</v>
      </c>
      <c r="H58" s="99">
        <f t="shared" si="16"/>
        <v>10320</v>
      </c>
      <c r="I58" s="99">
        <f t="shared" si="17"/>
        <v>10320</v>
      </c>
      <c r="J58" s="99">
        <f t="shared" si="18"/>
        <v>12710</v>
      </c>
      <c r="K58" s="57"/>
      <c r="L58" s="156" t="s">
        <v>384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S58" s="101">
        <f t="shared" si="19"/>
        <v>8077.5</v>
      </c>
      <c r="T58" s="54">
        <f t="shared" si="20"/>
        <v>8975</v>
      </c>
      <c r="U58" s="103">
        <f t="shared" si="6"/>
        <v>8975</v>
      </c>
      <c r="V58" s="104">
        <f t="shared" si="21"/>
        <v>11362.35</v>
      </c>
      <c r="X58" s="40">
        <v>0</v>
      </c>
    </row>
    <row r="59" spans="1:29" s="40" customFormat="1" ht="18.75" x14ac:dyDescent="0.25">
      <c r="A59" s="133" t="s">
        <v>273</v>
      </c>
      <c r="B59" s="51" t="s">
        <v>344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f t="shared" si="15"/>
        <v>9560</v>
      </c>
      <c r="H59" s="99">
        <f t="shared" si="16"/>
        <v>10470</v>
      </c>
      <c r="I59" s="99">
        <f t="shared" si="17"/>
        <v>10470</v>
      </c>
      <c r="J59" s="99">
        <f t="shared" si="18"/>
        <v>12900</v>
      </c>
      <c r="K59" s="57"/>
      <c r="L59" s="156" t="s">
        <v>384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S59" s="101">
        <f t="shared" si="19"/>
        <v>8212.5</v>
      </c>
      <c r="T59" s="54">
        <f t="shared" si="20"/>
        <v>9125</v>
      </c>
      <c r="U59" s="103">
        <f t="shared" si="6"/>
        <v>9125</v>
      </c>
      <c r="V59" s="104">
        <f t="shared" si="21"/>
        <v>11552.25</v>
      </c>
      <c r="X59" s="40">
        <v>0</v>
      </c>
    </row>
    <row r="60" spans="1:29" s="40" customFormat="1" ht="15.75" x14ac:dyDescent="0.25">
      <c r="A60" s="134" t="s">
        <v>389</v>
      </c>
      <c r="B60" s="88"/>
      <c r="C60" s="88"/>
      <c r="D60" s="88"/>
      <c r="E60" s="210"/>
      <c r="F60" s="211"/>
      <c r="G60" s="88"/>
      <c r="H60" s="88"/>
      <c r="I60" s="88"/>
      <c r="J60" s="88"/>
      <c r="K60" s="57"/>
      <c r="L60" s="89" t="s">
        <v>48</v>
      </c>
      <c r="M60" s="89" t="s">
        <v>261</v>
      </c>
      <c r="N60" s="90" t="s">
        <v>51</v>
      </c>
      <c r="O60" s="91" t="s">
        <v>50</v>
      </c>
      <c r="P60" s="91" t="s">
        <v>262</v>
      </c>
      <c r="Q60" s="91" t="s">
        <v>263</v>
      </c>
      <c r="R60" s="92" t="s">
        <v>52</v>
      </c>
      <c r="S60" s="92" t="s">
        <v>52</v>
      </c>
      <c r="T60" s="92" t="s">
        <v>53</v>
      </c>
      <c r="U60" s="92" t="s">
        <v>265</v>
      </c>
      <c r="V60" s="92" t="s">
        <v>266</v>
      </c>
      <c r="W60" s="92" t="s">
        <v>267</v>
      </c>
      <c r="X60" s="92" t="s">
        <v>268</v>
      </c>
      <c r="Y60" s="92" t="s">
        <v>52</v>
      </c>
      <c r="Z60" s="92" t="s">
        <v>53</v>
      </c>
      <c r="AA60" s="92" t="s">
        <v>265</v>
      </c>
      <c r="AB60" s="92" t="s">
        <v>266</v>
      </c>
      <c r="AC60" s="93" t="s">
        <v>269</v>
      </c>
    </row>
    <row r="61" spans="1:29" s="40" customFormat="1" ht="18.75" x14ac:dyDescent="0.25">
      <c r="A61" s="133" t="s">
        <v>55</v>
      </c>
      <c r="B61" s="51" t="s">
        <v>390</v>
      </c>
      <c r="C61" s="94" t="s">
        <v>54</v>
      </c>
      <c r="D61" s="95" t="s">
        <v>383</v>
      </c>
      <c r="E61" s="96" t="s">
        <v>114</v>
      </c>
      <c r="F61" s="97" t="s">
        <v>270</v>
      </c>
      <c r="G61" s="98">
        <f t="shared" ref="G61:G68" si="22">CEILING(S61+W61+X61+O61+N61+Y61,10)</f>
        <v>10780</v>
      </c>
      <c r="H61" s="99">
        <f t="shared" ref="H61:H68" si="23">CEILING(T61+W61+X61+O61+N61+Z61,10)</f>
        <v>11770</v>
      </c>
      <c r="I61" s="99">
        <f t="shared" ref="I61:I68" si="24">CEILING(U61+W61+X61+O61+N61+AA61,10)</f>
        <v>11770</v>
      </c>
      <c r="J61" s="99">
        <f t="shared" ref="J61:J68" si="25">CEILING(V61+W61+X61+O61+N61+AB61,10)</f>
        <v>14390</v>
      </c>
      <c r="K61" s="57"/>
      <c r="L61" s="156" t="s">
        <v>384</v>
      </c>
      <c r="M61" s="52" t="s">
        <v>397</v>
      </c>
      <c r="N61" s="40">
        <v>0</v>
      </c>
      <c r="O61" s="53">
        <f>VLOOKUP(B61,DRAYAGE!$A$1:$C$107,3,FALSE)</f>
        <v>1915</v>
      </c>
      <c r="P61" s="40" t="str">
        <f>VLOOKUP($B61,DRAYAGE!$A$1:$Q$23,14,FALSE)</f>
        <v>PCF, chassis split, drop fee</v>
      </c>
      <c r="R61" s="54">
        <v>11000</v>
      </c>
      <c r="S61" s="101">
        <f t="shared" si="19"/>
        <v>8865</v>
      </c>
      <c r="T61" s="54">
        <f>9500+350</f>
        <v>9850</v>
      </c>
      <c r="U61" s="103">
        <f t="shared" ref="U61:U68" si="26">T61</f>
        <v>9850</v>
      </c>
      <c r="V61" s="104">
        <f t="shared" ref="V61:V68" si="27">U61*1.266</f>
        <v>12470.1</v>
      </c>
    </row>
    <row r="62" spans="1:29" s="40" customFormat="1" ht="18.75" x14ac:dyDescent="0.25">
      <c r="A62" s="133" t="s">
        <v>55</v>
      </c>
      <c r="B62" s="51" t="s">
        <v>391</v>
      </c>
      <c r="C62" s="94" t="s">
        <v>54</v>
      </c>
      <c r="D62" s="95" t="s">
        <v>383</v>
      </c>
      <c r="E62" s="96" t="s">
        <v>114</v>
      </c>
      <c r="F62" s="97" t="s">
        <v>270</v>
      </c>
      <c r="G62" s="98">
        <f t="shared" si="22"/>
        <v>15440</v>
      </c>
      <c r="H62" s="99">
        <f t="shared" si="23"/>
        <v>16420</v>
      </c>
      <c r="I62" s="99">
        <f t="shared" si="24"/>
        <v>16420</v>
      </c>
      <c r="J62" s="99">
        <f t="shared" si="25"/>
        <v>19030</v>
      </c>
      <c r="K62" s="57"/>
      <c r="L62" s="156" t="s">
        <v>384</v>
      </c>
      <c r="M62" s="52" t="s">
        <v>398</v>
      </c>
      <c r="N62" s="40">
        <v>0</v>
      </c>
      <c r="O62" s="53">
        <f>VLOOKUP(B62,DRAYAGE!$A$1:$C$107,3,FALSE)</f>
        <v>6620</v>
      </c>
      <c r="P62" s="40" t="str">
        <f>VLOOKUP($B62,DRAYAGE!$A$1:$Q$23,14,FALSE)</f>
        <v>Rail fee, toll, drop</v>
      </c>
      <c r="R62" s="54">
        <v>11000</v>
      </c>
      <c r="S62" s="101">
        <f t="shared" si="19"/>
        <v>8820</v>
      </c>
      <c r="T62" s="54">
        <f>9500+300</f>
        <v>9800</v>
      </c>
      <c r="U62" s="103">
        <f t="shared" si="26"/>
        <v>9800</v>
      </c>
      <c r="V62" s="104">
        <f t="shared" si="27"/>
        <v>12406.8</v>
      </c>
    </row>
    <row r="63" spans="1:29" s="40" customFormat="1" ht="18.75" x14ac:dyDescent="0.25">
      <c r="A63" s="133" t="s">
        <v>55</v>
      </c>
      <c r="B63" s="51" t="s">
        <v>396</v>
      </c>
      <c r="C63" s="94" t="s">
        <v>54</v>
      </c>
      <c r="D63" s="95" t="s">
        <v>383</v>
      </c>
      <c r="E63" s="96" t="s">
        <v>114</v>
      </c>
      <c r="F63" s="97" t="s">
        <v>270</v>
      </c>
      <c r="G63" s="98">
        <f t="shared" si="22"/>
        <v>12550</v>
      </c>
      <c r="H63" s="99">
        <f t="shared" si="23"/>
        <v>13570</v>
      </c>
      <c r="I63" s="99">
        <f t="shared" si="24"/>
        <v>13570</v>
      </c>
      <c r="J63" s="99">
        <f t="shared" si="25"/>
        <v>16300</v>
      </c>
      <c r="K63" s="57"/>
      <c r="L63" s="156" t="s">
        <v>384</v>
      </c>
      <c r="M63" s="52" t="s">
        <v>399</v>
      </c>
      <c r="N63" s="40">
        <v>0</v>
      </c>
      <c r="O63" s="53">
        <f>VLOOKUP(B63,DRAYAGE!$A$1:$C$107,3,FALSE)</f>
        <v>3320</v>
      </c>
      <c r="P63" s="40" t="str">
        <f>VLOOKUP($B63,DRAYAGE!$A$1:$Q$23,14,FALSE)</f>
        <v>Rail fee, drop fee, toll fee</v>
      </c>
      <c r="R63" s="103">
        <v>11000</v>
      </c>
      <c r="S63" s="101">
        <f t="shared" si="19"/>
        <v>9225</v>
      </c>
      <c r="T63" s="54">
        <v>10250</v>
      </c>
      <c r="U63" s="103">
        <f t="shared" si="26"/>
        <v>10250</v>
      </c>
      <c r="V63" s="104">
        <f t="shared" si="27"/>
        <v>12976.5</v>
      </c>
    </row>
    <row r="64" spans="1:29" s="40" customFormat="1" ht="18.75" x14ac:dyDescent="0.25">
      <c r="A64" s="133" t="s">
        <v>55</v>
      </c>
      <c r="B64" s="51" t="s">
        <v>392</v>
      </c>
      <c r="C64" s="94" t="s">
        <v>54</v>
      </c>
      <c r="D64" s="95" t="s">
        <v>383</v>
      </c>
      <c r="E64" s="96" t="s">
        <v>114</v>
      </c>
      <c r="F64" s="97" t="s">
        <v>270</v>
      </c>
      <c r="G64" s="98">
        <f t="shared" si="22"/>
        <v>12980</v>
      </c>
      <c r="H64" s="99">
        <f t="shared" si="23"/>
        <v>13960</v>
      </c>
      <c r="I64" s="99">
        <f t="shared" si="24"/>
        <v>13960</v>
      </c>
      <c r="J64" s="99">
        <f t="shared" si="25"/>
        <v>16570</v>
      </c>
      <c r="K64" s="57"/>
      <c r="L64" s="156" t="s">
        <v>384</v>
      </c>
      <c r="M64" s="52" t="s">
        <v>398</v>
      </c>
      <c r="N64" s="40">
        <v>0</v>
      </c>
      <c r="O64" s="53">
        <f>VLOOKUP(B64,DRAYAGE!$A$1:$C$107,3,FALSE)</f>
        <v>4155</v>
      </c>
      <c r="P64" s="40" t="str">
        <f>VLOOKUP($B64,DRAYAGE!$A$1:$Q$23,14,FALSE)</f>
        <v>Rail fee, chassis split, drop, toll</v>
      </c>
      <c r="R64" s="103">
        <v>11000</v>
      </c>
      <c r="S64" s="101">
        <f t="shared" si="19"/>
        <v>8820</v>
      </c>
      <c r="T64" s="54">
        <f>T62</f>
        <v>9800</v>
      </c>
      <c r="U64" s="103">
        <f t="shared" si="26"/>
        <v>9800</v>
      </c>
      <c r="V64" s="104">
        <f t="shared" si="27"/>
        <v>12406.8</v>
      </c>
    </row>
    <row r="65" spans="1:29" s="40" customFormat="1" ht="18.75" x14ac:dyDescent="0.25">
      <c r="A65" s="133" t="s">
        <v>55</v>
      </c>
      <c r="B65" s="51" t="s">
        <v>395</v>
      </c>
      <c r="C65" s="94" t="s">
        <v>54</v>
      </c>
      <c r="D65" s="95" t="s">
        <v>383</v>
      </c>
      <c r="E65" s="96" t="s">
        <v>114</v>
      </c>
      <c r="F65" s="97" t="s">
        <v>270</v>
      </c>
      <c r="G65" s="98">
        <f t="shared" si="22"/>
        <v>11510</v>
      </c>
      <c r="H65" s="99">
        <f t="shared" si="23"/>
        <v>12530</v>
      </c>
      <c r="I65" s="99">
        <f t="shared" si="24"/>
        <v>12530</v>
      </c>
      <c r="J65" s="99">
        <f t="shared" si="25"/>
        <v>15260</v>
      </c>
      <c r="K65" s="57"/>
      <c r="L65" s="156" t="s">
        <v>384</v>
      </c>
      <c r="M65" s="52" t="s">
        <v>400</v>
      </c>
      <c r="N65" s="40">
        <v>0</v>
      </c>
      <c r="O65" s="53">
        <f>VLOOKUP(B65,DRAYAGE!$A$1:$C$107,3,FALSE)</f>
        <v>2280</v>
      </c>
      <c r="P65" s="40" t="str">
        <f>VLOOKUP($B65,DRAYAGE!$A$1:$Q$23,14,FALSE)</f>
        <v>Rail fee, chassis split, drop</v>
      </c>
      <c r="R65" s="54">
        <v>11000</v>
      </c>
      <c r="S65" s="101">
        <f t="shared" si="19"/>
        <v>9225</v>
      </c>
      <c r="T65" s="54">
        <v>10250</v>
      </c>
      <c r="U65" s="103">
        <f t="shared" si="26"/>
        <v>10250</v>
      </c>
      <c r="V65" s="104">
        <f t="shared" si="27"/>
        <v>12976.5</v>
      </c>
    </row>
    <row r="66" spans="1:29" s="40" customFormat="1" ht="18.75" x14ac:dyDescent="0.25">
      <c r="A66" s="133" t="s">
        <v>55</v>
      </c>
      <c r="B66" s="51" t="s">
        <v>393</v>
      </c>
      <c r="C66" s="94" t="s">
        <v>54</v>
      </c>
      <c r="D66" s="95" t="s">
        <v>383</v>
      </c>
      <c r="E66" s="96" t="s">
        <v>114</v>
      </c>
      <c r="F66" s="97" t="s">
        <v>270</v>
      </c>
      <c r="G66" s="98">
        <f t="shared" si="22"/>
        <v>11630</v>
      </c>
      <c r="H66" s="99">
        <f t="shared" si="23"/>
        <v>12610</v>
      </c>
      <c r="I66" s="99">
        <f t="shared" si="24"/>
        <v>12610</v>
      </c>
      <c r="J66" s="99">
        <f t="shared" si="25"/>
        <v>15220</v>
      </c>
      <c r="K66" s="57"/>
      <c r="L66" s="156" t="s">
        <v>384</v>
      </c>
      <c r="M66" s="52" t="s">
        <v>398</v>
      </c>
      <c r="N66" s="40">
        <v>0</v>
      </c>
      <c r="O66" s="53">
        <f>VLOOKUP(B66,DRAYAGE!$A$1:$C$107,3,FALSE)</f>
        <v>2805</v>
      </c>
      <c r="P66" s="40" t="str">
        <f>VLOOKUP($B66,DRAYAGE!$A$1:$Q$23,14,FALSE)</f>
        <v>Rail fee, chassis split, drop, toll</v>
      </c>
      <c r="R66" s="54">
        <v>11000</v>
      </c>
      <c r="S66" s="101">
        <f t="shared" si="19"/>
        <v>8820</v>
      </c>
      <c r="T66" s="54">
        <f>T62</f>
        <v>9800</v>
      </c>
      <c r="U66" s="103">
        <f t="shared" si="26"/>
        <v>9800</v>
      </c>
      <c r="V66" s="104">
        <f t="shared" si="27"/>
        <v>12406.8</v>
      </c>
    </row>
    <row r="67" spans="1:29" s="40" customFormat="1" ht="18.75" x14ac:dyDescent="0.25">
      <c r="A67" s="133" t="s">
        <v>55</v>
      </c>
      <c r="B67" s="51" t="s">
        <v>394</v>
      </c>
      <c r="C67" s="94" t="s">
        <v>54</v>
      </c>
      <c r="D67" s="95" t="s">
        <v>383</v>
      </c>
      <c r="E67" s="96" t="s">
        <v>114</v>
      </c>
      <c r="F67" s="97" t="s">
        <v>270</v>
      </c>
      <c r="G67" s="98">
        <f t="shared" si="22"/>
        <v>10430</v>
      </c>
      <c r="H67" s="99">
        <f t="shared" si="23"/>
        <v>11390</v>
      </c>
      <c r="I67" s="99">
        <f t="shared" si="24"/>
        <v>11390</v>
      </c>
      <c r="J67" s="99">
        <f t="shared" si="25"/>
        <v>13940</v>
      </c>
      <c r="K67" s="57"/>
      <c r="L67" s="156" t="s">
        <v>384</v>
      </c>
      <c r="M67" s="52" t="s">
        <v>401</v>
      </c>
      <c r="N67" s="40">
        <v>0</v>
      </c>
      <c r="O67" s="53">
        <f>VLOOKUP(B67,DRAYAGE!$A$1:$C$107,3,FALSE)</f>
        <v>1785</v>
      </c>
      <c r="P67" s="40" t="str">
        <f>VLOOKUP($B67,DRAYAGE!$A$1:$Q$23,14,FALSE)</f>
        <v>chassis split, drop</v>
      </c>
      <c r="R67" s="101">
        <v>9900</v>
      </c>
      <c r="S67" s="101">
        <f t="shared" si="19"/>
        <v>8640</v>
      </c>
      <c r="T67" s="54">
        <f>9300+300</f>
        <v>9600</v>
      </c>
      <c r="U67" s="103">
        <f t="shared" si="26"/>
        <v>9600</v>
      </c>
      <c r="V67" s="104">
        <f t="shared" si="27"/>
        <v>12153.6</v>
      </c>
    </row>
    <row r="68" spans="1:29" s="40" customFormat="1" ht="18.75" x14ac:dyDescent="0.25">
      <c r="A68" s="133" t="s">
        <v>55</v>
      </c>
      <c r="B68" s="55" t="s">
        <v>419</v>
      </c>
      <c r="C68" s="94" t="s">
        <v>54</v>
      </c>
      <c r="D68" s="95" t="s">
        <v>383</v>
      </c>
      <c r="E68" s="96" t="s">
        <v>114</v>
      </c>
      <c r="F68" s="97" t="s">
        <v>270</v>
      </c>
      <c r="G68" s="166">
        <f t="shared" si="22"/>
        <v>5070</v>
      </c>
      <c r="H68" s="154">
        <f t="shared" si="23"/>
        <v>5410</v>
      </c>
      <c r="I68" s="154">
        <f t="shared" si="24"/>
        <v>5410</v>
      </c>
      <c r="J68" s="154">
        <f t="shared" si="25"/>
        <v>6310</v>
      </c>
      <c r="K68" s="57"/>
      <c r="L68" s="156" t="s">
        <v>384</v>
      </c>
      <c r="M68" s="52" t="s">
        <v>292</v>
      </c>
      <c r="N68" s="40">
        <v>0</v>
      </c>
      <c r="O68" s="53">
        <f>1485+165+35+70+250</f>
        <v>2005</v>
      </c>
      <c r="P68" s="40" t="s">
        <v>420</v>
      </c>
      <c r="R68" s="101"/>
      <c r="S68" s="101">
        <f t="shared" si="19"/>
        <v>3060</v>
      </c>
      <c r="T68" s="54">
        <v>3400</v>
      </c>
      <c r="U68" s="103">
        <f t="shared" si="26"/>
        <v>3400</v>
      </c>
      <c r="V68" s="104">
        <f t="shared" si="27"/>
        <v>4304.3999999999996</v>
      </c>
    </row>
    <row r="69" spans="1:29" s="40" customFormat="1" ht="14.45" customHeight="1" x14ac:dyDescent="0.25">
      <c r="A69" s="212" t="s">
        <v>271</v>
      </c>
      <c r="B69" s="212"/>
      <c r="C69" s="212"/>
      <c r="D69" s="212"/>
      <c r="E69" s="212"/>
      <c r="F69" s="212"/>
      <c r="G69" s="212"/>
      <c r="H69" s="212"/>
      <c r="I69" s="212"/>
      <c r="J69" s="212"/>
      <c r="K69" s="57"/>
      <c r="L69" s="100"/>
      <c r="M69" s="100"/>
      <c r="S69" s="37"/>
      <c r="T69" s="37"/>
      <c r="U69" s="37"/>
      <c r="V69" s="37"/>
      <c r="W69" s="37"/>
    </row>
    <row r="70" spans="1:29" s="40" customFormat="1" ht="36.4" customHeight="1" x14ac:dyDescent="0.25">
      <c r="A70" s="167"/>
      <c r="B70" s="168"/>
      <c r="C70" s="168"/>
      <c r="D70" s="168"/>
      <c r="E70" s="168"/>
      <c r="F70" s="168"/>
      <c r="G70" s="168"/>
      <c r="H70" s="168"/>
      <c r="I70" s="168"/>
      <c r="J70" s="168"/>
      <c r="K70" s="57"/>
      <c r="L70" s="100"/>
      <c r="M70" s="100"/>
      <c r="S70" s="37"/>
      <c r="T70" s="37"/>
      <c r="U70" s="37"/>
      <c r="V70" s="37"/>
      <c r="W70" s="37"/>
    </row>
    <row r="71" spans="1:29" s="40" customFormat="1" ht="14.45" customHeight="1" x14ac:dyDescent="0.25">
      <c r="A71" s="41" t="s">
        <v>38</v>
      </c>
      <c r="B71" s="170">
        <v>44809</v>
      </c>
      <c r="C71" s="45" t="s">
        <v>91</v>
      </c>
      <c r="D71" s="170">
        <v>44818</v>
      </c>
      <c r="E71" s="168"/>
      <c r="F71" s="168"/>
      <c r="G71" s="168"/>
      <c r="H71" s="168"/>
      <c r="I71" s="168"/>
      <c r="J71" s="168"/>
      <c r="K71" s="57"/>
      <c r="L71" s="100"/>
      <c r="M71" s="100"/>
      <c r="S71" s="37"/>
      <c r="T71" s="37"/>
      <c r="U71" s="37"/>
      <c r="V71" s="37"/>
      <c r="W71" s="37"/>
    </row>
    <row r="72" spans="1:29" s="40" customFormat="1" ht="14.45" customHeight="1" x14ac:dyDescent="0.25">
      <c r="A72" s="167"/>
      <c r="B72" s="168"/>
      <c r="C72" s="168"/>
      <c r="D72" s="168"/>
      <c r="E72" s="168"/>
      <c r="F72" s="168"/>
      <c r="G72" s="168"/>
      <c r="H72" s="168"/>
      <c r="I72" s="168"/>
      <c r="J72" s="168"/>
      <c r="K72" s="57"/>
      <c r="L72" s="100"/>
      <c r="M72" s="100"/>
      <c r="S72" s="37"/>
      <c r="T72" s="37"/>
      <c r="U72" s="37"/>
      <c r="V72" s="37"/>
      <c r="W72" s="37"/>
    </row>
    <row r="73" spans="1:29" s="40" customFormat="1" ht="14.45" customHeight="1" x14ac:dyDescent="0.25">
      <c r="A73" s="169" t="s">
        <v>41</v>
      </c>
      <c r="B73" s="169" t="s">
        <v>42</v>
      </c>
      <c r="C73" s="169" t="s">
        <v>43</v>
      </c>
      <c r="D73" s="169" t="s">
        <v>44</v>
      </c>
      <c r="E73" s="227" t="s">
        <v>45</v>
      </c>
      <c r="F73" s="228"/>
      <c r="G73" s="169" t="s">
        <v>24</v>
      </c>
      <c r="H73" s="169" t="s">
        <v>25</v>
      </c>
      <c r="I73" s="169" t="s">
        <v>46</v>
      </c>
      <c r="J73" s="169" t="s">
        <v>47</v>
      </c>
      <c r="K73" s="57"/>
      <c r="L73" s="89" t="s">
        <v>48</v>
      </c>
      <c r="M73" s="89" t="s">
        <v>261</v>
      </c>
      <c r="N73" s="90" t="s">
        <v>51</v>
      </c>
      <c r="O73" s="91" t="s">
        <v>50</v>
      </c>
      <c r="P73" s="91" t="s">
        <v>262</v>
      </c>
      <c r="Q73" s="91" t="s">
        <v>263</v>
      </c>
      <c r="R73" s="92" t="s">
        <v>52</v>
      </c>
      <c r="S73" s="92" t="s">
        <v>52</v>
      </c>
      <c r="T73" s="92" t="s">
        <v>53</v>
      </c>
      <c r="U73" s="92" t="s">
        <v>265</v>
      </c>
      <c r="V73" s="92" t="s">
        <v>266</v>
      </c>
      <c r="W73" s="92" t="s">
        <v>267</v>
      </c>
      <c r="X73" s="92" t="s">
        <v>268</v>
      </c>
      <c r="Y73" s="92" t="s">
        <v>52</v>
      </c>
      <c r="Z73" s="92" t="s">
        <v>53</v>
      </c>
      <c r="AA73" s="92" t="s">
        <v>265</v>
      </c>
      <c r="AB73" s="92" t="s">
        <v>266</v>
      </c>
      <c r="AC73" s="93" t="s">
        <v>269</v>
      </c>
    </row>
    <row r="74" spans="1:29" s="40" customFormat="1" ht="14.45" customHeight="1" x14ac:dyDescent="0.25">
      <c r="A74" s="133" t="s">
        <v>424</v>
      </c>
      <c r="B74" s="51" t="s">
        <v>338</v>
      </c>
      <c r="C74" s="94" t="s">
        <v>54</v>
      </c>
      <c r="D74" s="95" t="s">
        <v>426</v>
      </c>
      <c r="E74" s="95" t="s">
        <v>127</v>
      </c>
      <c r="F74" s="97" t="s">
        <v>422</v>
      </c>
      <c r="G74" s="98">
        <f>CEILING(S74+W74+X74+O74+N74+Y74,10)</f>
        <v>12390</v>
      </c>
      <c r="H74" s="99">
        <f>CEILING(T74+W74+X74+O74+N74+Z74,10)</f>
        <v>13580</v>
      </c>
      <c r="I74" s="99">
        <f>CEILING(U74+W74+X74+O74+N74+AA74,10)</f>
        <v>13580</v>
      </c>
      <c r="J74" s="99">
        <f>CEILING(V74+W74+X74+O74+N74+AB74,10)</f>
        <v>16750</v>
      </c>
      <c r="K74" s="57"/>
      <c r="L74" s="161" t="s">
        <v>425</v>
      </c>
      <c r="M74" s="52" t="s">
        <v>292</v>
      </c>
      <c r="N74" s="40">
        <f>50*7</f>
        <v>350</v>
      </c>
      <c r="O74" s="53">
        <f>VLOOKUP(B74,DRAYAGE!$A$1:$C$107,3,FALSE)</f>
        <v>1310</v>
      </c>
      <c r="P74" s="40" t="s">
        <v>347</v>
      </c>
      <c r="R74" s="101">
        <v>3060</v>
      </c>
      <c r="S74" s="101">
        <f>0.9*T74</f>
        <v>10723.5</v>
      </c>
      <c r="T74" s="54">
        <f>11565+350</f>
        <v>11915</v>
      </c>
      <c r="U74" s="103">
        <f>T74</f>
        <v>11915</v>
      </c>
      <c r="V74" s="104">
        <f>U74*1.266</f>
        <v>15084.39</v>
      </c>
      <c r="W74" s="40">
        <v>0</v>
      </c>
    </row>
    <row r="75" spans="1:29" s="40" customFormat="1" ht="14.45" customHeight="1" x14ac:dyDescent="0.25">
      <c r="A75" s="133" t="s">
        <v>424</v>
      </c>
      <c r="B75" s="51" t="s">
        <v>339</v>
      </c>
      <c r="C75" s="94" t="s">
        <v>54</v>
      </c>
      <c r="D75" s="95" t="s">
        <v>426</v>
      </c>
      <c r="E75" s="96" t="s">
        <v>114</v>
      </c>
      <c r="F75" s="97" t="s">
        <v>270</v>
      </c>
      <c r="G75" s="98">
        <f>CEILING(S75+W75+X75+O75+N75+Y75,10)</f>
        <v>9970</v>
      </c>
      <c r="H75" s="99">
        <f>CEILING(T75+W75+X75+O75+N75+Z75,10)</f>
        <v>10770</v>
      </c>
      <c r="I75" s="99">
        <f>CEILING(U75+W75+X75+O75+N75+AA75,10)</f>
        <v>10770</v>
      </c>
      <c r="J75" s="99">
        <f>CEILING(V75+W75+X75+O75+N75+AB75,10)</f>
        <v>12920</v>
      </c>
      <c r="K75" s="57"/>
      <c r="L75" s="161" t="s">
        <v>425</v>
      </c>
      <c r="M75" s="52" t="s">
        <v>293</v>
      </c>
      <c r="N75" s="40">
        <v>0</v>
      </c>
      <c r="O75" s="53">
        <v>2715</v>
      </c>
      <c r="P75" s="40" t="s">
        <v>299</v>
      </c>
      <c r="R75" s="101">
        <v>7920</v>
      </c>
      <c r="S75" s="101">
        <f>0.9*T75</f>
        <v>7249.5</v>
      </c>
      <c r="T75" s="54">
        <f>7655+400</f>
        <v>8055</v>
      </c>
      <c r="U75" s="103">
        <f>T75</f>
        <v>8055</v>
      </c>
      <c r="V75" s="104">
        <f>U75*1.266</f>
        <v>10197.630000000001</v>
      </c>
    </row>
    <row r="76" spans="1:29" s="32" customFormat="1" ht="31.7" customHeight="1" x14ac:dyDescent="0.2">
      <c r="A76" s="31"/>
      <c r="B76" s="33"/>
      <c r="C76" s="33"/>
      <c r="D76" s="33"/>
      <c r="E76" s="33"/>
      <c r="F76" s="34"/>
      <c r="G76" s="34"/>
      <c r="H76" s="34"/>
      <c r="I76" s="34"/>
      <c r="J76" s="34"/>
      <c r="K76" s="57"/>
      <c r="L76" s="27"/>
      <c r="M76" s="27"/>
      <c r="N76" s="30"/>
      <c r="O76" s="30"/>
      <c r="P76" s="30"/>
      <c r="Q76" s="30"/>
      <c r="R76" s="30"/>
      <c r="S76" s="37"/>
      <c r="T76" s="37"/>
      <c r="U76" s="37"/>
      <c r="V76" s="37"/>
      <c r="W76" s="37"/>
    </row>
    <row r="77" spans="1:29" s="37" customFormat="1" ht="14.45" customHeight="1" x14ac:dyDescent="0.25">
      <c r="A77" s="180" t="s">
        <v>111</v>
      </c>
      <c r="B77" s="180"/>
      <c r="C77" s="180"/>
      <c r="D77" s="180"/>
      <c r="E77" s="180"/>
      <c r="F77" s="180"/>
      <c r="G77" s="180"/>
      <c r="H77" s="180"/>
      <c r="I77" s="180"/>
      <c r="J77" s="180"/>
      <c r="K77" s="57"/>
    </row>
    <row r="78" spans="1:29" s="37" customFormat="1" ht="14.45" customHeight="1" x14ac:dyDescent="0.25">
      <c r="A78" s="208" t="s">
        <v>112</v>
      </c>
      <c r="B78" s="208"/>
      <c r="C78" s="208"/>
      <c r="D78" s="208"/>
      <c r="E78" s="208"/>
      <c r="F78" s="208"/>
      <c r="G78" s="208"/>
      <c r="H78" s="208"/>
      <c r="I78" s="208"/>
      <c r="J78" s="208"/>
      <c r="K78" s="57"/>
    </row>
    <row r="79" spans="1:29" s="37" customFormat="1" ht="14.45" customHeight="1" x14ac:dyDescent="0.25">
      <c r="A79" s="186" t="s">
        <v>67</v>
      </c>
      <c r="B79" s="186"/>
      <c r="C79" s="186"/>
      <c r="D79" s="186"/>
      <c r="E79" s="186" t="s">
        <v>68</v>
      </c>
      <c r="F79" s="186"/>
      <c r="G79" s="186"/>
      <c r="H79" s="186"/>
      <c r="I79" s="186"/>
      <c r="J79" s="186"/>
      <c r="K79" s="57"/>
      <c r="L79" s="209" t="s">
        <v>113</v>
      </c>
      <c r="M79" s="209"/>
      <c r="N79" s="209"/>
      <c r="O79" s="209"/>
      <c r="P79" s="209"/>
      <c r="Q79" s="209"/>
    </row>
    <row r="80" spans="1:29" s="37" customFormat="1" ht="14.45" customHeight="1" x14ac:dyDescent="0.25">
      <c r="A80" s="196" t="s">
        <v>69</v>
      </c>
      <c r="B80" s="196"/>
      <c r="C80" s="196"/>
      <c r="D80" s="196"/>
      <c r="E80" s="58" t="s">
        <v>114</v>
      </c>
      <c r="F80" s="196" t="s">
        <v>70</v>
      </c>
      <c r="G80" s="196"/>
      <c r="H80" s="196"/>
      <c r="I80" s="196"/>
      <c r="J80" s="196"/>
      <c r="K80" s="57"/>
      <c r="L80" s="197" t="s">
        <v>115</v>
      </c>
      <c r="M80" s="197"/>
      <c r="N80" s="197"/>
      <c r="O80" s="197"/>
      <c r="P80" s="197"/>
      <c r="Q80" s="197"/>
    </row>
    <row r="81" spans="1:17" s="37" customFormat="1" ht="14.45" customHeight="1" x14ac:dyDescent="0.25">
      <c r="A81" s="196" t="s">
        <v>71</v>
      </c>
      <c r="B81" s="196"/>
      <c r="C81" s="196"/>
      <c r="D81" s="201"/>
      <c r="E81" s="58" t="s">
        <v>114</v>
      </c>
      <c r="F81" s="196" t="s">
        <v>116</v>
      </c>
      <c r="G81" s="196"/>
      <c r="H81" s="196"/>
      <c r="I81" s="196"/>
      <c r="J81" s="196"/>
      <c r="K81" s="57"/>
      <c r="L81" s="197"/>
      <c r="M81" s="197"/>
      <c r="N81" s="197"/>
      <c r="O81" s="197"/>
      <c r="P81" s="197"/>
      <c r="Q81" s="197"/>
    </row>
    <row r="82" spans="1:17" s="37" customFormat="1" ht="18" customHeight="1" x14ac:dyDescent="0.25">
      <c r="A82" s="196" t="s">
        <v>117</v>
      </c>
      <c r="B82" s="196"/>
      <c r="C82" s="196"/>
      <c r="D82" s="201"/>
      <c r="E82" s="58" t="s">
        <v>114</v>
      </c>
      <c r="F82" s="196" t="s">
        <v>306</v>
      </c>
      <c r="G82" s="196"/>
      <c r="H82" s="196"/>
      <c r="I82" s="196"/>
      <c r="J82" s="196"/>
      <c r="K82" s="57"/>
      <c r="L82" s="59" t="s">
        <v>118</v>
      </c>
      <c r="M82" s="129"/>
      <c r="N82" s="129"/>
      <c r="O82" s="129"/>
      <c r="P82" s="129"/>
      <c r="Q82" s="129"/>
    </row>
    <row r="83" spans="1:17" s="37" customFormat="1" ht="32.65" customHeight="1" x14ac:dyDescent="0.25">
      <c r="A83" s="202" t="s">
        <v>388</v>
      </c>
      <c r="B83" s="202"/>
      <c r="C83" s="202"/>
      <c r="D83" s="203"/>
      <c r="E83" s="58" t="s">
        <v>127</v>
      </c>
      <c r="F83" s="185" t="s">
        <v>423</v>
      </c>
      <c r="G83" s="185"/>
      <c r="H83" s="185"/>
      <c r="I83" s="185"/>
      <c r="J83" s="185"/>
      <c r="K83" s="57"/>
      <c r="L83" s="59" t="s">
        <v>118</v>
      </c>
      <c r="M83" s="129"/>
      <c r="N83" s="129"/>
      <c r="O83" s="129"/>
      <c r="P83" s="129"/>
      <c r="Q83" s="129"/>
    </row>
    <row r="84" spans="1:17" s="37" customFormat="1" ht="36.950000000000003" customHeight="1" x14ac:dyDescent="0.25">
      <c r="A84" s="196" t="s">
        <v>367</v>
      </c>
      <c r="B84" s="196"/>
      <c r="C84" s="196"/>
      <c r="D84" s="201"/>
      <c r="E84" s="58" t="s">
        <v>114</v>
      </c>
      <c r="F84" s="185" t="s">
        <v>368</v>
      </c>
      <c r="G84" s="185"/>
      <c r="H84" s="185"/>
      <c r="I84" s="185"/>
      <c r="J84" s="185"/>
      <c r="K84" s="57"/>
      <c r="L84" s="59" t="s">
        <v>118</v>
      </c>
      <c r="M84" s="129"/>
      <c r="N84" s="129"/>
      <c r="O84" s="129"/>
      <c r="P84" s="129"/>
      <c r="Q84" s="129"/>
    </row>
    <row r="85" spans="1:17" s="37" customFormat="1" ht="40.5" customHeight="1" x14ac:dyDescent="0.25">
      <c r="A85" s="229" t="s">
        <v>309</v>
      </c>
      <c r="B85" s="229"/>
      <c r="C85" s="229"/>
      <c r="D85" s="198"/>
      <c r="E85" s="58" t="s">
        <v>114</v>
      </c>
      <c r="F85" s="229" t="s">
        <v>310</v>
      </c>
      <c r="G85" s="229"/>
      <c r="H85" s="229"/>
      <c r="I85" s="229"/>
      <c r="J85" s="229"/>
      <c r="K85" s="132"/>
      <c r="L85" s="59" t="s">
        <v>118</v>
      </c>
      <c r="M85" s="129"/>
      <c r="N85" s="129"/>
      <c r="O85" s="129"/>
      <c r="P85" s="129"/>
      <c r="Q85" s="129"/>
    </row>
    <row r="86" spans="1:17" s="37" customFormat="1" ht="14.45" customHeight="1" x14ac:dyDescent="0.25">
      <c r="A86" s="196" t="s">
        <v>119</v>
      </c>
      <c r="B86" s="196"/>
      <c r="C86" s="196"/>
      <c r="D86" s="196"/>
      <c r="E86" s="58" t="s">
        <v>114</v>
      </c>
      <c r="F86" s="196" t="s">
        <v>120</v>
      </c>
      <c r="G86" s="196"/>
      <c r="H86" s="196"/>
      <c r="I86" s="196"/>
      <c r="J86" s="196"/>
      <c r="K86" s="132"/>
      <c r="L86" s="197" t="s">
        <v>121</v>
      </c>
      <c r="M86" s="197"/>
      <c r="N86" s="197"/>
      <c r="O86" s="197"/>
      <c r="P86" s="197"/>
      <c r="Q86" s="197"/>
    </row>
    <row r="87" spans="1:17" s="37" customFormat="1" ht="14.45" customHeight="1" x14ac:dyDescent="0.25">
      <c r="A87" s="196" t="s">
        <v>122</v>
      </c>
      <c r="B87" s="196"/>
      <c r="C87" s="196"/>
      <c r="D87" s="196"/>
      <c r="E87" s="58" t="s">
        <v>114</v>
      </c>
      <c r="F87" s="196" t="s">
        <v>123</v>
      </c>
      <c r="G87" s="196"/>
      <c r="H87" s="196"/>
      <c r="I87" s="196"/>
      <c r="J87" s="196"/>
      <c r="K87" s="132"/>
      <c r="L87" s="197"/>
      <c r="M87" s="197"/>
      <c r="N87" s="197"/>
      <c r="O87" s="197"/>
      <c r="P87" s="197"/>
      <c r="Q87" s="197"/>
    </row>
    <row r="88" spans="1:17" s="37" customFormat="1" ht="14.45" customHeight="1" x14ac:dyDescent="0.25">
      <c r="A88" s="196" t="s">
        <v>277</v>
      </c>
      <c r="B88" s="196"/>
      <c r="C88" s="196"/>
      <c r="D88" s="196"/>
      <c r="E88" s="58" t="s">
        <v>114</v>
      </c>
      <c r="F88" s="196" t="s">
        <v>278</v>
      </c>
      <c r="G88" s="196"/>
      <c r="H88" s="196"/>
      <c r="I88" s="196"/>
      <c r="J88" s="196"/>
      <c r="K88" s="132"/>
      <c r="L88" s="197"/>
      <c r="M88" s="197"/>
      <c r="N88" s="197"/>
      <c r="O88" s="197"/>
      <c r="P88" s="197"/>
      <c r="Q88" s="197"/>
    </row>
    <row r="89" spans="1:17" s="37" customFormat="1" ht="14.45" customHeight="1" x14ac:dyDescent="0.25">
      <c r="A89" s="196" t="s">
        <v>124</v>
      </c>
      <c r="B89" s="196"/>
      <c r="C89" s="196"/>
      <c r="D89" s="196"/>
      <c r="E89" s="58" t="s">
        <v>114</v>
      </c>
      <c r="F89" s="196" t="s">
        <v>125</v>
      </c>
      <c r="G89" s="196"/>
      <c r="H89" s="196"/>
      <c r="I89" s="196"/>
      <c r="J89" s="196"/>
      <c r="K89" s="132"/>
      <c r="L89" s="197"/>
      <c r="M89" s="197"/>
      <c r="N89" s="197"/>
      <c r="O89" s="197"/>
      <c r="P89" s="197"/>
      <c r="Q89" s="197"/>
    </row>
    <row r="90" spans="1:17" s="37" customFormat="1" ht="18.95" customHeight="1" x14ac:dyDescent="0.25">
      <c r="A90" s="196" t="s">
        <v>126</v>
      </c>
      <c r="B90" s="196"/>
      <c r="C90" s="196"/>
      <c r="D90" s="201"/>
      <c r="E90" s="58" t="s">
        <v>127</v>
      </c>
      <c r="F90" s="128" t="s">
        <v>409</v>
      </c>
      <c r="G90" s="185" t="s">
        <v>410</v>
      </c>
      <c r="H90" s="185"/>
      <c r="I90" s="185"/>
      <c r="J90" s="185"/>
      <c r="K90" s="132"/>
      <c r="L90" s="197" t="s">
        <v>130</v>
      </c>
      <c r="M90" s="197"/>
      <c r="N90" s="197"/>
      <c r="O90" s="197"/>
      <c r="P90" s="197"/>
      <c r="Q90" s="197"/>
    </row>
    <row r="91" spans="1:17" s="37" customFormat="1" ht="24.95" customHeight="1" x14ac:dyDescent="0.25">
      <c r="A91" s="196" t="s">
        <v>126</v>
      </c>
      <c r="B91" s="196"/>
      <c r="C91" s="196"/>
      <c r="D91" s="196"/>
      <c r="E91" s="58" t="s">
        <v>127</v>
      </c>
      <c r="F91" s="128" t="s">
        <v>131</v>
      </c>
      <c r="G91" s="185" t="s">
        <v>374</v>
      </c>
      <c r="H91" s="185"/>
      <c r="I91" s="185"/>
      <c r="J91" s="185"/>
      <c r="K91" s="132"/>
      <c r="L91" s="197" t="s">
        <v>130</v>
      </c>
      <c r="M91" s="197"/>
      <c r="N91" s="197"/>
      <c r="O91" s="197"/>
      <c r="P91" s="197"/>
      <c r="Q91" s="197"/>
    </row>
    <row r="92" spans="1:17" s="37" customFormat="1" ht="24.95" customHeight="1" x14ac:dyDescent="0.25">
      <c r="A92" s="196" t="s">
        <v>372</v>
      </c>
      <c r="B92" s="196"/>
      <c r="C92" s="196"/>
      <c r="D92" s="196"/>
      <c r="E92" s="58" t="s">
        <v>127</v>
      </c>
      <c r="F92" s="128" t="s">
        <v>131</v>
      </c>
      <c r="G92" s="185" t="s">
        <v>385</v>
      </c>
      <c r="H92" s="185"/>
      <c r="I92" s="185"/>
      <c r="J92" s="185"/>
      <c r="K92" s="132"/>
      <c r="L92" s="197" t="s">
        <v>130</v>
      </c>
      <c r="M92" s="197"/>
      <c r="N92" s="197"/>
      <c r="O92" s="197"/>
      <c r="P92" s="197"/>
      <c r="Q92" s="197"/>
    </row>
    <row r="93" spans="1:17" s="37" customFormat="1" ht="37.5" customHeight="1" x14ac:dyDescent="0.25">
      <c r="A93" s="198" t="s">
        <v>311</v>
      </c>
      <c r="B93" s="199"/>
      <c r="C93" s="199"/>
      <c r="D93" s="200"/>
      <c r="E93" s="198" t="s">
        <v>312</v>
      </c>
      <c r="F93" s="199"/>
      <c r="G93" s="199"/>
      <c r="H93" s="199"/>
      <c r="I93" s="199"/>
      <c r="J93" s="200"/>
      <c r="K93" s="132"/>
      <c r="L93" s="197"/>
      <c r="M93" s="197"/>
      <c r="N93" s="197"/>
      <c r="O93" s="197"/>
      <c r="P93" s="197"/>
      <c r="Q93" s="197"/>
    </row>
    <row r="94" spans="1:17" s="37" customFormat="1" ht="14.45" customHeight="1" x14ac:dyDescent="0.25">
      <c r="A94" s="180" t="s">
        <v>133</v>
      </c>
      <c r="B94" s="180"/>
      <c r="C94" s="180"/>
      <c r="D94" s="180"/>
      <c r="E94" s="180"/>
      <c r="F94" s="180"/>
      <c r="G94" s="180"/>
      <c r="H94" s="180"/>
      <c r="I94" s="180"/>
      <c r="J94" s="180"/>
      <c r="K94" s="57"/>
      <c r="L94" s="129"/>
      <c r="M94" s="129"/>
    </row>
    <row r="95" spans="1:17" s="37" customFormat="1" ht="14.45" customHeight="1" x14ac:dyDescent="0.2">
      <c r="A95" s="60" t="s">
        <v>134</v>
      </c>
      <c r="B95" s="60" t="s">
        <v>135</v>
      </c>
      <c r="C95" s="60" t="s">
        <v>136</v>
      </c>
      <c r="D95" s="193" t="s">
        <v>137</v>
      </c>
      <c r="E95" s="194"/>
      <c r="F95" s="195"/>
      <c r="G95" s="61" t="s">
        <v>138</v>
      </c>
      <c r="H95" s="60" t="s">
        <v>139</v>
      </c>
      <c r="I95" s="61" t="s">
        <v>140</v>
      </c>
      <c r="J95" s="61" t="s">
        <v>141</v>
      </c>
      <c r="K95" s="57"/>
      <c r="L95" s="129"/>
      <c r="M95" s="129"/>
    </row>
    <row r="96" spans="1:17" s="37" customFormat="1" ht="14.45" customHeight="1" x14ac:dyDescent="0.2">
      <c r="A96" s="62" t="s">
        <v>142</v>
      </c>
      <c r="B96" s="62" t="s">
        <v>49</v>
      </c>
      <c r="C96" s="62" t="s">
        <v>143</v>
      </c>
      <c r="D96" s="187" t="s">
        <v>144</v>
      </c>
      <c r="E96" s="188"/>
      <c r="F96" s="189"/>
      <c r="G96" s="63">
        <v>50</v>
      </c>
      <c r="H96" s="62" t="s">
        <v>145</v>
      </c>
      <c r="I96" s="63">
        <v>150</v>
      </c>
      <c r="J96" s="63" t="s">
        <v>110</v>
      </c>
      <c r="K96" s="57"/>
      <c r="L96" s="129"/>
      <c r="M96" s="129"/>
    </row>
    <row r="97" spans="1:13" s="37" customFormat="1" ht="14.45" hidden="1" customHeight="1" x14ac:dyDescent="0.2">
      <c r="A97" s="62" t="s">
        <v>142</v>
      </c>
      <c r="B97" s="62" t="s">
        <v>146</v>
      </c>
      <c r="C97" s="62" t="s">
        <v>147</v>
      </c>
      <c r="D97" s="187" t="s">
        <v>148</v>
      </c>
      <c r="E97" s="188"/>
      <c r="F97" s="189"/>
      <c r="G97" s="63">
        <v>3</v>
      </c>
      <c r="H97" s="62" t="s">
        <v>149</v>
      </c>
      <c r="I97" s="63">
        <v>3</v>
      </c>
      <c r="J97" s="63" t="s">
        <v>110</v>
      </c>
      <c r="K97" s="57"/>
      <c r="L97" s="129"/>
      <c r="M97" s="129"/>
    </row>
    <row r="98" spans="1:13" s="37" customFormat="1" ht="14.45" hidden="1" customHeight="1" x14ac:dyDescent="0.2">
      <c r="A98" s="62" t="s">
        <v>150</v>
      </c>
      <c r="B98" s="62" t="s">
        <v>146</v>
      </c>
      <c r="C98" s="62" t="s">
        <v>147</v>
      </c>
      <c r="D98" s="187" t="s">
        <v>151</v>
      </c>
      <c r="E98" s="188"/>
      <c r="F98" s="189"/>
      <c r="G98" s="63">
        <v>3</v>
      </c>
      <c r="H98" s="62" t="s">
        <v>152</v>
      </c>
      <c r="I98" s="63">
        <v>3</v>
      </c>
      <c r="J98" s="63" t="s">
        <v>110</v>
      </c>
      <c r="K98" s="57"/>
      <c r="L98" s="129"/>
      <c r="M98" s="129"/>
    </row>
    <row r="99" spans="1:13" s="37" customFormat="1" ht="14.45" customHeight="1" x14ac:dyDescent="0.2">
      <c r="A99" s="62" t="s">
        <v>173</v>
      </c>
      <c r="B99" s="62" t="s">
        <v>49</v>
      </c>
      <c r="C99" s="62" t="s">
        <v>143</v>
      </c>
      <c r="D99" s="187" t="s">
        <v>313</v>
      </c>
      <c r="E99" s="188"/>
      <c r="F99" s="189"/>
      <c r="G99" s="66">
        <v>75</v>
      </c>
      <c r="H99" s="62" t="s">
        <v>145</v>
      </c>
      <c r="I99" s="66">
        <f>75*3</f>
        <v>225</v>
      </c>
      <c r="J99" s="66" t="s">
        <v>314</v>
      </c>
      <c r="K99" s="132"/>
      <c r="L99" s="129"/>
      <c r="M99" s="129"/>
    </row>
    <row r="100" spans="1:13" s="37" customFormat="1" ht="14.45" customHeight="1" x14ac:dyDescent="0.2">
      <c r="A100" s="62" t="s">
        <v>142</v>
      </c>
      <c r="B100" s="62" t="s">
        <v>49</v>
      </c>
      <c r="C100" s="62" t="s">
        <v>143</v>
      </c>
      <c r="D100" s="187" t="s">
        <v>279</v>
      </c>
      <c r="E100" s="188"/>
      <c r="F100" s="189"/>
      <c r="G100" s="63">
        <v>150</v>
      </c>
      <c r="H100" s="62" t="s">
        <v>280</v>
      </c>
      <c r="I100" s="63" t="s">
        <v>153</v>
      </c>
      <c r="J100" s="63" t="s">
        <v>110</v>
      </c>
      <c r="K100" s="57"/>
      <c r="L100" s="129"/>
      <c r="M100" s="129"/>
    </row>
    <row r="101" spans="1:13" s="37" customFormat="1" ht="14.45" customHeight="1" x14ac:dyDescent="0.2">
      <c r="A101" s="62" t="s">
        <v>154</v>
      </c>
      <c r="B101" s="62" t="s">
        <v>49</v>
      </c>
      <c r="C101" s="62" t="s">
        <v>143</v>
      </c>
      <c r="D101" s="187" t="s">
        <v>155</v>
      </c>
      <c r="E101" s="188"/>
      <c r="F101" s="189"/>
      <c r="G101" s="63">
        <v>250</v>
      </c>
      <c r="H101" s="62" t="s">
        <v>49</v>
      </c>
      <c r="I101" s="63" t="s">
        <v>153</v>
      </c>
      <c r="J101" s="63" t="s">
        <v>110</v>
      </c>
      <c r="K101" s="57"/>
      <c r="L101" s="129"/>
      <c r="M101" s="129"/>
    </row>
    <row r="102" spans="1:13" s="37" customFormat="1" ht="14.45" customHeight="1" x14ac:dyDescent="0.2">
      <c r="A102" s="65" t="s">
        <v>156</v>
      </c>
      <c r="B102" s="65" t="s">
        <v>49</v>
      </c>
      <c r="C102" s="65" t="s">
        <v>143</v>
      </c>
      <c r="D102" s="187" t="s">
        <v>157</v>
      </c>
      <c r="E102" s="188"/>
      <c r="F102" s="189"/>
      <c r="G102" s="63">
        <v>250</v>
      </c>
      <c r="H102" s="62" t="s">
        <v>49</v>
      </c>
      <c r="I102" s="63" t="s">
        <v>153</v>
      </c>
      <c r="J102" s="63" t="s">
        <v>110</v>
      </c>
      <c r="K102" s="57"/>
      <c r="L102" s="129"/>
      <c r="M102" s="129"/>
    </row>
    <row r="103" spans="1:13" s="37" customFormat="1" ht="14.45" customHeight="1" x14ac:dyDescent="0.2">
      <c r="A103" s="62" t="s">
        <v>142</v>
      </c>
      <c r="B103" s="62" t="s">
        <v>49</v>
      </c>
      <c r="C103" s="62" t="s">
        <v>143</v>
      </c>
      <c r="D103" s="187" t="s">
        <v>281</v>
      </c>
      <c r="E103" s="188"/>
      <c r="F103" s="189"/>
      <c r="G103" s="63">
        <v>200</v>
      </c>
      <c r="H103" s="62" t="s">
        <v>280</v>
      </c>
      <c r="I103" s="63" t="s">
        <v>153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2" t="s">
        <v>142</v>
      </c>
      <c r="B104" s="62" t="s">
        <v>49</v>
      </c>
      <c r="C104" s="62" t="s">
        <v>143</v>
      </c>
      <c r="D104" s="187" t="s">
        <v>158</v>
      </c>
      <c r="E104" s="188"/>
      <c r="F104" s="189"/>
      <c r="G104" s="66">
        <v>150</v>
      </c>
      <c r="H104" s="62" t="s">
        <v>49</v>
      </c>
      <c r="I104" s="66" t="s">
        <v>153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150</v>
      </c>
      <c r="B105" s="67" t="s">
        <v>49</v>
      </c>
      <c r="C105" s="62" t="s">
        <v>143</v>
      </c>
      <c r="D105" s="187" t="s">
        <v>159</v>
      </c>
      <c r="E105" s="188"/>
      <c r="F105" s="189"/>
      <c r="G105" s="68">
        <v>180</v>
      </c>
      <c r="H105" s="67" t="s">
        <v>49</v>
      </c>
      <c r="I105" s="68" t="s">
        <v>153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2" t="s">
        <v>160</v>
      </c>
      <c r="B106" s="67" t="s">
        <v>49</v>
      </c>
      <c r="C106" s="62" t="s">
        <v>143</v>
      </c>
      <c r="D106" s="187" t="s">
        <v>161</v>
      </c>
      <c r="E106" s="188"/>
      <c r="F106" s="189"/>
      <c r="G106" s="69">
        <v>47.9</v>
      </c>
      <c r="H106" s="67" t="s">
        <v>24</v>
      </c>
      <c r="I106" s="69">
        <v>47.9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160</v>
      </c>
      <c r="B107" s="67" t="s">
        <v>49</v>
      </c>
      <c r="C107" s="62" t="s">
        <v>143</v>
      </c>
      <c r="D107" s="187" t="s">
        <v>161</v>
      </c>
      <c r="E107" s="188"/>
      <c r="F107" s="189"/>
      <c r="G107" s="69">
        <v>65.400000000000006</v>
      </c>
      <c r="H107" s="67" t="s">
        <v>162</v>
      </c>
      <c r="I107" s="69">
        <v>65.400000000000006</v>
      </c>
      <c r="J107" s="63" t="s">
        <v>110</v>
      </c>
      <c r="K107" s="57"/>
      <c r="L107" s="129"/>
      <c r="M107" s="129"/>
    </row>
    <row r="108" spans="1:13" s="37" customFormat="1" ht="14.1" customHeight="1" x14ac:dyDescent="0.2">
      <c r="A108" s="62" t="s">
        <v>163</v>
      </c>
      <c r="B108" s="67" t="s">
        <v>49</v>
      </c>
      <c r="C108" s="62" t="s">
        <v>143</v>
      </c>
      <c r="D108" s="187" t="s">
        <v>164</v>
      </c>
      <c r="E108" s="188"/>
      <c r="F108" s="189"/>
      <c r="G108" s="69">
        <v>48</v>
      </c>
      <c r="H108" s="67" t="s">
        <v>49</v>
      </c>
      <c r="I108" s="69">
        <v>48</v>
      </c>
      <c r="J108" s="63" t="s">
        <v>110</v>
      </c>
      <c r="K108" s="57"/>
      <c r="L108" s="129"/>
      <c r="M108" s="129"/>
    </row>
    <row r="109" spans="1:13" s="37" customFormat="1" ht="14.45" customHeight="1" x14ac:dyDescent="0.2">
      <c r="A109" s="62" t="s">
        <v>163</v>
      </c>
      <c r="B109" s="67" t="s">
        <v>49</v>
      </c>
      <c r="C109" s="62" t="s">
        <v>143</v>
      </c>
      <c r="D109" s="187" t="s">
        <v>165</v>
      </c>
      <c r="E109" s="188"/>
      <c r="F109" s="189"/>
      <c r="G109" s="69">
        <v>18</v>
      </c>
      <c r="H109" s="67" t="s">
        <v>49</v>
      </c>
      <c r="I109" s="69">
        <v>18</v>
      </c>
      <c r="J109" s="63" t="s">
        <v>110</v>
      </c>
      <c r="K109" s="57"/>
      <c r="L109" s="129"/>
      <c r="M109" s="129"/>
    </row>
    <row r="110" spans="1:13" s="37" customFormat="1" ht="14.45" customHeight="1" x14ac:dyDescent="0.2">
      <c r="A110" s="62" t="s">
        <v>163</v>
      </c>
      <c r="B110" s="67" t="s">
        <v>49</v>
      </c>
      <c r="C110" s="62" t="s">
        <v>143</v>
      </c>
      <c r="D110" s="187" t="s">
        <v>166</v>
      </c>
      <c r="E110" s="188"/>
      <c r="F110" s="189"/>
      <c r="G110" s="69">
        <v>42</v>
      </c>
      <c r="H110" s="67" t="s">
        <v>49</v>
      </c>
      <c r="I110" s="69">
        <v>42</v>
      </c>
      <c r="J110" s="63" t="s">
        <v>110</v>
      </c>
      <c r="K110" s="57"/>
      <c r="L110" s="129"/>
      <c r="M110" s="129"/>
    </row>
    <row r="111" spans="1:13" s="37" customFormat="1" ht="14.45" customHeight="1" x14ac:dyDescent="0.2">
      <c r="A111" s="62" t="s">
        <v>167</v>
      </c>
      <c r="B111" s="62" t="s">
        <v>49</v>
      </c>
      <c r="C111" s="62" t="s">
        <v>143</v>
      </c>
      <c r="D111" s="187" t="s">
        <v>168</v>
      </c>
      <c r="E111" s="188"/>
      <c r="F111" s="189"/>
      <c r="G111" s="66">
        <v>54</v>
      </c>
      <c r="H111" s="62" t="s">
        <v>49</v>
      </c>
      <c r="I111" s="66">
        <v>54</v>
      </c>
      <c r="J111" s="63" t="s">
        <v>110</v>
      </c>
      <c r="K111" s="57"/>
      <c r="L111" s="129"/>
      <c r="M111" s="129"/>
    </row>
    <row r="112" spans="1:13" s="37" customFormat="1" ht="14.45" customHeight="1" x14ac:dyDescent="0.2">
      <c r="A112" s="67" t="s">
        <v>169</v>
      </c>
      <c r="B112" s="67" t="s">
        <v>49</v>
      </c>
      <c r="C112" s="67" t="s">
        <v>147</v>
      </c>
      <c r="D112" s="187" t="s">
        <v>170</v>
      </c>
      <c r="E112" s="188"/>
      <c r="F112" s="189"/>
      <c r="G112" s="70">
        <v>35</v>
      </c>
      <c r="H112" s="70" t="s">
        <v>280</v>
      </c>
      <c r="I112" s="70">
        <v>35</v>
      </c>
      <c r="J112" s="63" t="s">
        <v>110</v>
      </c>
      <c r="K112" s="57"/>
      <c r="L112" s="129"/>
      <c r="M112" s="129"/>
    </row>
    <row r="113" spans="1:13" s="37" customFormat="1" ht="14.45" customHeight="1" x14ac:dyDescent="0.2">
      <c r="A113" s="62" t="s">
        <v>142</v>
      </c>
      <c r="B113" s="62" t="s">
        <v>49</v>
      </c>
      <c r="C113" s="62" t="s">
        <v>143</v>
      </c>
      <c r="D113" s="187" t="s">
        <v>171</v>
      </c>
      <c r="E113" s="188"/>
      <c r="F113" s="189"/>
      <c r="G113" s="63">
        <v>85</v>
      </c>
      <c r="H113" s="62" t="s">
        <v>172</v>
      </c>
      <c r="I113" s="63" t="s">
        <v>153</v>
      </c>
      <c r="J113" s="63" t="s">
        <v>110</v>
      </c>
      <c r="K113" s="57"/>
      <c r="L113" s="129"/>
      <c r="M113" s="129"/>
    </row>
    <row r="114" spans="1:13" s="37" customFormat="1" ht="14.45" hidden="1" customHeight="1" x14ac:dyDescent="0.2">
      <c r="A114" s="62" t="s">
        <v>173</v>
      </c>
      <c r="B114" s="62" t="s">
        <v>146</v>
      </c>
      <c r="C114" s="62" t="s">
        <v>147</v>
      </c>
      <c r="D114" s="187" t="s">
        <v>174</v>
      </c>
      <c r="E114" s="188"/>
      <c r="F114" s="189"/>
      <c r="G114" s="63">
        <v>4</v>
      </c>
      <c r="H114" s="62" t="s">
        <v>149</v>
      </c>
      <c r="I114" s="63">
        <v>4</v>
      </c>
      <c r="J114" s="63" t="s">
        <v>110</v>
      </c>
      <c r="K114" s="57"/>
      <c r="L114" s="129"/>
      <c r="M114" s="129"/>
    </row>
    <row r="115" spans="1:13" s="37" customFormat="1" ht="24" customHeight="1" x14ac:dyDescent="0.2">
      <c r="A115" s="62" t="s">
        <v>173</v>
      </c>
      <c r="B115" s="62" t="s">
        <v>49</v>
      </c>
      <c r="C115" s="62" t="s">
        <v>143</v>
      </c>
      <c r="D115" s="187" t="s">
        <v>175</v>
      </c>
      <c r="E115" s="188"/>
      <c r="F115" s="189"/>
      <c r="G115" s="137" t="s">
        <v>348</v>
      </c>
      <c r="H115" s="62" t="s">
        <v>24</v>
      </c>
      <c r="I115" s="66" t="s">
        <v>153</v>
      </c>
      <c r="J115" s="63" t="s">
        <v>282</v>
      </c>
      <c r="K115" s="57"/>
      <c r="L115" s="129"/>
      <c r="M115" s="129"/>
    </row>
    <row r="116" spans="1:13" s="37" customFormat="1" ht="27" customHeight="1" x14ac:dyDescent="0.2">
      <c r="A116" s="62" t="s">
        <v>173</v>
      </c>
      <c r="B116" s="62" t="s">
        <v>49</v>
      </c>
      <c r="C116" s="62" t="s">
        <v>143</v>
      </c>
      <c r="D116" s="187" t="s">
        <v>176</v>
      </c>
      <c r="E116" s="188"/>
      <c r="F116" s="189"/>
      <c r="G116" s="137" t="s">
        <v>348</v>
      </c>
      <c r="H116" s="62" t="s">
        <v>162</v>
      </c>
      <c r="I116" s="66" t="s">
        <v>153</v>
      </c>
      <c r="J116" s="63" t="s">
        <v>282</v>
      </c>
      <c r="K116" s="57"/>
      <c r="L116" s="129"/>
      <c r="M116" s="129"/>
    </row>
    <row r="117" spans="1:13" s="152" customFormat="1" ht="52.35" customHeight="1" x14ac:dyDescent="0.2">
      <c r="A117" s="67" t="s">
        <v>142</v>
      </c>
      <c r="B117" s="67" t="s">
        <v>49</v>
      </c>
      <c r="C117" s="147" t="s">
        <v>362</v>
      </c>
      <c r="D117" s="190" t="s">
        <v>363</v>
      </c>
      <c r="E117" s="191"/>
      <c r="F117" s="192"/>
      <c r="G117" s="146" t="s">
        <v>371</v>
      </c>
      <c r="H117" s="148" t="s">
        <v>280</v>
      </c>
      <c r="I117" s="69" t="s">
        <v>153</v>
      </c>
      <c r="J117" s="149" t="s">
        <v>365</v>
      </c>
      <c r="K117" s="111"/>
      <c r="L117" s="151"/>
      <c r="M117" s="151"/>
    </row>
    <row r="118" spans="1:13" s="37" customFormat="1" ht="14.45" hidden="1" customHeight="1" x14ac:dyDescent="0.2">
      <c r="A118" s="62" t="s">
        <v>173</v>
      </c>
      <c r="B118" s="62" t="s">
        <v>146</v>
      </c>
      <c r="C118" s="62" t="s">
        <v>147</v>
      </c>
      <c r="D118" s="187" t="s">
        <v>177</v>
      </c>
      <c r="E118" s="188"/>
      <c r="F118" s="189"/>
      <c r="G118" s="63">
        <v>2</v>
      </c>
      <c r="H118" s="62" t="s">
        <v>149</v>
      </c>
      <c r="I118" s="63">
        <v>2</v>
      </c>
      <c r="J118" s="63" t="s">
        <v>110</v>
      </c>
      <c r="K118" s="57"/>
      <c r="L118" s="129"/>
      <c r="M118" s="129"/>
    </row>
    <row r="119" spans="1:13" s="37" customFormat="1" ht="14.45" hidden="1" customHeight="1" x14ac:dyDescent="0.2">
      <c r="A119" s="62" t="s">
        <v>173</v>
      </c>
      <c r="B119" s="62" t="s">
        <v>146</v>
      </c>
      <c r="C119" s="62" t="s">
        <v>283</v>
      </c>
      <c r="D119" s="187" t="s">
        <v>284</v>
      </c>
      <c r="E119" s="188"/>
      <c r="F119" s="189"/>
      <c r="G119" s="63">
        <v>10</v>
      </c>
      <c r="H119" s="62" t="s">
        <v>285</v>
      </c>
      <c r="I119" s="63" t="s">
        <v>153</v>
      </c>
      <c r="J119" s="63" t="s">
        <v>110</v>
      </c>
      <c r="K119" s="57"/>
      <c r="L119" s="129"/>
      <c r="M119" s="129"/>
    </row>
    <row r="120" spans="1:13" s="37" customFormat="1" ht="14.45" customHeight="1" x14ac:dyDescent="0.2">
      <c r="A120" s="62" t="s">
        <v>142</v>
      </c>
      <c r="B120" s="62" t="s">
        <v>49</v>
      </c>
      <c r="C120" s="62" t="s">
        <v>143</v>
      </c>
      <c r="D120" s="187" t="s">
        <v>178</v>
      </c>
      <c r="E120" s="188"/>
      <c r="F120" s="189"/>
      <c r="G120" s="63">
        <v>50</v>
      </c>
      <c r="H120" s="62" t="s">
        <v>145</v>
      </c>
      <c r="I120" s="63" t="s">
        <v>153</v>
      </c>
      <c r="J120" s="63" t="s">
        <v>110</v>
      </c>
      <c r="K120" s="57"/>
      <c r="L120" s="129"/>
      <c r="M120" s="129"/>
    </row>
    <row r="121" spans="1:13" s="37" customFormat="1" ht="14.45" customHeight="1" x14ac:dyDescent="0.2">
      <c r="A121" s="62" t="s">
        <v>173</v>
      </c>
      <c r="B121" s="62" t="s">
        <v>49</v>
      </c>
      <c r="C121" s="62" t="s">
        <v>143</v>
      </c>
      <c r="D121" s="187" t="s">
        <v>179</v>
      </c>
      <c r="E121" s="188"/>
      <c r="F121" s="189"/>
      <c r="G121" s="63">
        <v>175</v>
      </c>
      <c r="H121" s="62" t="s">
        <v>49</v>
      </c>
      <c r="I121" s="63" t="s">
        <v>153</v>
      </c>
      <c r="J121" s="63" t="s">
        <v>110</v>
      </c>
      <c r="K121" s="57"/>
      <c r="L121" s="129"/>
      <c r="M121" s="129"/>
    </row>
    <row r="122" spans="1:13" s="37" customFormat="1" ht="14.45" customHeight="1" x14ac:dyDescent="0.2">
      <c r="A122" s="62" t="s">
        <v>142</v>
      </c>
      <c r="B122" s="62" t="s">
        <v>49</v>
      </c>
      <c r="C122" s="62" t="s">
        <v>147</v>
      </c>
      <c r="D122" s="187" t="s">
        <v>180</v>
      </c>
      <c r="E122" s="188"/>
      <c r="F122" s="189"/>
      <c r="G122" s="63">
        <v>40</v>
      </c>
      <c r="H122" s="62" t="s">
        <v>181</v>
      </c>
      <c r="I122" s="63" t="s">
        <v>153</v>
      </c>
      <c r="J122" s="63" t="s">
        <v>110</v>
      </c>
      <c r="K122" s="57"/>
      <c r="L122" s="129"/>
      <c r="M122" s="129"/>
    </row>
    <row r="123" spans="1:13" s="37" customFormat="1" ht="14.45" hidden="1" customHeight="1" x14ac:dyDescent="0.2">
      <c r="A123" s="62" t="s">
        <v>173</v>
      </c>
      <c r="B123" s="62" t="s">
        <v>146</v>
      </c>
      <c r="C123" s="62" t="s">
        <v>147</v>
      </c>
      <c r="D123" s="187" t="s">
        <v>182</v>
      </c>
      <c r="E123" s="188"/>
      <c r="F123" s="189"/>
      <c r="G123" s="63">
        <v>7.5</v>
      </c>
      <c r="H123" s="62" t="s">
        <v>152</v>
      </c>
      <c r="I123" s="63">
        <v>75</v>
      </c>
      <c r="J123" s="63" t="s">
        <v>110</v>
      </c>
      <c r="K123" s="57"/>
      <c r="L123" s="129"/>
      <c r="M123" s="129"/>
    </row>
    <row r="124" spans="1:13" s="37" customFormat="1" ht="14.45" hidden="1" customHeight="1" x14ac:dyDescent="0.2">
      <c r="A124" s="62" t="s">
        <v>142</v>
      </c>
      <c r="B124" s="62" t="s">
        <v>146</v>
      </c>
      <c r="C124" s="62" t="s">
        <v>147</v>
      </c>
      <c r="D124" s="187" t="s">
        <v>183</v>
      </c>
      <c r="E124" s="188"/>
      <c r="F124" s="189"/>
      <c r="G124" s="63">
        <v>20</v>
      </c>
      <c r="H124" s="62" t="s">
        <v>184</v>
      </c>
      <c r="I124" s="63" t="s">
        <v>153</v>
      </c>
      <c r="J124" s="63" t="s">
        <v>110</v>
      </c>
      <c r="K124" s="57"/>
      <c r="L124" s="129"/>
      <c r="M124" s="129"/>
    </row>
    <row r="125" spans="1:13" s="37" customFormat="1" ht="14.45" hidden="1" customHeight="1" x14ac:dyDescent="0.2">
      <c r="A125" s="62" t="s">
        <v>142</v>
      </c>
      <c r="B125" s="62" t="s">
        <v>146</v>
      </c>
      <c r="C125" s="62" t="s">
        <v>147</v>
      </c>
      <c r="D125" s="187" t="s">
        <v>185</v>
      </c>
      <c r="E125" s="188"/>
      <c r="F125" s="189"/>
      <c r="G125" s="63">
        <v>25</v>
      </c>
      <c r="H125" s="62" t="s">
        <v>184</v>
      </c>
      <c r="I125" s="63" t="s">
        <v>153</v>
      </c>
      <c r="J125" s="63" t="s">
        <v>110</v>
      </c>
      <c r="K125" s="57"/>
      <c r="L125" s="129"/>
      <c r="M125" s="129"/>
    </row>
    <row r="126" spans="1:13" s="37" customFormat="1" ht="14.45" customHeight="1" x14ac:dyDescent="0.2">
      <c r="A126" s="62" t="s">
        <v>142</v>
      </c>
      <c r="B126" s="62" t="s">
        <v>142</v>
      </c>
      <c r="C126" s="62" t="s">
        <v>147</v>
      </c>
      <c r="D126" s="187" t="s">
        <v>186</v>
      </c>
      <c r="E126" s="188"/>
      <c r="F126" s="189"/>
      <c r="G126" s="68">
        <v>75</v>
      </c>
      <c r="H126" s="62" t="s">
        <v>181</v>
      </c>
      <c r="I126" s="63" t="s">
        <v>153</v>
      </c>
      <c r="J126" s="63" t="s">
        <v>110</v>
      </c>
      <c r="K126" s="57"/>
      <c r="L126" s="129"/>
      <c r="M126" s="129"/>
    </row>
    <row r="127" spans="1:13" s="37" customFormat="1" ht="14.45" customHeight="1" x14ac:dyDescent="0.2">
      <c r="A127" s="62" t="s">
        <v>142</v>
      </c>
      <c r="B127" s="62" t="s">
        <v>142</v>
      </c>
      <c r="C127" s="62" t="s">
        <v>147</v>
      </c>
      <c r="D127" s="187" t="s">
        <v>187</v>
      </c>
      <c r="E127" s="188"/>
      <c r="F127" s="189"/>
      <c r="G127" s="63">
        <v>35</v>
      </c>
      <c r="H127" s="62" t="s">
        <v>181</v>
      </c>
      <c r="I127" s="63" t="s">
        <v>153</v>
      </c>
      <c r="J127" s="63" t="s">
        <v>110</v>
      </c>
      <c r="K127" s="57"/>
      <c r="L127" s="129"/>
      <c r="M127" s="129"/>
    </row>
    <row r="128" spans="1:13" s="37" customFormat="1" ht="14.45" hidden="1" customHeight="1" x14ac:dyDescent="0.2">
      <c r="A128" s="62" t="s">
        <v>142</v>
      </c>
      <c r="B128" s="62" t="s">
        <v>146</v>
      </c>
      <c r="C128" s="62" t="s">
        <v>143</v>
      </c>
      <c r="D128" s="187" t="s">
        <v>188</v>
      </c>
      <c r="E128" s="188"/>
      <c r="F128" s="189"/>
      <c r="G128" s="63">
        <v>100</v>
      </c>
      <c r="H128" s="62" t="s">
        <v>181</v>
      </c>
      <c r="I128" s="63" t="s">
        <v>153</v>
      </c>
      <c r="J128" s="63" t="s">
        <v>110</v>
      </c>
      <c r="K128" s="57"/>
      <c r="L128" s="129"/>
      <c r="M128" s="129"/>
    </row>
    <row r="129" spans="1:29" s="37" customFormat="1" ht="14.45" hidden="1" customHeight="1" x14ac:dyDescent="0.2">
      <c r="A129" s="62" t="s">
        <v>142</v>
      </c>
      <c r="B129" s="62" t="s">
        <v>146</v>
      </c>
      <c r="C129" s="62" t="s">
        <v>143</v>
      </c>
      <c r="D129" s="187" t="s">
        <v>189</v>
      </c>
      <c r="E129" s="188"/>
      <c r="F129" s="189"/>
      <c r="G129" s="63">
        <v>100</v>
      </c>
      <c r="H129" s="62" t="s">
        <v>190</v>
      </c>
      <c r="I129" s="63" t="s">
        <v>153</v>
      </c>
      <c r="J129" s="63" t="s">
        <v>110</v>
      </c>
      <c r="K129" s="57"/>
      <c r="O129" s="38"/>
      <c r="P129" s="38"/>
    </row>
    <row r="130" spans="1:29" s="37" customFormat="1" ht="14.45" hidden="1" customHeight="1" x14ac:dyDescent="0.2">
      <c r="A130" s="62" t="s">
        <v>142</v>
      </c>
      <c r="B130" s="62" t="s">
        <v>146</v>
      </c>
      <c r="C130" s="62" t="s">
        <v>143</v>
      </c>
      <c r="D130" s="187" t="s">
        <v>191</v>
      </c>
      <c r="E130" s="188"/>
      <c r="F130" s="189"/>
      <c r="G130" s="63">
        <v>100</v>
      </c>
      <c r="H130" s="62" t="s">
        <v>181</v>
      </c>
      <c r="I130" s="63" t="s">
        <v>153</v>
      </c>
      <c r="J130" s="63" t="s">
        <v>110</v>
      </c>
      <c r="K130" s="57"/>
      <c r="O130" s="39"/>
      <c r="P130" s="39"/>
    </row>
    <row r="131" spans="1:29" s="37" customFormat="1" ht="14.45" hidden="1" customHeight="1" x14ac:dyDescent="0.2">
      <c r="A131" s="62" t="s">
        <v>173</v>
      </c>
      <c r="B131" s="62" t="s">
        <v>146</v>
      </c>
      <c r="C131" s="62" t="s">
        <v>143</v>
      </c>
      <c r="D131" s="187" t="s">
        <v>189</v>
      </c>
      <c r="E131" s="188"/>
      <c r="F131" s="189"/>
      <c r="G131" s="63">
        <v>50</v>
      </c>
      <c r="H131" s="62" t="s">
        <v>192</v>
      </c>
      <c r="I131" s="63" t="s">
        <v>153</v>
      </c>
      <c r="J131" s="63" t="s">
        <v>110</v>
      </c>
      <c r="K131" s="57"/>
      <c r="O131" s="39"/>
      <c r="P131" s="39"/>
    </row>
    <row r="132" spans="1:29" s="37" customFormat="1" ht="14.45" hidden="1" customHeight="1" x14ac:dyDescent="0.2">
      <c r="A132" s="62" t="s">
        <v>173</v>
      </c>
      <c r="B132" s="62" t="s">
        <v>146</v>
      </c>
      <c r="C132" s="62" t="s">
        <v>143</v>
      </c>
      <c r="D132" s="187" t="s">
        <v>191</v>
      </c>
      <c r="E132" s="188"/>
      <c r="F132" s="189"/>
      <c r="G132" s="63">
        <v>50</v>
      </c>
      <c r="H132" s="62" t="s">
        <v>181</v>
      </c>
      <c r="I132" s="63" t="s">
        <v>153</v>
      </c>
      <c r="J132" s="63" t="s">
        <v>110</v>
      </c>
      <c r="K132" s="57"/>
      <c r="O132" s="38"/>
      <c r="P132" s="38"/>
    </row>
    <row r="133" spans="1:29" s="37" customFormat="1" ht="14.45" hidden="1" customHeight="1" x14ac:dyDescent="0.25">
      <c r="A133" s="62" t="s">
        <v>142</v>
      </c>
      <c r="B133" s="62" t="s">
        <v>146</v>
      </c>
      <c r="C133" s="62" t="s">
        <v>143</v>
      </c>
      <c r="D133" s="187" t="s">
        <v>193</v>
      </c>
      <c r="E133" s="188"/>
      <c r="F133" s="189"/>
      <c r="G133" s="63">
        <v>85</v>
      </c>
      <c r="H133" s="62" t="s">
        <v>194</v>
      </c>
      <c r="I133" s="63" t="s">
        <v>153</v>
      </c>
      <c r="J133" s="63" t="s">
        <v>110</v>
      </c>
      <c r="K133" s="57"/>
      <c r="O133" s="36"/>
      <c r="P133" s="36"/>
    </row>
    <row r="134" spans="1:29" s="37" customFormat="1" ht="14.45" hidden="1" customHeight="1" x14ac:dyDescent="0.25">
      <c r="A134" s="62" t="s">
        <v>173</v>
      </c>
      <c r="B134" s="62" t="s">
        <v>146</v>
      </c>
      <c r="C134" s="62" t="s">
        <v>195</v>
      </c>
      <c r="D134" s="187" t="s">
        <v>196</v>
      </c>
      <c r="E134" s="188"/>
      <c r="F134" s="189"/>
      <c r="G134" s="63">
        <v>0.1</v>
      </c>
      <c r="H134" s="62" t="s">
        <v>197</v>
      </c>
      <c r="I134" s="63">
        <v>150</v>
      </c>
      <c r="J134" s="63" t="s">
        <v>110</v>
      </c>
      <c r="K134" s="57"/>
      <c r="O134" s="36"/>
      <c r="P134" s="36"/>
    </row>
    <row r="135" spans="1:29" s="37" customFormat="1" ht="14.45" customHeight="1" x14ac:dyDescent="0.25">
      <c r="A135" s="62" t="s">
        <v>142</v>
      </c>
      <c r="B135" s="62" t="s">
        <v>49</v>
      </c>
      <c r="C135" s="62" t="s">
        <v>198</v>
      </c>
      <c r="D135" s="187" t="s">
        <v>199</v>
      </c>
      <c r="E135" s="188"/>
      <c r="F135" s="189"/>
      <c r="G135" s="63">
        <v>35</v>
      </c>
      <c r="H135" s="62" t="s">
        <v>181</v>
      </c>
      <c r="I135" s="63" t="s">
        <v>153</v>
      </c>
      <c r="J135" s="63" t="s">
        <v>110</v>
      </c>
      <c r="K135" s="57"/>
      <c r="O135" s="36"/>
      <c r="P135" s="36"/>
    </row>
    <row r="136" spans="1:29" s="37" customFormat="1" ht="14.45" hidden="1" customHeight="1" x14ac:dyDescent="0.25">
      <c r="A136" s="62" t="s">
        <v>142</v>
      </c>
      <c r="B136" s="62" t="s">
        <v>146</v>
      </c>
      <c r="C136" s="62" t="s">
        <v>198</v>
      </c>
      <c r="D136" s="187" t="s">
        <v>200</v>
      </c>
      <c r="E136" s="188"/>
      <c r="F136" s="189"/>
      <c r="G136" s="63">
        <v>7</v>
      </c>
      <c r="H136" s="62" t="s">
        <v>152</v>
      </c>
      <c r="I136" s="63">
        <v>7</v>
      </c>
      <c r="J136" s="63" t="s">
        <v>110</v>
      </c>
      <c r="K136" s="57"/>
      <c r="O136" s="36"/>
      <c r="P136" s="36"/>
    </row>
    <row r="137" spans="1:29" s="37" customFormat="1" ht="14.1" customHeight="1" x14ac:dyDescent="0.25">
      <c r="A137" s="62" t="s">
        <v>142</v>
      </c>
      <c r="B137" s="62" t="s">
        <v>142</v>
      </c>
      <c r="C137" s="62" t="s">
        <v>201</v>
      </c>
      <c r="D137" s="187" t="s">
        <v>202</v>
      </c>
      <c r="E137" s="188"/>
      <c r="F137" s="189"/>
      <c r="G137" s="63">
        <v>40</v>
      </c>
      <c r="H137" s="62" t="s">
        <v>203</v>
      </c>
      <c r="I137" s="63" t="s">
        <v>153</v>
      </c>
      <c r="J137" s="63" t="s">
        <v>110</v>
      </c>
      <c r="K137" s="57"/>
      <c r="O137" s="36"/>
      <c r="P137" s="36"/>
    </row>
    <row r="138" spans="1:29" s="37" customFormat="1" ht="14.1" customHeight="1" x14ac:dyDescent="0.25">
      <c r="A138" s="62" t="s">
        <v>142</v>
      </c>
      <c r="B138" s="62" t="s">
        <v>49</v>
      </c>
      <c r="C138" s="62" t="s">
        <v>143</v>
      </c>
      <c r="D138" s="187" t="s">
        <v>204</v>
      </c>
      <c r="E138" s="188"/>
      <c r="F138" s="189"/>
      <c r="G138" s="63">
        <v>50</v>
      </c>
      <c r="H138" s="62" t="s">
        <v>49</v>
      </c>
      <c r="I138" s="63" t="s">
        <v>153</v>
      </c>
      <c r="J138" s="63" t="s">
        <v>110</v>
      </c>
      <c r="K138" s="57"/>
      <c r="L138" s="38"/>
      <c r="M138" s="38"/>
      <c r="N138" s="38"/>
      <c r="O138" s="36"/>
      <c r="P138" s="36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 spans="1:29" s="39" customFormat="1" ht="14.1" customHeight="1" x14ac:dyDescent="0.25">
      <c r="A139" s="62" t="s">
        <v>142</v>
      </c>
      <c r="B139" s="62" t="s">
        <v>49</v>
      </c>
      <c r="C139" s="62" t="s">
        <v>143</v>
      </c>
      <c r="D139" s="187" t="s">
        <v>205</v>
      </c>
      <c r="E139" s="188"/>
      <c r="F139" s="189"/>
      <c r="G139" s="63">
        <v>200</v>
      </c>
      <c r="H139" s="62" t="s">
        <v>206</v>
      </c>
      <c r="I139" s="63" t="s">
        <v>153</v>
      </c>
      <c r="J139" s="63" t="s">
        <v>110</v>
      </c>
      <c r="K139" s="57"/>
      <c r="O139" s="36"/>
      <c r="P139" s="36"/>
    </row>
    <row r="140" spans="1:29" s="39" customFormat="1" ht="14.1" customHeight="1" x14ac:dyDescent="0.25">
      <c r="A140" s="62" t="s">
        <v>142</v>
      </c>
      <c r="B140" s="62" t="s">
        <v>49</v>
      </c>
      <c r="C140" s="62" t="s">
        <v>143</v>
      </c>
      <c r="D140" s="187" t="s">
        <v>207</v>
      </c>
      <c r="E140" s="188"/>
      <c r="F140" s="189"/>
      <c r="G140" s="63">
        <v>250</v>
      </c>
      <c r="H140" s="62" t="s">
        <v>208</v>
      </c>
      <c r="I140" s="63">
        <v>100</v>
      </c>
      <c r="J140" s="63" t="s">
        <v>110</v>
      </c>
      <c r="K140" s="57"/>
      <c r="L140" s="38"/>
      <c r="M140" s="38"/>
      <c r="N140" s="38"/>
      <c r="O140" s="36"/>
      <c r="P140" s="36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 spans="1:29" s="38" customFormat="1" ht="14.1" customHeight="1" x14ac:dyDescent="0.25">
      <c r="A141" s="62" t="s">
        <v>142</v>
      </c>
      <c r="B141" s="62" t="s">
        <v>49</v>
      </c>
      <c r="C141" s="62" t="s">
        <v>201</v>
      </c>
      <c r="D141" s="187" t="s">
        <v>209</v>
      </c>
      <c r="E141" s="188"/>
      <c r="F141" s="189"/>
      <c r="G141" s="63" t="s">
        <v>210</v>
      </c>
      <c r="H141" s="62"/>
      <c r="I141" s="63" t="s">
        <v>153</v>
      </c>
      <c r="J141" s="63" t="s">
        <v>110</v>
      </c>
      <c r="K141" s="57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:29" s="36" customFormat="1" x14ac:dyDescent="0.25">
      <c r="A142" s="62" t="s">
        <v>142</v>
      </c>
      <c r="B142" s="62" t="s">
        <v>49</v>
      </c>
      <c r="C142" s="62" t="s">
        <v>201</v>
      </c>
      <c r="D142" s="187" t="s">
        <v>211</v>
      </c>
      <c r="E142" s="188"/>
      <c r="F142" s="189"/>
      <c r="G142" s="63" t="s">
        <v>212</v>
      </c>
      <c r="H142" s="62"/>
      <c r="I142" s="63" t="s">
        <v>153</v>
      </c>
      <c r="J142" s="63" t="s">
        <v>110</v>
      </c>
      <c r="K142" s="72"/>
    </row>
    <row r="143" spans="1:29" s="36" customFormat="1" x14ac:dyDescent="0.25">
      <c r="A143" s="62" t="s">
        <v>213</v>
      </c>
      <c r="B143" s="62" t="s">
        <v>49</v>
      </c>
      <c r="C143" s="62" t="s">
        <v>214</v>
      </c>
      <c r="D143" s="187" t="s">
        <v>215</v>
      </c>
      <c r="E143" s="188"/>
      <c r="F143" s="189"/>
      <c r="G143" s="63">
        <v>100</v>
      </c>
      <c r="H143" s="62" t="s">
        <v>49</v>
      </c>
      <c r="I143" s="63">
        <v>100</v>
      </c>
      <c r="J143" s="63" t="s">
        <v>110</v>
      </c>
      <c r="K143" s="72"/>
    </row>
    <row r="144" spans="1:29" s="36" customFormat="1" x14ac:dyDescent="0.25">
      <c r="A144" s="62" t="s">
        <v>213</v>
      </c>
      <c r="B144" s="62" t="s">
        <v>216</v>
      </c>
      <c r="C144" s="62" t="s">
        <v>147</v>
      </c>
      <c r="D144" s="187" t="s">
        <v>217</v>
      </c>
      <c r="E144" s="188"/>
      <c r="F144" s="189"/>
      <c r="G144" s="63">
        <v>50</v>
      </c>
      <c r="H144" s="62"/>
      <c r="I144" s="63">
        <v>50</v>
      </c>
      <c r="J144" s="63" t="s">
        <v>110</v>
      </c>
      <c r="K144" s="72"/>
    </row>
    <row r="145" spans="1:11" s="36" customFormat="1" x14ac:dyDescent="0.25">
      <c r="A145" s="62" t="s">
        <v>150</v>
      </c>
      <c r="B145" s="62" t="s">
        <v>49</v>
      </c>
      <c r="C145" s="62" t="s">
        <v>218</v>
      </c>
      <c r="D145" s="187" t="s">
        <v>219</v>
      </c>
      <c r="E145" s="188"/>
      <c r="F145" s="189"/>
      <c r="G145" s="69" t="s">
        <v>220</v>
      </c>
      <c r="H145" s="67" t="s">
        <v>49</v>
      </c>
      <c r="I145" s="69" t="s">
        <v>153</v>
      </c>
      <c r="J145" s="63" t="s">
        <v>110</v>
      </c>
      <c r="K145" s="72"/>
    </row>
    <row r="146" spans="1:11" s="36" customFormat="1" x14ac:dyDescent="0.25">
      <c r="A146" s="62" t="s">
        <v>221</v>
      </c>
      <c r="B146" s="62" t="s">
        <v>49</v>
      </c>
      <c r="C146" s="62" t="s">
        <v>201</v>
      </c>
      <c r="D146" s="187" t="s">
        <v>222</v>
      </c>
      <c r="E146" s="188"/>
      <c r="F146" s="189"/>
      <c r="G146" s="69" t="s">
        <v>220</v>
      </c>
      <c r="H146" s="67" t="s">
        <v>49</v>
      </c>
      <c r="I146" s="69" t="s">
        <v>153</v>
      </c>
      <c r="J146" s="63" t="s">
        <v>110</v>
      </c>
      <c r="K146" s="72"/>
    </row>
    <row r="147" spans="1:11" s="36" customFormat="1" x14ac:dyDescent="0.25">
      <c r="A147" s="62" t="s">
        <v>142</v>
      </c>
      <c r="B147" s="62" t="s">
        <v>49</v>
      </c>
      <c r="C147" s="62" t="s">
        <v>223</v>
      </c>
      <c r="D147" s="187" t="s">
        <v>224</v>
      </c>
      <c r="E147" s="188"/>
      <c r="F147" s="189"/>
      <c r="G147" s="63" t="s">
        <v>225</v>
      </c>
      <c r="H147" s="62"/>
      <c r="I147" s="63" t="s">
        <v>153</v>
      </c>
      <c r="J147" s="63" t="s">
        <v>110</v>
      </c>
      <c r="K147" s="72"/>
    </row>
    <row r="148" spans="1:11" s="36" customFormat="1" x14ac:dyDescent="0.25">
      <c r="A148" s="62" t="s">
        <v>142</v>
      </c>
      <c r="B148" s="62" t="s">
        <v>49</v>
      </c>
      <c r="C148" s="62" t="s">
        <v>226</v>
      </c>
      <c r="D148" s="187" t="s">
        <v>227</v>
      </c>
      <c r="E148" s="188"/>
      <c r="F148" s="189"/>
      <c r="G148" s="66">
        <v>150</v>
      </c>
      <c r="H148" s="62" t="s">
        <v>49</v>
      </c>
      <c r="I148" s="66">
        <v>150</v>
      </c>
      <c r="J148" s="63" t="s">
        <v>110</v>
      </c>
      <c r="K148" s="72"/>
    </row>
    <row r="149" spans="1:11" s="36" customFormat="1" x14ac:dyDescent="0.25">
      <c r="A149" s="62" t="s">
        <v>142</v>
      </c>
      <c r="B149" s="62" t="s">
        <v>49</v>
      </c>
      <c r="C149" s="62" t="s">
        <v>228</v>
      </c>
      <c r="D149" s="187" t="s">
        <v>229</v>
      </c>
      <c r="E149" s="188"/>
      <c r="F149" s="189"/>
      <c r="G149" s="66">
        <v>25</v>
      </c>
      <c r="H149" s="62" t="s">
        <v>230</v>
      </c>
      <c r="I149" s="66">
        <v>25</v>
      </c>
      <c r="J149" s="63" t="s">
        <v>110</v>
      </c>
      <c r="K149" s="72"/>
    </row>
    <row r="150" spans="1:11" s="36" customFormat="1" hidden="1" x14ac:dyDescent="0.25">
      <c r="A150" s="62" t="s">
        <v>142</v>
      </c>
      <c r="B150" s="62" t="s">
        <v>146</v>
      </c>
      <c r="C150" s="62" t="s">
        <v>198</v>
      </c>
      <c r="D150" s="187" t="s">
        <v>231</v>
      </c>
      <c r="E150" s="188"/>
      <c r="F150" s="189"/>
      <c r="G150" s="66" t="s">
        <v>232</v>
      </c>
      <c r="H150" s="62" t="s">
        <v>149</v>
      </c>
      <c r="I150" s="66" t="s">
        <v>153</v>
      </c>
      <c r="J150" s="63" t="s">
        <v>110</v>
      </c>
      <c r="K150" s="72"/>
    </row>
    <row r="151" spans="1:11" s="36" customFormat="1" hidden="1" x14ac:dyDescent="0.25">
      <c r="A151" s="62" t="s">
        <v>173</v>
      </c>
      <c r="B151" s="62" t="s">
        <v>146</v>
      </c>
      <c r="C151" s="62" t="s">
        <v>233</v>
      </c>
      <c r="D151" s="187" t="s">
        <v>234</v>
      </c>
      <c r="E151" s="188"/>
      <c r="F151" s="189"/>
      <c r="G151" s="66">
        <v>0.5</v>
      </c>
      <c r="H151" s="62" t="s">
        <v>235</v>
      </c>
      <c r="I151" s="66">
        <v>50</v>
      </c>
      <c r="J151" s="63" t="s">
        <v>110</v>
      </c>
      <c r="K151" s="72"/>
    </row>
    <row r="152" spans="1:11" s="36" customFormat="1" hidden="1" x14ac:dyDescent="0.25">
      <c r="A152" s="62" t="s">
        <v>173</v>
      </c>
      <c r="B152" s="62" t="s">
        <v>146</v>
      </c>
      <c r="C152" s="62" t="s">
        <v>201</v>
      </c>
      <c r="D152" s="187" t="s">
        <v>237</v>
      </c>
      <c r="E152" s="188"/>
      <c r="F152" s="189"/>
      <c r="G152" s="66" t="s">
        <v>238</v>
      </c>
      <c r="H152" s="62" t="s">
        <v>235</v>
      </c>
      <c r="I152" s="66">
        <v>50</v>
      </c>
      <c r="J152" s="63" t="s">
        <v>110</v>
      </c>
      <c r="K152" s="72"/>
    </row>
    <row r="153" spans="1:11" s="36" customFormat="1" x14ac:dyDescent="0.25">
      <c r="A153" s="62" t="s">
        <v>239</v>
      </c>
      <c r="B153" s="62" t="s">
        <v>49</v>
      </c>
      <c r="C153" s="62" t="s">
        <v>143</v>
      </c>
      <c r="D153" s="187" t="s">
        <v>240</v>
      </c>
      <c r="E153" s="188"/>
      <c r="F153" s="189"/>
      <c r="G153" s="69" t="s">
        <v>220</v>
      </c>
      <c r="H153" s="67" t="s">
        <v>49</v>
      </c>
      <c r="I153" s="69" t="s">
        <v>153</v>
      </c>
      <c r="J153" s="63" t="s">
        <v>110</v>
      </c>
      <c r="K153" s="72"/>
    </row>
    <row r="154" spans="1:11" s="36" customFormat="1" x14ac:dyDescent="0.25">
      <c r="A154" s="62" t="s">
        <v>142</v>
      </c>
      <c r="B154" s="62" t="s">
        <v>142</v>
      </c>
      <c r="C154" s="62" t="s">
        <v>147</v>
      </c>
      <c r="D154" s="187" t="s">
        <v>241</v>
      </c>
      <c r="E154" s="188"/>
      <c r="F154" s="189"/>
      <c r="G154" s="66" t="s">
        <v>242</v>
      </c>
      <c r="H154" s="62"/>
      <c r="I154" s="66">
        <v>15</v>
      </c>
      <c r="J154" s="63" t="s">
        <v>110</v>
      </c>
      <c r="K154" s="72"/>
    </row>
    <row r="155" spans="1:11" s="36" customFormat="1" x14ac:dyDescent="0.25">
      <c r="A155" s="62" t="s">
        <v>243</v>
      </c>
      <c r="B155" s="62" t="s">
        <v>49</v>
      </c>
      <c r="C155" s="62" t="s">
        <v>143</v>
      </c>
      <c r="D155" s="187" t="s">
        <v>244</v>
      </c>
      <c r="E155" s="188"/>
      <c r="F155" s="189"/>
      <c r="G155" s="66">
        <v>200</v>
      </c>
      <c r="H155" s="62" t="s">
        <v>49</v>
      </c>
      <c r="I155" s="63">
        <v>200</v>
      </c>
      <c r="J155" s="63" t="s">
        <v>110</v>
      </c>
      <c r="K155" s="72"/>
    </row>
    <row r="156" spans="1:11" s="36" customFormat="1" x14ac:dyDescent="0.25">
      <c r="A156" s="62" t="s">
        <v>245</v>
      </c>
      <c r="B156" s="62" t="s">
        <v>49</v>
      </c>
      <c r="C156" s="62" t="s">
        <v>143</v>
      </c>
      <c r="D156" s="187" t="s">
        <v>246</v>
      </c>
      <c r="E156" s="188"/>
      <c r="F156" s="189"/>
      <c r="G156" s="66">
        <v>250</v>
      </c>
      <c r="H156" s="62" t="s">
        <v>49</v>
      </c>
      <c r="I156" s="63">
        <v>100</v>
      </c>
      <c r="J156" s="63" t="s">
        <v>110</v>
      </c>
      <c r="K156" s="72"/>
    </row>
    <row r="157" spans="1:11" s="36" customFormat="1" x14ac:dyDescent="0.25">
      <c r="A157" s="62" t="s">
        <v>247</v>
      </c>
      <c r="B157" s="62" t="s">
        <v>49</v>
      </c>
      <c r="C157" s="62" t="s">
        <v>143</v>
      </c>
      <c r="D157" s="187" t="s">
        <v>248</v>
      </c>
      <c r="E157" s="188"/>
      <c r="F157" s="189"/>
      <c r="G157" s="63">
        <v>250</v>
      </c>
      <c r="H157" s="62" t="s">
        <v>49</v>
      </c>
      <c r="I157" s="63">
        <v>200</v>
      </c>
      <c r="J157" s="63" t="s">
        <v>110</v>
      </c>
      <c r="K157" s="72"/>
    </row>
    <row r="158" spans="1:11" s="36" customFormat="1" x14ac:dyDescent="0.25">
      <c r="A158" s="62" t="s">
        <v>142</v>
      </c>
      <c r="B158" s="62" t="s">
        <v>49</v>
      </c>
      <c r="C158" s="62" t="s">
        <v>143</v>
      </c>
      <c r="D158" s="187" t="s">
        <v>249</v>
      </c>
      <c r="E158" s="188"/>
      <c r="F158" s="189"/>
      <c r="G158" s="63"/>
      <c r="H158" s="62" t="s">
        <v>49</v>
      </c>
      <c r="I158" s="63" t="s">
        <v>153</v>
      </c>
      <c r="J158" s="63" t="s">
        <v>110</v>
      </c>
      <c r="K158" s="72"/>
    </row>
    <row r="159" spans="1:11" s="36" customFormat="1" x14ac:dyDescent="0.25">
      <c r="A159" s="62" t="s">
        <v>250</v>
      </c>
      <c r="B159" s="62" t="s">
        <v>49</v>
      </c>
      <c r="C159" s="62" t="s">
        <v>143</v>
      </c>
      <c r="D159" s="187" t="s">
        <v>251</v>
      </c>
      <c r="E159" s="188"/>
      <c r="F159" s="189"/>
      <c r="G159" s="66">
        <v>350</v>
      </c>
      <c r="H159" s="62" t="s">
        <v>49</v>
      </c>
      <c r="I159" s="63">
        <v>350</v>
      </c>
      <c r="J159" s="63" t="s">
        <v>110</v>
      </c>
      <c r="K159" s="72"/>
    </row>
    <row r="160" spans="1:11" s="36" customFormat="1" x14ac:dyDescent="0.25">
      <c r="A160" s="118"/>
      <c r="B160" s="118"/>
      <c r="C160" s="118"/>
      <c r="D160" s="119"/>
      <c r="E160" s="119"/>
      <c r="F160" s="119"/>
      <c r="G160" s="120"/>
      <c r="H160" s="118"/>
      <c r="I160" s="121"/>
      <c r="J160" s="121"/>
      <c r="K160" s="72"/>
    </row>
    <row r="161" spans="1:11" s="36" customFormat="1" x14ac:dyDescent="0.25">
      <c r="A161" s="180" t="s">
        <v>72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72"/>
    </row>
    <row r="162" spans="1:11" s="36" customFormat="1" x14ac:dyDescent="0.25">
      <c r="A162" s="186" t="s">
        <v>67</v>
      </c>
      <c r="B162" s="186"/>
      <c r="C162" s="186"/>
      <c r="D162" s="186"/>
      <c r="E162" s="186" t="s">
        <v>68</v>
      </c>
      <c r="F162" s="186"/>
      <c r="G162" s="186"/>
      <c r="H162" s="186"/>
      <c r="I162" s="186"/>
      <c r="J162" s="186"/>
      <c r="K162" s="72"/>
    </row>
    <row r="163" spans="1:11" s="36" customFormat="1" x14ac:dyDescent="0.25">
      <c r="A163" s="185" t="s">
        <v>73</v>
      </c>
      <c r="B163" s="185"/>
      <c r="C163" s="185"/>
      <c r="D163" s="185"/>
      <c r="E163" s="185" t="s">
        <v>254</v>
      </c>
      <c r="F163" s="185"/>
      <c r="G163" s="185"/>
      <c r="H163" s="185"/>
      <c r="I163" s="185"/>
      <c r="J163" s="185"/>
      <c r="K163" s="72"/>
    </row>
    <row r="164" spans="1:11" s="36" customFormat="1" ht="15" customHeight="1" x14ac:dyDescent="0.25">
      <c r="A164" s="185" t="s">
        <v>252</v>
      </c>
      <c r="B164" s="185"/>
      <c r="C164" s="185"/>
      <c r="D164" s="185"/>
      <c r="E164" s="185" t="s">
        <v>253</v>
      </c>
      <c r="F164" s="185"/>
      <c r="G164" s="185"/>
      <c r="H164" s="185"/>
      <c r="I164" s="185"/>
      <c r="J164" s="185"/>
      <c r="K164" s="72"/>
    </row>
    <row r="165" spans="1:11" s="36" customFormat="1" ht="15" customHeight="1" x14ac:dyDescent="0.25">
      <c r="A165" s="185" t="s">
        <v>74</v>
      </c>
      <c r="B165" s="185"/>
      <c r="C165" s="185"/>
      <c r="D165" s="185"/>
      <c r="E165" s="185" t="s">
        <v>75</v>
      </c>
      <c r="F165" s="185"/>
      <c r="G165" s="185"/>
      <c r="H165" s="185"/>
      <c r="I165" s="185"/>
      <c r="J165" s="185"/>
      <c r="K165" s="72"/>
    </row>
    <row r="166" spans="1:11" s="36" customFormat="1" x14ac:dyDescent="0.25">
      <c r="A166" s="185" t="s">
        <v>76</v>
      </c>
      <c r="B166" s="185"/>
      <c r="C166" s="185"/>
      <c r="D166" s="185"/>
      <c r="E166" s="185" t="s">
        <v>77</v>
      </c>
      <c r="F166" s="185"/>
      <c r="G166" s="185"/>
      <c r="H166" s="185"/>
      <c r="I166" s="185"/>
      <c r="J166" s="185"/>
      <c r="K166" s="72"/>
    </row>
    <row r="167" spans="1:11" s="36" customFormat="1" ht="15" customHeight="1" x14ac:dyDescent="0.25">
      <c r="A167" s="185" t="s">
        <v>78</v>
      </c>
      <c r="B167" s="185"/>
      <c r="C167" s="185"/>
      <c r="D167" s="185"/>
      <c r="E167" s="185" t="s">
        <v>79</v>
      </c>
      <c r="F167" s="185"/>
      <c r="G167" s="185"/>
      <c r="H167" s="185"/>
      <c r="I167" s="185"/>
      <c r="J167" s="185"/>
      <c r="K167" s="72"/>
    </row>
    <row r="168" spans="1:11" s="36" customFormat="1" ht="15" customHeight="1" x14ac:dyDescent="0.25">
      <c r="A168" s="180" t="s">
        <v>89</v>
      </c>
      <c r="B168" s="180"/>
      <c r="C168" s="180"/>
      <c r="D168" s="180"/>
      <c r="E168" s="180"/>
      <c r="F168" s="180"/>
      <c r="G168" s="180"/>
      <c r="H168" s="180"/>
      <c r="I168" s="180"/>
      <c r="J168" s="180"/>
      <c r="K168" s="72"/>
    </row>
    <row r="169" spans="1:11" s="36" customFormat="1" x14ac:dyDescent="0.25">
      <c r="A169" s="181" t="s">
        <v>80</v>
      </c>
      <c r="B169" s="181"/>
      <c r="C169" s="181"/>
      <c r="D169" s="181"/>
      <c r="E169" s="181"/>
      <c r="F169" s="181"/>
      <c r="G169" s="181"/>
      <c r="H169" s="181"/>
      <c r="I169" s="181"/>
      <c r="J169" s="181"/>
      <c r="K169" s="72"/>
    </row>
    <row r="170" spans="1:11" s="36" customFormat="1" ht="15" customHeight="1" x14ac:dyDescent="0.2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72"/>
    </row>
    <row r="171" spans="1:11" s="36" customFormat="1" x14ac:dyDescent="0.25">
      <c r="A171" s="182" t="s">
        <v>90</v>
      </c>
      <c r="B171" s="182"/>
      <c r="C171" s="182"/>
      <c r="D171" s="182"/>
      <c r="E171" s="182"/>
      <c r="F171" s="182"/>
      <c r="G171" s="182"/>
      <c r="H171" s="182"/>
      <c r="I171" s="182"/>
      <c r="J171" s="182"/>
      <c r="K171" s="72"/>
    </row>
    <row r="172" spans="1:11" s="36" customFormat="1" ht="15" customHeight="1" x14ac:dyDescent="0.25">
      <c r="A172" s="182"/>
      <c r="B172" s="182"/>
      <c r="C172" s="182"/>
      <c r="D172" s="182"/>
      <c r="E172" s="182"/>
      <c r="F172" s="182"/>
      <c r="G172" s="182"/>
      <c r="H172" s="182"/>
      <c r="I172" s="182"/>
      <c r="J172" s="182"/>
      <c r="K172" s="72"/>
    </row>
    <row r="173" spans="1:11" s="42" customFormat="1" ht="13.9" customHeight="1" x14ac:dyDescent="0.25">
      <c r="A173" s="183" t="s">
        <v>353</v>
      </c>
      <c r="B173" s="183"/>
      <c r="C173" s="183"/>
      <c r="D173" s="183"/>
      <c r="E173" s="183"/>
      <c r="F173" s="183"/>
      <c r="G173" s="183"/>
      <c r="H173" s="183"/>
      <c r="I173" s="183"/>
      <c r="J173" s="48"/>
    </row>
    <row r="174" spans="1:11" s="49" customFormat="1" ht="13.9" customHeight="1" x14ac:dyDescent="0.25">
      <c r="A174" s="184" t="s">
        <v>354</v>
      </c>
      <c r="B174" s="184"/>
      <c r="C174" s="184"/>
      <c r="D174" s="184"/>
      <c r="E174" s="184"/>
      <c r="F174" s="184"/>
      <c r="G174" s="184"/>
      <c r="H174" s="184"/>
      <c r="I174" s="184"/>
      <c r="J174" s="48"/>
    </row>
    <row r="175" spans="1:11" x14ac:dyDescent="0.25">
      <c r="J175" s="48"/>
    </row>
    <row r="176" spans="1:11" x14ac:dyDescent="0.25">
      <c r="J176" s="48"/>
    </row>
    <row r="177" spans="10:10" x14ac:dyDescent="0.25">
      <c r="J177" s="48"/>
    </row>
  </sheetData>
  <protectedRanges>
    <protectedRange algorithmName="SHA-512" hashValue="VF6HSW3Iy4xJ9rvYE/9xGHEoimGCygSu8D4FeqmdsD954MzAHwkkxLcwSP9Q5ui8KTGpWBzFAFpp2yGVfuii3Q==" saltValue="Ht0jMOW+8eakbuvlYpVr7Q==" spinCount="100000" sqref="G54:J59 G29:J31 G33:J35 G37:J42 G13:J27 G61:J72 G74:J75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3:J43 G45:J48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0:J52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95:WWE159" xr:uid="{FA694B6A-433F-4FA4-84BF-050781CB5F76}">
    <filterColumn colId="1">
      <filters>
        <filter val="ALL"/>
        <filter val="CY"/>
      </filters>
    </filterColumn>
    <filterColumn colId="3" showButton="0"/>
    <filterColumn colId="4" showButton="0"/>
  </autoFilter>
  <mergeCells count="152">
    <mergeCell ref="A171:J172"/>
    <mergeCell ref="A173:I173"/>
    <mergeCell ref="A174:I174"/>
    <mergeCell ref="A166:D166"/>
    <mergeCell ref="E166:J166"/>
    <mergeCell ref="A167:D167"/>
    <mergeCell ref="E167:J167"/>
    <mergeCell ref="A168:J168"/>
    <mergeCell ref="A169:J170"/>
    <mergeCell ref="A163:D163"/>
    <mergeCell ref="E163:J163"/>
    <mergeCell ref="A164:D164"/>
    <mergeCell ref="E164:J164"/>
    <mergeCell ref="A165:D165"/>
    <mergeCell ref="E165:J165"/>
    <mergeCell ref="D157:F157"/>
    <mergeCell ref="D158:F158"/>
    <mergeCell ref="D159:F159"/>
    <mergeCell ref="A161:J161"/>
    <mergeCell ref="A162:D162"/>
    <mergeCell ref="E162:J162"/>
    <mergeCell ref="D151:F151"/>
    <mergeCell ref="D152:F152"/>
    <mergeCell ref="D153:F153"/>
    <mergeCell ref="D154:F154"/>
    <mergeCell ref="D155:F155"/>
    <mergeCell ref="D156:F156"/>
    <mergeCell ref="D145:F145"/>
    <mergeCell ref="D146:F146"/>
    <mergeCell ref="D147:F147"/>
    <mergeCell ref="D148:F148"/>
    <mergeCell ref="D149:F149"/>
    <mergeCell ref="D150:F150"/>
    <mergeCell ref="D139:F139"/>
    <mergeCell ref="D140:F140"/>
    <mergeCell ref="D141:F141"/>
    <mergeCell ref="D142:F142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21:F121"/>
    <mergeCell ref="D122:F122"/>
    <mergeCell ref="D123:F123"/>
    <mergeCell ref="D124:F124"/>
    <mergeCell ref="D125:F125"/>
    <mergeCell ref="D126:F126"/>
    <mergeCell ref="D115:F115"/>
    <mergeCell ref="D116:F116"/>
    <mergeCell ref="D117:F117"/>
    <mergeCell ref="D118:F118"/>
    <mergeCell ref="D119:F119"/>
    <mergeCell ref="D120:F120"/>
    <mergeCell ref="D109:F109"/>
    <mergeCell ref="D110:F110"/>
    <mergeCell ref="D111:F111"/>
    <mergeCell ref="D112:F112"/>
    <mergeCell ref="D113:F113"/>
    <mergeCell ref="D114:F114"/>
    <mergeCell ref="D103:F103"/>
    <mergeCell ref="D104:F104"/>
    <mergeCell ref="D105:F105"/>
    <mergeCell ref="D106:F106"/>
    <mergeCell ref="D107:F107"/>
    <mergeCell ref="D108:F108"/>
    <mergeCell ref="D97:F97"/>
    <mergeCell ref="D98:F98"/>
    <mergeCell ref="D99:F99"/>
    <mergeCell ref="D100:F100"/>
    <mergeCell ref="D101:F101"/>
    <mergeCell ref="D102:F102"/>
    <mergeCell ref="A93:D93"/>
    <mergeCell ref="E93:J93"/>
    <mergeCell ref="L93:Q93"/>
    <mergeCell ref="A94:J94"/>
    <mergeCell ref="D95:F95"/>
    <mergeCell ref="D96:F96"/>
    <mergeCell ref="A91:D91"/>
    <mergeCell ref="G91:J91"/>
    <mergeCell ref="L91:Q91"/>
    <mergeCell ref="A92:D92"/>
    <mergeCell ref="G92:J92"/>
    <mergeCell ref="L92:Q92"/>
    <mergeCell ref="A89:D89"/>
    <mergeCell ref="F89:J89"/>
    <mergeCell ref="L89:Q89"/>
    <mergeCell ref="A90:D90"/>
    <mergeCell ref="G90:J90"/>
    <mergeCell ref="L90:Q90"/>
    <mergeCell ref="L86:Q86"/>
    <mergeCell ref="A87:D87"/>
    <mergeCell ref="F87:J87"/>
    <mergeCell ref="L87:Q87"/>
    <mergeCell ref="A88:D88"/>
    <mergeCell ref="F88:J88"/>
    <mergeCell ref="L88:Q88"/>
    <mergeCell ref="A84:D84"/>
    <mergeCell ref="F84:J84"/>
    <mergeCell ref="A85:D85"/>
    <mergeCell ref="F85:J85"/>
    <mergeCell ref="A86:D86"/>
    <mergeCell ref="F86:J86"/>
    <mergeCell ref="A81:D81"/>
    <mergeCell ref="F81:J81"/>
    <mergeCell ref="L81:Q81"/>
    <mergeCell ref="A82:D82"/>
    <mergeCell ref="F82:J82"/>
    <mergeCell ref="A83:D83"/>
    <mergeCell ref="F83:J83"/>
    <mergeCell ref="A78:J78"/>
    <mergeCell ref="A79:D79"/>
    <mergeCell ref="E79:J79"/>
    <mergeCell ref="L79:Q79"/>
    <mergeCell ref="A80:D80"/>
    <mergeCell ref="F80:J80"/>
    <mergeCell ref="L80:Q80"/>
    <mergeCell ref="E44:F44"/>
    <mergeCell ref="E49:F49"/>
    <mergeCell ref="E53:F53"/>
    <mergeCell ref="E60:F60"/>
    <mergeCell ref="A69:J69"/>
    <mergeCell ref="A77:J77"/>
    <mergeCell ref="A1:B1"/>
    <mergeCell ref="C2:G2"/>
    <mergeCell ref="B3:H3"/>
    <mergeCell ref="B4:C4"/>
    <mergeCell ref="G4:I4"/>
    <mergeCell ref="B5:C5"/>
    <mergeCell ref="G5:I5"/>
    <mergeCell ref="E73:F73"/>
    <mergeCell ref="Y10:AB10"/>
    <mergeCell ref="E11:F11"/>
    <mergeCell ref="E12:F12"/>
    <mergeCell ref="E28:F28"/>
    <mergeCell ref="E32:F32"/>
    <mergeCell ref="E36:F36"/>
    <mergeCell ref="B6:C6"/>
    <mergeCell ref="G6:I6"/>
    <mergeCell ref="E8:I8"/>
    <mergeCell ref="A10:J10"/>
    <mergeCell ref="N10:R10"/>
    <mergeCell ref="S10:X10"/>
  </mergeCells>
  <hyperlinks>
    <hyperlink ref="G6" r:id="rId1" xr:uid="{6D72A0F6-1B1A-42AB-BBEA-7217B1256067}"/>
    <hyperlink ref="G4" r:id="rId2" display="jchang.lax@oecgroup.com" xr:uid="{597E90B3-A13D-456D-915B-3E4F03A9026F}"/>
  </hyperlinks>
  <pageMargins left="0.35" right="0.35" top="0.35" bottom="0.35" header="0.3" footer="0.3"/>
  <pageSetup scale="47" fitToHeight="0" orientation="portrait" r:id="rId3"/>
  <rowBreaks count="1" manualBreakCount="1">
    <brk id="89" max="9" man="1"/>
  </rowBreaks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51A5C5-AE95-4F41-B0AA-62700770E59C}">
          <x14:formula1>
            <xm:f>'C:\Users\twang\AppData\Local\Microsoft\Windows\Temporary Internet Files\Content.Outlook\U7WJNCNV\[QUOTE TEMPLATE 05-01-21.xltx]Sheet1'!#REF!</xm:f>
          </x14:formula1>
          <xm:sqref>E86:E87 E54:E59 E80:E83 E33:E35 E29:E31 E89:E92 E45:E48 E37:E43 E61:E68 E75</xm:sqref>
        </x14:dataValidation>
        <x14:dataValidation type="list" allowBlank="1" showInputMessage="1" showErrorMessage="1" xr:uid="{C9455476-E5A2-435D-AA92-72CB7CA19C3D}">
          <x14:formula1>
            <xm:f>'C:\Users\twang\AppData\Local\Microsoft\Windows\Temporary Internet Files\Content.Outlook\U7WJNCNV\[QUOTE TEMPLATE 05-01-21.xltx]Sheet1'!#REF!</xm:f>
          </x14:formula1>
          <xm:sqref>C13:C27 C33:C35 C29:C31 C45:C48 C37:C43 C54:C59 Q13:Q14 C61:C68 Q74 C74:C75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BC05-909C-46BA-95B3-90580B370BD5}">
  <sheetPr filterMode="1">
    <pageSetUpPr fitToPage="1"/>
  </sheetPr>
  <dimension ref="A1:AC171"/>
  <sheetViews>
    <sheetView topLeftCell="A43" zoomScale="85" zoomScaleNormal="85" zoomScaleSheetLayoutView="40" workbookViewId="0">
      <pane xSplit="4" topLeftCell="E1" activePane="topRight" state="frozen"/>
      <selection activeCell="A19" sqref="A19"/>
      <selection pane="topRight" activeCell="D26" sqref="D26"/>
    </sheetView>
  </sheetViews>
  <sheetFormatPr defaultColWidth="8.85546875" defaultRowHeight="15" x14ac:dyDescent="0.25"/>
  <cols>
    <col min="1" max="1" width="27.5703125" style="50" customWidth="1"/>
    <col min="2" max="2" width="55.28515625" style="50" customWidth="1"/>
    <col min="3" max="3" width="10.85546875" style="50" customWidth="1"/>
    <col min="4" max="4" width="23.140625" style="50" customWidth="1"/>
    <col min="5" max="5" width="16.7109375" style="50" customWidth="1"/>
    <col min="6" max="6" width="15.42578125" style="50" customWidth="1"/>
    <col min="7" max="7" width="19" style="50" customWidth="1"/>
    <col min="8" max="10" width="14" style="50" customWidth="1"/>
    <col min="11" max="11" width="3.28515625" style="50" customWidth="1"/>
    <col min="12" max="12" width="15.7109375" style="50" customWidth="1"/>
    <col min="13" max="13" width="11.140625" style="50" customWidth="1"/>
    <col min="14" max="14" width="9.42578125" style="50" customWidth="1"/>
    <col min="15" max="15" width="10.7109375" style="50" bestFit="1" customWidth="1"/>
    <col min="16" max="16" width="17.28515625" style="50" customWidth="1"/>
    <col min="17" max="17" width="6.28515625" style="50" customWidth="1"/>
    <col min="18" max="18" width="9" style="50" hidden="1" customWidth="1"/>
    <col min="19" max="19" width="9" style="50" bestFit="1" customWidth="1"/>
    <col min="20" max="20" width="10.28515625" style="50" customWidth="1"/>
    <col min="21" max="21" width="12.5703125" style="50" customWidth="1"/>
    <col min="22" max="22" width="9" style="50" bestFit="1" customWidth="1"/>
    <col min="23" max="23" width="24.7109375" style="50" customWidth="1"/>
    <col min="24" max="24" width="8.7109375" style="50" customWidth="1"/>
    <col min="25" max="260" width="8.85546875" style="50"/>
    <col min="261" max="261" width="23.5703125" style="50" customWidth="1"/>
    <col min="262" max="262" width="40.42578125" style="50" customWidth="1"/>
    <col min="263" max="263" width="10.85546875" style="50" customWidth="1"/>
    <col min="264" max="264" width="6.5703125" style="50" customWidth="1"/>
    <col min="265" max="265" width="32.28515625" style="50" customWidth="1"/>
    <col min="266" max="269" width="10" style="50" customWidth="1"/>
    <col min="270" max="270" width="26.140625" style="50" customWidth="1"/>
    <col min="271" max="271" width="12.28515625" style="50" customWidth="1"/>
    <col min="272" max="272" width="8.85546875" style="50"/>
    <col min="273" max="273" width="11.42578125" style="50" customWidth="1"/>
    <col min="274" max="276" width="8.85546875" style="50"/>
    <col min="277" max="277" width="32.140625" style="50" customWidth="1"/>
    <col min="278" max="278" width="8.85546875" style="50"/>
    <col min="279" max="279" width="42" style="50" customWidth="1"/>
    <col min="280" max="516" width="8.85546875" style="50"/>
    <col min="517" max="517" width="23.5703125" style="50" customWidth="1"/>
    <col min="518" max="518" width="40.42578125" style="50" customWidth="1"/>
    <col min="519" max="519" width="10.85546875" style="50" customWidth="1"/>
    <col min="520" max="520" width="6.5703125" style="50" customWidth="1"/>
    <col min="521" max="521" width="32.28515625" style="50" customWidth="1"/>
    <col min="522" max="525" width="10" style="50" customWidth="1"/>
    <col min="526" max="526" width="26.140625" style="50" customWidth="1"/>
    <col min="527" max="527" width="12.28515625" style="50" customWidth="1"/>
    <col min="528" max="528" width="8.85546875" style="50"/>
    <col min="529" max="529" width="11.42578125" style="50" customWidth="1"/>
    <col min="530" max="532" width="8.85546875" style="50"/>
    <col min="533" max="533" width="32.140625" style="50" customWidth="1"/>
    <col min="534" max="534" width="8.85546875" style="50"/>
    <col min="535" max="535" width="42" style="50" customWidth="1"/>
    <col min="536" max="772" width="8.85546875" style="50"/>
    <col min="773" max="773" width="23.5703125" style="50" customWidth="1"/>
    <col min="774" max="774" width="40.42578125" style="50" customWidth="1"/>
    <col min="775" max="775" width="10.85546875" style="50" customWidth="1"/>
    <col min="776" max="776" width="6.5703125" style="50" customWidth="1"/>
    <col min="777" max="777" width="32.28515625" style="50" customWidth="1"/>
    <col min="778" max="781" width="10" style="50" customWidth="1"/>
    <col min="782" max="782" width="26.140625" style="50" customWidth="1"/>
    <col min="783" max="783" width="12.28515625" style="50" customWidth="1"/>
    <col min="784" max="784" width="8.85546875" style="50"/>
    <col min="785" max="785" width="11.42578125" style="50" customWidth="1"/>
    <col min="786" max="788" width="8.85546875" style="50"/>
    <col min="789" max="789" width="32.140625" style="50" customWidth="1"/>
    <col min="790" max="790" width="8.85546875" style="50"/>
    <col min="791" max="791" width="42" style="50" customWidth="1"/>
    <col min="792" max="1028" width="8.85546875" style="50"/>
    <col min="1029" max="1029" width="23.5703125" style="50" customWidth="1"/>
    <col min="1030" max="1030" width="40.42578125" style="50" customWidth="1"/>
    <col min="1031" max="1031" width="10.85546875" style="50" customWidth="1"/>
    <col min="1032" max="1032" width="6.5703125" style="50" customWidth="1"/>
    <col min="1033" max="1033" width="32.28515625" style="50" customWidth="1"/>
    <col min="1034" max="1037" width="10" style="50" customWidth="1"/>
    <col min="1038" max="1038" width="26.140625" style="50" customWidth="1"/>
    <col min="1039" max="1039" width="12.28515625" style="50" customWidth="1"/>
    <col min="1040" max="1040" width="8.85546875" style="50"/>
    <col min="1041" max="1041" width="11.42578125" style="50" customWidth="1"/>
    <col min="1042" max="1044" width="8.85546875" style="50"/>
    <col min="1045" max="1045" width="32.140625" style="50" customWidth="1"/>
    <col min="1046" max="1046" width="8.85546875" style="50"/>
    <col min="1047" max="1047" width="42" style="50" customWidth="1"/>
    <col min="1048" max="1284" width="8.85546875" style="50"/>
    <col min="1285" max="1285" width="23.5703125" style="50" customWidth="1"/>
    <col min="1286" max="1286" width="40.42578125" style="50" customWidth="1"/>
    <col min="1287" max="1287" width="10.85546875" style="50" customWidth="1"/>
    <col min="1288" max="1288" width="6.5703125" style="50" customWidth="1"/>
    <col min="1289" max="1289" width="32.28515625" style="50" customWidth="1"/>
    <col min="1290" max="1293" width="10" style="50" customWidth="1"/>
    <col min="1294" max="1294" width="26.140625" style="50" customWidth="1"/>
    <col min="1295" max="1295" width="12.28515625" style="50" customWidth="1"/>
    <col min="1296" max="1296" width="8.85546875" style="50"/>
    <col min="1297" max="1297" width="11.42578125" style="50" customWidth="1"/>
    <col min="1298" max="1300" width="8.85546875" style="50"/>
    <col min="1301" max="1301" width="32.140625" style="50" customWidth="1"/>
    <col min="1302" max="1302" width="8.85546875" style="50"/>
    <col min="1303" max="1303" width="42" style="50" customWidth="1"/>
    <col min="1304" max="1540" width="8.85546875" style="50"/>
    <col min="1541" max="1541" width="23.5703125" style="50" customWidth="1"/>
    <col min="1542" max="1542" width="40.42578125" style="50" customWidth="1"/>
    <col min="1543" max="1543" width="10.85546875" style="50" customWidth="1"/>
    <col min="1544" max="1544" width="6.5703125" style="50" customWidth="1"/>
    <col min="1545" max="1545" width="32.28515625" style="50" customWidth="1"/>
    <col min="1546" max="1549" width="10" style="50" customWidth="1"/>
    <col min="1550" max="1550" width="26.140625" style="50" customWidth="1"/>
    <col min="1551" max="1551" width="12.28515625" style="50" customWidth="1"/>
    <col min="1552" max="1552" width="8.85546875" style="50"/>
    <col min="1553" max="1553" width="11.42578125" style="50" customWidth="1"/>
    <col min="1554" max="1556" width="8.85546875" style="50"/>
    <col min="1557" max="1557" width="32.140625" style="50" customWidth="1"/>
    <col min="1558" max="1558" width="8.85546875" style="50"/>
    <col min="1559" max="1559" width="42" style="50" customWidth="1"/>
    <col min="1560" max="1796" width="8.85546875" style="50"/>
    <col min="1797" max="1797" width="23.5703125" style="50" customWidth="1"/>
    <col min="1798" max="1798" width="40.42578125" style="50" customWidth="1"/>
    <col min="1799" max="1799" width="10.85546875" style="50" customWidth="1"/>
    <col min="1800" max="1800" width="6.5703125" style="50" customWidth="1"/>
    <col min="1801" max="1801" width="32.28515625" style="50" customWidth="1"/>
    <col min="1802" max="1805" width="10" style="50" customWidth="1"/>
    <col min="1806" max="1806" width="26.140625" style="50" customWidth="1"/>
    <col min="1807" max="1807" width="12.28515625" style="50" customWidth="1"/>
    <col min="1808" max="1808" width="8.85546875" style="50"/>
    <col min="1809" max="1809" width="11.42578125" style="50" customWidth="1"/>
    <col min="1810" max="1812" width="8.85546875" style="50"/>
    <col min="1813" max="1813" width="32.140625" style="50" customWidth="1"/>
    <col min="1814" max="1814" width="8.85546875" style="50"/>
    <col min="1815" max="1815" width="42" style="50" customWidth="1"/>
    <col min="1816" max="2052" width="8.85546875" style="50"/>
    <col min="2053" max="2053" width="23.5703125" style="50" customWidth="1"/>
    <col min="2054" max="2054" width="40.42578125" style="50" customWidth="1"/>
    <col min="2055" max="2055" width="10.85546875" style="50" customWidth="1"/>
    <col min="2056" max="2056" width="6.5703125" style="50" customWidth="1"/>
    <col min="2057" max="2057" width="32.28515625" style="50" customWidth="1"/>
    <col min="2058" max="2061" width="10" style="50" customWidth="1"/>
    <col min="2062" max="2062" width="26.140625" style="50" customWidth="1"/>
    <col min="2063" max="2063" width="12.28515625" style="50" customWidth="1"/>
    <col min="2064" max="2064" width="8.85546875" style="50"/>
    <col min="2065" max="2065" width="11.42578125" style="50" customWidth="1"/>
    <col min="2066" max="2068" width="8.85546875" style="50"/>
    <col min="2069" max="2069" width="32.140625" style="50" customWidth="1"/>
    <col min="2070" max="2070" width="8.85546875" style="50"/>
    <col min="2071" max="2071" width="42" style="50" customWidth="1"/>
    <col min="2072" max="2308" width="8.85546875" style="50"/>
    <col min="2309" max="2309" width="23.5703125" style="50" customWidth="1"/>
    <col min="2310" max="2310" width="40.42578125" style="50" customWidth="1"/>
    <col min="2311" max="2311" width="10.85546875" style="50" customWidth="1"/>
    <col min="2312" max="2312" width="6.5703125" style="50" customWidth="1"/>
    <col min="2313" max="2313" width="32.28515625" style="50" customWidth="1"/>
    <col min="2314" max="2317" width="10" style="50" customWidth="1"/>
    <col min="2318" max="2318" width="26.140625" style="50" customWidth="1"/>
    <col min="2319" max="2319" width="12.28515625" style="50" customWidth="1"/>
    <col min="2320" max="2320" width="8.85546875" style="50"/>
    <col min="2321" max="2321" width="11.42578125" style="50" customWidth="1"/>
    <col min="2322" max="2324" width="8.85546875" style="50"/>
    <col min="2325" max="2325" width="32.140625" style="50" customWidth="1"/>
    <col min="2326" max="2326" width="8.85546875" style="50"/>
    <col min="2327" max="2327" width="42" style="50" customWidth="1"/>
    <col min="2328" max="2564" width="8.85546875" style="50"/>
    <col min="2565" max="2565" width="23.5703125" style="50" customWidth="1"/>
    <col min="2566" max="2566" width="40.42578125" style="50" customWidth="1"/>
    <col min="2567" max="2567" width="10.85546875" style="50" customWidth="1"/>
    <col min="2568" max="2568" width="6.5703125" style="50" customWidth="1"/>
    <col min="2569" max="2569" width="32.28515625" style="50" customWidth="1"/>
    <col min="2570" max="2573" width="10" style="50" customWidth="1"/>
    <col min="2574" max="2574" width="26.140625" style="50" customWidth="1"/>
    <col min="2575" max="2575" width="12.28515625" style="50" customWidth="1"/>
    <col min="2576" max="2576" width="8.85546875" style="50"/>
    <col min="2577" max="2577" width="11.42578125" style="50" customWidth="1"/>
    <col min="2578" max="2580" width="8.85546875" style="50"/>
    <col min="2581" max="2581" width="32.140625" style="50" customWidth="1"/>
    <col min="2582" max="2582" width="8.85546875" style="50"/>
    <col min="2583" max="2583" width="42" style="50" customWidth="1"/>
    <col min="2584" max="2820" width="8.85546875" style="50"/>
    <col min="2821" max="2821" width="23.5703125" style="50" customWidth="1"/>
    <col min="2822" max="2822" width="40.42578125" style="50" customWidth="1"/>
    <col min="2823" max="2823" width="10.85546875" style="50" customWidth="1"/>
    <col min="2824" max="2824" width="6.5703125" style="50" customWidth="1"/>
    <col min="2825" max="2825" width="32.28515625" style="50" customWidth="1"/>
    <col min="2826" max="2829" width="10" style="50" customWidth="1"/>
    <col min="2830" max="2830" width="26.140625" style="50" customWidth="1"/>
    <col min="2831" max="2831" width="12.28515625" style="50" customWidth="1"/>
    <col min="2832" max="2832" width="8.85546875" style="50"/>
    <col min="2833" max="2833" width="11.42578125" style="50" customWidth="1"/>
    <col min="2834" max="2836" width="8.85546875" style="50"/>
    <col min="2837" max="2837" width="32.140625" style="50" customWidth="1"/>
    <col min="2838" max="2838" width="8.85546875" style="50"/>
    <col min="2839" max="2839" width="42" style="50" customWidth="1"/>
    <col min="2840" max="3076" width="8.85546875" style="50"/>
    <col min="3077" max="3077" width="23.5703125" style="50" customWidth="1"/>
    <col min="3078" max="3078" width="40.42578125" style="50" customWidth="1"/>
    <col min="3079" max="3079" width="10.85546875" style="50" customWidth="1"/>
    <col min="3080" max="3080" width="6.5703125" style="50" customWidth="1"/>
    <col min="3081" max="3081" width="32.28515625" style="50" customWidth="1"/>
    <col min="3082" max="3085" width="10" style="50" customWidth="1"/>
    <col min="3086" max="3086" width="26.140625" style="50" customWidth="1"/>
    <col min="3087" max="3087" width="12.28515625" style="50" customWidth="1"/>
    <col min="3088" max="3088" width="8.85546875" style="50"/>
    <col min="3089" max="3089" width="11.42578125" style="50" customWidth="1"/>
    <col min="3090" max="3092" width="8.85546875" style="50"/>
    <col min="3093" max="3093" width="32.140625" style="50" customWidth="1"/>
    <col min="3094" max="3094" width="8.85546875" style="50"/>
    <col min="3095" max="3095" width="42" style="50" customWidth="1"/>
    <col min="3096" max="3332" width="8.85546875" style="50"/>
    <col min="3333" max="3333" width="23.5703125" style="50" customWidth="1"/>
    <col min="3334" max="3334" width="40.42578125" style="50" customWidth="1"/>
    <col min="3335" max="3335" width="10.85546875" style="50" customWidth="1"/>
    <col min="3336" max="3336" width="6.5703125" style="50" customWidth="1"/>
    <col min="3337" max="3337" width="32.28515625" style="50" customWidth="1"/>
    <col min="3338" max="3341" width="10" style="50" customWidth="1"/>
    <col min="3342" max="3342" width="26.140625" style="50" customWidth="1"/>
    <col min="3343" max="3343" width="12.28515625" style="50" customWidth="1"/>
    <col min="3344" max="3344" width="8.85546875" style="50"/>
    <col min="3345" max="3345" width="11.42578125" style="50" customWidth="1"/>
    <col min="3346" max="3348" width="8.85546875" style="50"/>
    <col min="3349" max="3349" width="32.140625" style="50" customWidth="1"/>
    <col min="3350" max="3350" width="8.85546875" style="50"/>
    <col min="3351" max="3351" width="42" style="50" customWidth="1"/>
    <col min="3352" max="3588" width="8.85546875" style="50"/>
    <col min="3589" max="3589" width="23.5703125" style="50" customWidth="1"/>
    <col min="3590" max="3590" width="40.42578125" style="50" customWidth="1"/>
    <col min="3591" max="3591" width="10.85546875" style="50" customWidth="1"/>
    <col min="3592" max="3592" width="6.5703125" style="50" customWidth="1"/>
    <col min="3593" max="3593" width="32.28515625" style="50" customWidth="1"/>
    <col min="3594" max="3597" width="10" style="50" customWidth="1"/>
    <col min="3598" max="3598" width="26.140625" style="50" customWidth="1"/>
    <col min="3599" max="3599" width="12.28515625" style="50" customWidth="1"/>
    <col min="3600" max="3600" width="8.85546875" style="50"/>
    <col min="3601" max="3601" width="11.42578125" style="50" customWidth="1"/>
    <col min="3602" max="3604" width="8.85546875" style="50"/>
    <col min="3605" max="3605" width="32.140625" style="50" customWidth="1"/>
    <col min="3606" max="3606" width="8.85546875" style="50"/>
    <col min="3607" max="3607" width="42" style="50" customWidth="1"/>
    <col min="3608" max="3844" width="8.85546875" style="50"/>
    <col min="3845" max="3845" width="23.5703125" style="50" customWidth="1"/>
    <col min="3846" max="3846" width="40.42578125" style="50" customWidth="1"/>
    <col min="3847" max="3847" width="10.85546875" style="50" customWidth="1"/>
    <col min="3848" max="3848" width="6.5703125" style="50" customWidth="1"/>
    <col min="3849" max="3849" width="32.28515625" style="50" customWidth="1"/>
    <col min="3850" max="3853" width="10" style="50" customWidth="1"/>
    <col min="3854" max="3854" width="26.140625" style="50" customWidth="1"/>
    <col min="3855" max="3855" width="12.28515625" style="50" customWidth="1"/>
    <col min="3856" max="3856" width="8.85546875" style="50"/>
    <col min="3857" max="3857" width="11.42578125" style="50" customWidth="1"/>
    <col min="3858" max="3860" width="8.85546875" style="50"/>
    <col min="3861" max="3861" width="32.140625" style="50" customWidth="1"/>
    <col min="3862" max="3862" width="8.85546875" style="50"/>
    <col min="3863" max="3863" width="42" style="50" customWidth="1"/>
    <col min="3864" max="4100" width="8.85546875" style="50"/>
    <col min="4101" max="4101" width="23.5703125" style="50" customWidth="1"/>
    <col min="4102" max="4102" width="40.42578125" style="50" customWidth="1"/>
    <col min="4103" max="4103" width="10.85546875" style="50" customWidth="1"/>
    <col min="4104" max="4104" width="6.5703125" style="50" customWidth="1"/>
    <col min="4105" max="4105" width="32.28515625" style="50" customWidth="1"/>
    <col min="4106" max="4109" width="10" style="50" customWidth="1"/>
    <col min="4110" max="4110" width="26.140625" style="50" customWidth="1"/>
    <col min="4111" max="4111" width="12.28515625" style="50" customWidth="1"/>
    <col min="4112" max="4112" width="8.85546875" style="50"/>
    <col min="4113" max="4113" width="11.42578125" style="50" customWidth="1"/>
    <col min="4114" max="4116" width="8.85546875" style="50"/>
    <col min="4117" max="4117" width="32.140625" style="50" customWidth="1"/>
    <col min="4118" max="4118" width="8.85546875" style="50"/>
    <col min="4119" max="4119" width="42" style="50" customWidth="1"/>
    <col min="4120" max="4356" width="8.85546875" style="50"/>
    <col min="4357" max="4357" width="23.5703125" style="50" customWidth="1"/>
    <col min="4358" max="4358" width="40.42578125" style="50" customWidth="1"/>
    <col min="4359" max="4359" width="10.85546875" style="50" customWidth="1"/>
    <col min="4360" max="4360" width="6.5703125" style="50" customWidth="1"/>
    <col min="4361" max="4361" width="32.28515625" style="50" customWidth="1"/>
    <col min="4362" max="4365" width="10" style="50" customWidth="1"/>
    <col min="4366" max="4366" width="26.140625" style="50" customWidth="1"/>
    <col min="4367" max="4367" width="12.28515625" style="50" customWidth="1"/>
    <col min="4368" max="4368" width="8.85546875" style="50"/>
    <col min="4369" max="4369" width="11.42578125" style="50" customWidth="1"/>
    <col min="4370" max="4372" width="8.85546875" style="50"/>
    <col min="4373" max="4373" width="32.140625" style="50" customWidth="1"/>
    <col min="4374" max="4374" width="8.85546875" style="50"/>
    <col min="4375" max="4375" width="42" style="50" customWidth="1"/>
    <col min="4376" max="4612" width="8.85546875" style="50"/>
    <col min="4613" max="4613" width="23.5703125" style="50" customWidth="1"/>
    <col min="4614" max="4614" width="40.42578125" style="50" customWidth="1"/>
    <col min="4615" max="4615" width="10.85546875" style="50" customWidth="1"/>
    <col min="4616" max="4616" width="6.5703125" style="50" customWidth="1"/>
    <col min="4617" max="4617" width="32.28515625" style="50" customWidth="1"/>
    <col min="4618" max="4621" width="10" style="50" customWidth="1"/>
    <col min="4622" max="4622" width="26.140625" style="50" customWidth="1"/>
    <col min="4623" max="4623" width="12.28515625" style="50" customWidth="1"/>
    <col min="4624" max="4624" width="8.85546875" style="50"/>
    <col min="4625" max="4625" width="11.42578125" style="50" customWidth="1"/>
    <col min="4626" max="4628" width="8.85546875" style="50"/>
    <col min="4629" max="4629" width="32.140625" style="50" customWidth="1"/>
    <col min="4630" max="4630" width="8.85546875" style="50"/>
    <col min="4631" max="4631" width="42" style="50" customWidth="1"/>
    <col min="4632" max="4868" width="8.85546875" style="50"/>
    <col min="4869" max="4869" width="23.5703125" style="50" customWidth="1"/>
    <col min="4870" max="4870" width="40.42578125" style="50" customWidth="1"/>
    <col min="4871" max="4871" width="10.85546875" style="50" customWidth="1"/>
    <col min="4872" max="4872" width="6.5703125" style="50" customWidth="1"/>
    <col min="4873" max="4873" width="32.28515625" style="50" customWidth="1"/>
    <col min="4874" max="4877" width="10" style="50" customWidth="1"/>
    <col min="4878" max="4878" width="26.140625" style="50" customWidth="1"/>
    <col min="4879" max="4879" width="12.28515625" style="50" customWidth="1"/>
    <col min="4880" max="4880" width="8.85546875" style="50"/>
    <col min="4881" max="4881" width="11.42578125" style="50" customWidth="1"/>
    <col min="4882" max="4884" width="8.85546875" style="50"/>
    <col min="4885" max="4885" width="32.140625" style="50" customWidth="1"/>
    <col min="4886" max="4886" width="8.85546875" style="50"/>
    <col min="4887" max="4887" width="42" style="50" customWidth="1"/>
    <col min="4888" max="5124" width="8.85546875" style="50"/>
    <col min="5125" max="5125" width="23.5703125" style="50" customWidth="1"/>
    <col min="5126" max="5126" width="40.42578125" style="50" customWidth="1"/>
    <col min="5127" max="5127" width="10.85546875" style="50" customWidth="1"/>
    <col min="5128" max="5128" width="6.5703125" style="50" customWidth="1"/>
    <col min="5129" max="5129" width="32.28515625" style="50" customWidth="1"/>
    <col min="5130" max="5133" width="10" style="50" customWidth="1"/>
    <col min="5134" max="5134" width="26.140625" style="50" customWidth="1"/>
    <col min="5135" max="5135" width="12.28515625" style="50" customWidth="1"/>
    <col min="5136" max="5136" width="8.85546875" style="50"/>
    <col min="5137" max="5137" width="11.42578125" style="50" customWidth="1"/>
    <col min="5138" max="5140" width="8.85546875" style="50"/>
    <col min="5141" max="5141" width="32.140625" style="50" customWidth="1"/>
    <col min="5142" max="5142" width="8.85546875" style="50"/>
    <col min="5143" max="5143" width="42" style="50" customWidth="1"/>
    <col min="5144" max="5380" width="8.85546875" style="50"/>
    <col min="5381" max="5381" width="23.5703125" style="50" customWidth="1"/>
    <col min="5382" max="5382" width="40.42578125" style="50" customWidth="1"/>
    <col min="5383" max="5383" width="10.85546875" style="50" customWidth="1"/>
    <col min="5384" max="5384" width="6.5703125" style="50" customWidth="1"/>
    <col min="5385" max="5385" width="32.28515625" style="50" customWidth="1"/>
    <col min="5386" max="5389" width="10" style="50" customWidth="1"/>
    <col min="5390" max="5390" width="26.140625" style="50" customWidth="1"/>
    <col min="5391" max="5391" width="12.28515625" style="50" customWidth="1"/>
    <col min="5392" max="5392" width="8.85546875" style="50"/>
    <col min="5393" max="5393" width="11.42578125" style="50" customWidth="1"/>
    <col min="5394" max="5396" width="8.85546875" style="50"/>
    <col min="5397" max="5397" width="32.140625" style="50" customWidth="1"/>
    <col min="5398" max="5398" width="8.85546875" style="50"/>
    <col min="5399" max="5399" width="42" style="50" customWidth="1"/>
    <col min="5400" max="5636" width="8.85546875" style="50"/>
    <col min="5637" max="5637" width="23.5703125" style="50" customWidth="1"/>
    <col min="5638" max="5638" width="40.42578125" style="50" customWidth="1"/>
    <col min="5639" max="5639" width="10.85546875" style="50" customWidth="1"/>
    <col min="5640" max="5640" width="6.5703125" style="50" customWidth="1"/>
    <col min="5641" max="5641" width="32.28515625" style="50" customWidth="1"/>
    <col min="5642" max="5645" width="10" style="50" customWidth="1"/>
    <col min="5646" max="5646" width="26.140625" style="50" customWidth="1"/>
    <col min="5647" max="5647" width="12.28515625" style="50" customWidth="1"/>
    <col min="5648" max="5648" width="8.85546875" style="50"/>
    <col min="5649" max="5649" width="11.42578125" style="50" customWidth="1"/>
    <col min="5650" max="5652" width="8.85546875" style="50"/>
    <col min="5653" max="5653" width="32.140625" style="50" customWidth="1"/>
    <col min="5654" max="5654" width="8.85546875" style="50"/>
    <col min="5655" max="5655" width="42" style="50" customWidth="1"/>
    <col min="5656" max="5892" width="8.85546875" style="50"/>
    <col min="5893" max="5893" width="23.5703125" style="50" customWidth="1"/>
    <col min="5894" max="5894" width="40.42578125" style="50" customWidth="1"/>
    <col min="5895" max="5895" width="10.85546875" style="50" customWidth="1"/>
    <col min="5896" max="5896" width="6.5703125" style="50" customWidth="1"/>
    <col min="5897" max="5897" width="32.28515625" style="50" customWidth="1"/>
    <col min="5898" max="5901" width="10" style="50" customWidth="1"/>
    <col min="5902" max="5902" width="26.140625" style="50" customWidth="1"/>
    <col min="5903" max="5903" width="12.28515625" style="50" customWidth="1"/>
    <col min="5904" max="5904" width="8.85546875" style="50"/>
    <col min="5905" max="5905" width="11.42578125" style="50" customWidth="1"/>
    <col min="5906" max="5908" width="8.85546875" style="50"/>
    <col min="5909" max="5909" width="32.140625" style="50" customWidth="1"/>
    <col min="5910" max="5910" width="8.85546875" style="50"/>
    <col min="5911" max="5911" width="42" style="50" customWidth="1"/>
    <col min="5912" max="6148" width="8.85546875" style="50"/>
    <col min="6149" max="6149" width="23.5703125" style="50" customWidth="1"/>
    <col min="6150" max="6150" width="40.42578125" style="50" customWidth="1"/>
    <col min="6151" max="6151" width="10.85546875" style="50" customWidth="1"/>
    <col min="6152" max="6152" width="6.5703125" style="50" customWidth="1"/>
    <col min="6153" max="6153" width="32.28515625" style="50" customWidth="1"/>
    <col min="6154" max="6157" width="10" style="50" customWidth="1"/>
    <col min="6158" max="6158" width="26.140625" style="50" customWidth="1"/>
    <col min="6159" max="6159" width="12.28515625" style="50" customWidth="1"/>
    <col min="6160" max="6160" width="8.85546875" style="50"/>
    <col min="6161" max="6161" width="11.42578125" style="50" customWidth="1"/>
    <col min="6162" max="6164" width="8.85546875" style="50"/>
    <col min="6165" max="6165" width="32.140625" style="50" customWidth="1"/>
    <col min="6166" max="6166" width="8.85546875" style="50"/>
    <col min="6167" max="6167" width="42" style="50" customWidth="1"/>
    <col min="6168" max="6404" width="8.85546875" style="50"/>
    <col min="6405" max="6405" width="23.5703125" style="50" customWidth="1"/>
    <col min="6406" max="6406" width="40.42578125" style="50" customWidth="1"/>
    <col min="6407" max="6407" width="10.85546875" style="50" customWidth="1"/>
    <col min="6408" max="6408" width="6.5703125" style="50" customWidth="1"/>
    <col min="6409" max="6409" width="32.28515625" style="50" customWidth="1"/>
    <col min="6410" max="6413" width="10" style="50" customWidth="1"/>
    <col min="6414" max="6414" width="26.140625" style="50" customWidth="1"/>
    <col min="6415" max="6415" width="12.28515625" style="50" customWidth="1"/>
    <col min="6416" max="6416" width="8.85546875" style="50"/>
    <col min="6417" max="6417" width="11.42578125" style="50" customWidth="1"/>
    <col min="6418" max="6420" width="8.85546875" style="50"/>
    <col min="6421" max="6421" width="32.140625" style="50" customWidth="1"/>
    <col min="6422" max="6422" width="8.85546875" style="50"/>
    <col min="6423" max="6423" width="42" style="50" customWidth="1"/>
    <col min="6424" max="6660" width="8.85546875" style="50"/>
    <col min="6661" max="6661" width="23.5703125" style="50" customWidth="1"/>
    <col min="6662" max="6662" width="40.42578125" style="50" customWidth="1"/>
    <col min="6663" max="6663" width="10.85546875" style="50" customWidth="1"/>
    <col min="6664" max="6664" width="6.5703125" style="50" customWidth="1"/>
    <col min="6665" max="6665" width="32.28515625" style="50" customWidth="1"/>
    <col min="6666" max="6669" width="10" style="50" customWidth="1"/>
    <col min="6670" max="6670" width="26.140625" style="50" customWidth="1"/>
    <col min="6671" max="6671" width="12.28515625" style="50" customWidth="1"/>
    <col min="6672" max="6672" width="8.85546875" style="50"/>
    <col min="6673" max="6673" width="11.42578125" style="50" customWidth="1"/>
    <col min="6674" max="6676" width="8.85546875" style="50"/>
    <col min="6677" max="6677" width="32.140625" style="50" customWidth="1"/>
    <col min="6678" max="6678" width="8.85546875" style="50"/>
    <col min="6679" max="6679" width="42" style="50" customWidth="1"/>
    <col min="6680" max="6916" width="8.85546875" style="50"/>
    <col min="6917" max="6917" width="23.5703125" style="50" customWidth="1"/>
    <col min="6918" max="6918" width="40.42578125" style="50" customWidth="1"/>
    <col min="6919" max="6919" width="10.85546875" style="50" customWidth="1"/>
    <col min="6920" max="6920" width="6.5703125" style="50" customWidth="1"/>
    <col min="6921" max="6921" width="32.28515625" style="50" customWidth="1"/>
    <col min="6922" max="6925" width="10" style="50" customWidth="1"/>
    <col min="6926" max="6926" width="26.140625" style="50" customWidth="1"/>
    <col min="6927" max="6927" width="12.28515625" style="50" customWidth="1"/>
    <col min="6928" max="6928" width="8.85546875" style="50"/>
    <col min="6929" max="6929" width="11.42578125" style="50" customWidth="1"/>
    <col min="6930" max="6932" width="8.85546875" style="50"/>
    <col min="6933" max="6933" width="32.140625" style="50" customWidth="1"/>
    <col min="6934" max="6934" width="8.85546875" style="50"/>
    <col min="6935" max="6935" width="42" style="50" customWidth="1"/>
    <col min="6936" max="7172" width="8.85546875" style="50"/>
    <col min="7173" max="7173" width="23.5703125" style="50" customWidth="1"/>
    <col min="7174" max="7174" width="40.42578125" style="50" customWidth="1"/>
    <col min="7175" max="7175" width="10.85546875" style="50" customWidth="1"/>
    <col min="7176" max="7176" width="6.5703125" style="50" customWidth="1"/>
    <col min="7177" max="7177" width="32.28515625" style="50" customWidth="1"/>
    <col min="7178" max="7181" width="10" style="50" customWidth="1"/>
    <col min="7182" max="7182" width="26.140625" style="50" customWidth="1"/>
    <col min="7183" max="7183" width="12.28515625" style="50" customWidth="1"/>
    <col min="7184" max="7184" width="8.85546875" style="50"/>
    <col min="7185" max="7185" width="11.42578125" style="50" customWidth="1"/>
    <col min="7186" max="7188" width="8.85546875" style="50"/>
    <col min="7189" max="7189" width="32.140625" style="50" customWidth="1"/>
    <col min="7190" max="7190" width="8.85546875" style="50"/>
    <col min="7191" max="7191" width="42" style="50" customWidth="1"/>
    <col min="7192" max="7428" width="8.85546875" style="50"/>
    <col min="7429" max="7429" width="23.5703125" style="50" customWidth="1"/>
    <col min="7430" max="7430" width="40.42578125" style="50" customWidth="1"/>
    <col min="7431" max="7431" width="10.85546875" style="50" customWidth="1"/>
    <col min="7432" max="7432" width="6.5703125" style="50" customWidth="1"/>
    <col min="7433" max="7433" width="32.28515625" style="50" customWidth="1"/>
    <col min="7434" max="7437" width="10" style="50" customWidth="1"/>
    <col min="7438" max="7438" width="26.140625" style="50" customWidth="1"/>
    <col min="7439" max="7439" width="12.28515625" style="50" customWidth="1"/>
    <col min="7440" max="7440" width="8.85546875" style="50"/>
    <col min="7441" max="7441" width="11.42578125" style="50" customWidth="1"/>
    <col min="7442" max="7444" width="8.85546875" style="50"/>
    <col min="7445" max="7445" width="32.140625" style="50" customWidth="1"/>
    <col min="7446" max="7446" width="8.85546875" style="50"/>
    <col min="7447" max="7447" width="42" style="50" customWidth="1"/>
    <col min="7448" max="7684" width="8.85546875" style="50"/>
    <col min="7685" max="7685" width="23.5703125" style="50" customWidth="1"/>
    <col min="7686" max="7686" width="40.42578125" style="50" customWidth="1"/>
    <col min="7687" max="7687" width="10.85546875" style="50" customWidth="1"/>
    <col min="7688" max="7688" width="6.5703125" style="50" customWidth="1"/>
    <col min="7689" max="7689" width="32.28515625" style="50" customWidth="1"/>
    <col min="7690" max="7693" width="10" style="50" customWidth="1"/>
    <col min="7694" max="7694" width="26.140625" style="50" customWidth="1"/>
    <col min="7695" max="7695" width="12.28515625" style="50" customWidth="1"/>
    <col min="7696" max="7696" width="8.85546875" style="50"/>
    <col min="7697" max="7697" width="11.42578125" style="50" customWidth="1"/>
    <col min="7698" max="7700" width="8.85546875" style="50"/>
    <col min="7701" max="7701" width="32.140625" style="50" customWidth="1"/>
    <col min="7702" max="7702" width="8.85546875" style="50"/>
    <col min="7703" max="7703" width="42" style="50" customWidth="1"/>
    <col min="7704" max="7940" width="8.85546875" style="50"/>
    <col min="7941" max="7941" width="23.5703125" style="50" customWidth="1"/>
    <col min="7942" max="7942" width="40.42578125" style="50" customWidth="1"/>
    <col min="7943" max="7943" width="10.85546875" style="50" customWidth="1"/>
    <col min="7944" max="7944" width="6.5703125" style="50" customWidth="1"/>
    <col min="7945" max="7945" width="32.28515625" style="50" customWidth="1"/>
    <col min="7946" max="7949" width="10" style="50" customWidth="1"/>
    <col min="7950" max="7950" width="26.140625" style="50" customWidth="1"/>
    <col min="7951" max="7951" width="12.28515625" style="50" customWidth="1"/>
    <col min="7952" max="7952" width="8.85546875" style="50"/>
    <col min="7953" max="7953" width="11.42578125" style="50" customWidth="1"/>
    <col min="7954" max="7956" width="8.85546875" style="50"/>
    <col min="7957" max="7957" width="32.140625" style="50" customWidth="1"/>
    <col min="7958" max="7958" width="8.85546875" style="50"/>
    <col min="7959" max="7959" width="42" style="50" customWidth="1"/>
    <col min="7960" max="8196" width="8.85546875" style="50"/>
    <col min="8197" max="8197" width="23.5703125" style="50" customWidth="1"/>
    <col min="8198" max="8198" width="40.42578125" style="50" customWidth="1"/>
    <col min="8199" max="8199" width="10.85546875" style="50" customWidth="1"/>
    <col min="8200" max="8200" width="6.5703125" style="50" customWidth="1"/>
    <col min="8201" max="8201" width="32.28515625" style="50" customWidth="1"/>
    <col min="8202" max="8205" width="10" style="50" customWidth="1"/>
    <col min="8206" max="8206" width="26.140625" style="50" customWidth="1"/>
    <col min="8207" max="8207" width="12.28515625" style="50" customWidth="1"/>
    <col min="8208" max="8208" width="8.85546875" style="50"/>
    <col min="8209" max="8209" width="11.42578125" style="50" customWidth="1"/>
    <col min="8210" max="8212" width="8.85546875" style="50"/>
    <col min="8213" max="8213" width="32.140625" style="50" customWidth="1"/>
    <col min="8214" max="8214" width="8.85546875" style="50"/>
    <col min="8215" max="8215" width="42" style="50" customWidth="1"/>
    <col min="8216" max="8452" width="8.85546875" style="50"/>
    <col min="8453" max="8453" width="23.5703125" style="50" customWidth="1"/>
    <col min="8454" max="8454" width="40.42578125" style="50" customWidth="1"/>
    <col min="8455" max="8455" width="10.85546875" style="50" customWidth="1"/>
    <col min="8456" max="8456" width="6.5703125" style="50" customWidth="1"/>
    <col min="8457" max="8457" width="32.28515625" style="50" customWidth="1"/>
    <col min="8458" max="8461" width="10" style="50" customWidth="1"/>
    <col min="8462" max="8462" width="26.140625" style="50" customWidth="1"/>
    <col min="8463" max="8463" width="12.28515625" style="50" customWidth="1"/>
    <col min="8464" max="8464" width="8.85546875" style="50"/>
    <col min="8465" max="8465" width="11.42578125" style="50" customWidth="1"/>
    <col min="8466" max="8468" width="8.85546875" style="50"/>
    <col min="8469" max="8469" width="32.140625" style="50" customWidth="1"/>
    <col min="8470" max="8470" width="8.85546875" style="50"/>
    <col min="8471" max="8471" width="42" style="50" customWidth="1"/>
    <col min="8472" max="8708" width="8.85546875" style="50"/>
    <col min="8709" max="8709" width="23.5703125" style="50" customWidth="1"/>
    <col min="8710" max="8710" width="40.42578125" style="50" customWidth="1"/>
    <col min="8711" max="8711" width="10.85546875" style="50" customWidth="1"/>
    <col min="8712" max="8712" width="6.5703125" style="50" customWidth="1"/>
    <col min="8713" max="8713" width="32.28515625" style="50" customWidth="1"/>
    <col min="8714" max="8717" width="10" style="50" customWidth="1"/>
    <col min="8718" max="8718" width="26.140625" style="50" customWidth="1"/>
    <col min="8719" max="8719" width="12.28515625" style="50" customWidth="1"/>
    <col min="8720" max="8720" width="8.85546875" style="50"/>
    <col min="8721" max="8721" width="11.42578125" style="50" customWidth="1"/>
    <col min="8722" max="8724" width="8.85546875" style="50"/>
    <col min="8725" max="8725" width="32.140625" style="50" customWidth="1"/>
    <col min="8726" max="8726" width="8.85546875" style="50"/>
    <col min="8727" max="8727" width="42" style="50" customWidth="1"/>
    <col min="8728" max="8964" width="8.85546875" style="50"/>
    <col min="8965" max="8965" width="23.5703125" style="50" customWidth="1"/>
    <col min="8966" max="8966" width="40.42578125" style="50" customWidth="1"/>
    <col min="8967" max="8967" width="10.85546875" style="50" customWidth="1"/>
    <col min="8968" max="8968" width="6.5703125" style="50" customWidth="1"/>
    <col min="8969" max="8969" width="32.28515625" style="50" customWidth="1"/>
    <col min="8970" max="8973" width="10" style="50" customWidth="1"/>
    <col min="8974" max="8974" width="26.140625" style="50" customWidth="1"/>
    <col min="8975" max="8975" width="12.28515625" style="50" customWidth="1"/>
    <col min="8976" max="8976" width="8.85546875" style="50"/>
    <col min="8977" max="8977" width="11.42578125" style="50" customWidth="1"/>
    <col min="8978" max="8980" width="8.85546875" style="50"/>
    <col min="8981" max="8981" width="32.140625" style="50" customWidth="1"/>
    <col min="8982" max="8982" width="8.85546875" style="50"/>
    <col min="8983" max="8983" width="42" style="50" customWidth="1"/>
    <col min="8984" max="9220" width="8.85546875" style="50"/>
    <col min="9221" max="9221" width="23.5703125" style="50" customWidth="1"/>
    <col min="9222" max="9222" width="40.42578125" style="50" customWidth="1"/>
    <col min="9223" max="9223" width="10.85546875" style="50" customWidth="1"/>
    <col min="9224" max="9224" width="6.5703125" style="50" customWidth="1"/>
    <col min="9225" max="9225" width="32.28515625" style="50" customWidth="1"/>
    <col min="9226" max="9229" width="10" style="50" customWidth="1"/>
    <col min="9230" max="9230" width="26.140625" style="50" customWidth="1"/>
    <col min="9231" max="9231" width="12.28515625" style="50" customWidth="1"/>
    <col min="9232" max="9232" width="8.85546875" style="50"/>
    <col min="9233" max="9233" width="11.42578125" style="50" customWidth="1"/>
    <col min="9234" max="9236" width="8.85546875" style="50"/>
    <col min="9237" max="9237" width="32.140625" style="50" customWidth="1"/>
    <col min="9238" max="9238" width="8.85546875" style="50"/>
    <col min="9239" max="9239" width="42" style="50" customWidth="1"/>
    <col min="9240" max="9476" width="8.85546875" style="50"/>
    <col min="9477" max="9477" width="23.5703125" style="50" customWidth="1"/>
    <col min="9478" max="9478" width="40.42578125" style="50" customWidth="1"/>
    <col min="9479" max="9479" width="10.85546875" style="50" customWidth="1"/>
    <col min="9480" max="9480" width="6.5703125" style="50" customWidth="1"/>
    <col min="9481" max="9481" width="32.28515625" style="50" customWidth="1"/>
    <col min="9482" max="9485" width="10" style="50" customWidth="1"/>
    <col min="9486" max="9486" width="26.140625" style="50" customWidth="1"/>
    <col min="9487" max="9487" width="12.28515625" style="50" customWidth="1"/>
    <col min="9488" max="9488" width="8.85546875" style="50"/>
    <col min="9489" max="9489" width="11.42578125" style="50" customWidth="1"/>
    <col min="9490" max="9492" width="8.85546875" style="50"/>
    <col min="9493" max="9493" width="32.140625" style="50" customWidth="1"/>
    <col min="9494" max="9494" width="8.85546875" style="50"/>
    <col min="9495" max="9495" width="42" style="50" customWidth="1"/>
    <col min="9496" max="9732" width="8.85546875" style="50"/>
    <col min="9733" max="9733" width="23.5703125" style="50" customWidth="1"/>
    <col min="9734" max="9734" width="40.42578125" style="50" customWidth="1"/>
    <col min="9735" max="9735" width="10.85546875" style="50" customWidth="1"/>
    <col min="9736" max="9736" width="6.5703125" style="50" customWidth="1"/>
    <col min="9737" max="9737" width="32.28515625" style="50" customWidth="1"/>
    <col min="9738" max="9741" width="10" style="50" customWidth="1"/>
    <col min="9742" max="9742" width="26.140625" style="50" customWidth="1"/>
    <col min="9743" max="9743" width="12.28515625" style="50" customWidth="1"/>
    <col min="9744" max="9744" width="8.85546875" style="50"/>
    <col min="9745" max="9745" width="11.42578125" style="50" customWidth="1"/>
    <col min="9746" max="9748" width="8.85546875" style="50"/>
    <col min="9749" max="9749" width="32.140625" style="50" customWidth="1"/>
    <col min="9750" max="9750" width="8.85546875" style="50"/>
    <col min="9751" max="9751" width="42" style="50" customWidth="1"/>
    <col min="9752" max="9988" width="8.85546875" style="50"/>
    <col min="9989" max="9989" width="23.5703125" style="50" customWidth="1"/>
    <col min="9990" max="9990" width="40.42578125" style="50" customWidth="1"/>
    <col min="9991" max="9991" width="10.85546875" style="50" customWidth="1"/>
    <col min="9992" max="9992" width="6.5703125" style="50" customWidth="1"/>
    <col min="9993" max="9993" width="32.28515625" style="50" customWidth="1"/>
    <col min="9994" max="9997" width="10" style="50" customWidth="1"/>
    <col min="9998" max="9998" width="26.140625" style="50" customWidth="1"/>
    <col min="9999" max="9999" width="12.28515625" style="50" customWidth="1"/>
    <col min="10000" max="10000" width="8.85546875" style="50"/>
    <col min="10001" max="10001" width="11.42578125" style="50" customWidth="1"/>
    <col min="10002" max="10004" width="8.85546875" style="50"/>
    <col min="10005" max="10005" width="32.140625" style="50" customWidth="1"/>
    <col min="10006" max="10006" width="8.85546875" style="50"/>
    <col min="10007" max="10007" width="42" style="50" customWidth="1"/>
    <col min="10008" max="10244" width="8.85546875" style="50"/>
    <col min="10245" max="10245" width="23.5703125" style="50" customWidth="1"/>
    <col min="10246" max="10246" width="40.42578125" style="50" customWidth="1"/>
    <col min="10247" max="10247" width="10.85546875" style="50" customWidth="1"/>
    <col min="10248" max="10248" width="6.5703125" style="50" customWidth="1"/>
    <col min="10249" max="10249" width="32.28515625" style="50" customWidth="1"/>
    <col min="10250" max="10253" width="10" style="50" customWidth="1"/>
    <col min="10254" max="10254" width="26.140625" style="50" customWidth="1"/>
    <col min="10255" max="10255" width="12.28515625" style="50" customWidth="1"/>
    <col min="10256" max="10256" width="8.85546875" style="50"/>
    <col min="10257" max="10257" width="11.42578125" style="50" customWidth="1"/>
    <col min="10258" max="10260" width="8.85546875" style="50"/>
    <col min="10261" max="10261" width="32.140625" style="50" customWidth="1"/>
    <col min="10262" max="10262" width="8.85546875" style="50"/>
    <col min="10263" max="10263" width="42" style="50" customWidth="1"/>
    <col min="10264" max="10500" width="8.85546875" style="50"/>
    <col min="10501" max="10501" width="23.5703125" style="50" customWidth="1"/>
    <col min="10502" max="10502" width="40.42578125" style="50" customWidth="1"/>
    <col min="10503" max="10503" width="10.85546875" style="50" customWidth="1"/>
    <col min="10504" max="10504" width="6.5703125" style="50" customWidth="1"/>
    <col min="10505" max="10505" width="32.28515625" style="50" customWidth="1"/>
    <col min="10506" max="10509" width="10" style="50" customWidth="1"/>
    <col min="10510" max="10510" width="26.140625" style="50" customWidth="1"/>
    <col min="10511" max="10511" width="12.28515625" style="50" customWidth="1"/>
    <col min="10512" max="10512" width="8.85546875" style="50"/>
    <col min="10513" max="10513" width="11.42578125" style="50" customWidth="1"/>
    <col min="10514" max="10516" width="8.85546875" style="50"/>
    <col min="10517" max="10517" width="32.140625" style="50" customWidth="1"/>
    <col min="10518" max="10518" width="8.85546875" style="50"/>
    <col min="10519" max="10519" width="42" style="50" customWidth="1"/>
    <col min="10520" max="10756" width="8.85546875" style="50"/>
    <col min="10757" max="10757" width="23.5703125" style="50" customWidth="1"/>
    <col min="10758" max="10758" width="40.42578125" style="50" customWidth="1"/>
    <col min="10759" max="10759" width="10.85546875" style="50" customWidth="1"/>
    <col min="10760" max="10760" width="6.5703125" style="50" customWidth="1"/>
    <col min="10761" max="10761" width="32.28515625" style="50" customWidth="1"/>
    <col min="10762" max="10765" width="10" style="50" customWidth="1"/>
    <col min="10766" max="10766" width="26.140625" style="50" customWidth="1"/>
    <col min="10767" max="10767" width="12.28515625" style="50" customWidth="1"/>
    <col min="10768" max="10768" width="8.85546875" style="50"/>
    <col min="10769" max="10769" width="11.42578125" style="50" customWidth="1"/>
    <col min="10770" max="10772" width="8.85546875" style="50"/>
    <col min="10773" max="10773" width="32.140625" style="50" customWidth="1"/>
    <col min="10774" max="10774" width="8.85546875" style="50"/>
    <col min="10775" max="10775" width="42" style="50" customWidth="1"/>
    <col min="10776" max="11012" width="8.85546875" style="50"/>
    <col min="11013" max="11013" width="23.5703125" style="50" customWidth="1"/>
    <col min="11014" max="11014" width="40.42578125" style="50" customWidth="1"/>
    <col min="11015" max="11015" width="10.85546875" style="50" customWidth="1"/>
    <col min="11016" max="11016" width="6.5703125" style="50" customWidth="1"/>
    <col min="11017" max="11017" width="32.28515625" style="50" customWidth="1"/>
    <col min="11018" max="11021" width="10" style="50" customWidth="1"/>
    <col min="11022" max="11022" width="26.140625" style="50" customWidth="1"/>
    <col min="11023" max="11023" width="12.28515625" style="50" customWidth="1"/>
    <col min="11024" max="11024" width="8.85546875" style="50"/>
    <col min="11025" max="11025" width="11.42578125" style="50" customWidth="1"/>
    <col min="11026" max="11028" width="8.85546875" style="50"/>
    <col min="11029" max="11029" width="32.140625" style="50" customWidth="1"/>
    <col min="11030" max="11030" width="8.85546875" style="50"/>
    <col min="11031" max="11031" width="42" style="50" customWidth="1"/>
    <col min="11032" max="11268" width="8.85546875" style="50"/>
    <col min="11269" max="11269" width="23.5703125" style="50" customWidth="1"/>
    <col min="11270" max="11270" width="40.42578125" style="50" customWidth="1"/>
    <col min="11271" max="11271" width="10.85546875" style="50" customWidth="1"/>
    <col min="11272" max="11272" width="6.5703125" style="50" customWidth="1"/>
    <col min="11273" max="11273" width="32.28515625" style="50" customWidth="1"/>
    <col min="11274" max="11277" width="10" style="50" customWidth="1"/>
    <col min="11278" max="11278" width="26.140625" style="50" customWidth="1"/>
    <col min="11279" max="11279" width="12.28515625" style="50" customWidth="1"/>
    <col min="11280" max="11280" width="8.85546875" style="50"/>
    <col min="11281" max="11281" width="11.42578125" style="50" customWidth="1"/>
    <col min="11282" max="11284" width="8.85546875" style="50"/>
    <col min="11285" max="11285" width="32.140625" style="50" customWidth="1"/>
    <col min="11286" max="11286" width="8.85546875" style="50"/>
    <col min="11287" max="11287" width="42" style="50" customWidth="1"/>
    <col min="11288" max="11524" width="8.85546875" style="50"/>
    <col min="11525" max="11525" width="23.5703125" style="50" customWidth="1"/>
    <col min="11526" max="11526" width="40.42578125" style="50" customWidth="1"/>
    <col min="11527" max="11527" width="10.85546875" style="50" customWidth="1"/>
    <col min="11528" max="11528" width="6.5703125" style="50" customWidth="1"/>
    <col min="11529" max="11529" width="32.28515625" style="50" customWidth="1"/>
    <col min="11530" max="11533" width="10" style="50" customWidth="1"/>
    <col min="11534" max="11534" width="26.140625" style="50" customWidth="1"/>
    <col min="11535" max="11535" width="12.28515625" style="50" customWidth="1"/>
    <col min="11536" max="11536" width="8.85546875" style="50"/>
    <col min="11537" max="11537" width="11.42578125" style="50" customWidth="1"/>
    <col min="11538" max="11540" width="8.85546875" style="50"/>
    <col min="11541" max="11541" width="32.140625" style="50" customWidth="1"/>
    <col min="11542" max="11542" width="8.85546875" style="50"/>
    <col min="11543" max="11543" width="42" style="50" customWidth="1"/>
    <col min="11544" max="11780" width="8.85546875" style="50"/>
    <col min="11781" max="11781" width="23.5703125" style="50" customWidth="1"/>
    <col min="11782" max="11782" width="40.42578125" style="50" customWidth="1"/>
    <col min="11783" max="11783" width="10.85546875" style="50" customWidth="1"/>
    <col min="11784" max="11784" width="6.5703125" style="50" customWidth="1"/>
    <col min="11785" max="11785" width="32.28515625" style="50" customWidth="1"/>
    <col min="11786" max="11789" width="10" style="50" customWidth="1"/>
    <col min="11790" max="11790" width="26.140625" style="50" customWidth="1"/>
    <col min="11791" max="11791" width="12.28515625" style="50" customWidth="1"/>
    <col min="11792" max="11792" width="8.85546875" style="50"/>
    <col min="11793" max="11793" width="11.42578125" style="50" customWidth="1"/>
    <col min="11794" max="11796" width="8.85546875" style="50"/>
    <col min="11797" max="11797" width="32.140625" style="50" customWidth="1"/>
    <col min="11798" max="11798" width="8.85546875" style="50"/>
    <col min="11799" max="11799" width="42" style="50" customWidth="1"/>
    <col min="11800" max="12036" width="8.85546875" style="50"/>
    <col min="12037" max="12037" width="23.5703125" style="50" customWidth="1"/>
    <col min="12038" max="12038" width="40.42578125" style="50" customWidth="1"/>
    <col min="12039" max="12039" width="10.85546875" style="50" customWidth="1"/>
    <col min="12040" max="12040" width="6.5703125" style="50" customWidth="1"/>
    <col min="12041" max="12041" width="32.28515625" style="50" customWidth="1"/>
    <col min="12042" max="12045" width="10" style="50" customWidth="1"/>
    <col min="12046" max="12046" width="26.140625" style="50" customWidth="1"/>
    <col min="12047" max="12047" width="12.28515625" style="50" customWidth="1"/>
    <col min="12048" max="12048" width="8.85546875" style="50"/>
    <col min="12049" max="12049" width="11.42578125" style="50" customWidth="1"/>
    <col min="12050" max="12052" width="8.85546875" style="50"/>
    <col min="12053" max="12053" width="32.140625" style="50" customWidth="1"/>
    <col min="12054" max="12054" width="8.85546875" style="50"/>
    <col min="12055" max="12055" width="42" style="50" customWidth="1"/>
    <col min="12056" max="12292" width="8.85546875" style="50"/>
    <col min="12293" max="12293" width="23.5703125" style="50" customWidth="1"/>
    <col min="12294" max="12294" width="40.42578125" style="50" customWidth="1"/>
    <col min="12295" max="12295" width="10.85546875" style="50" customWidth="1"/>
    <col min="12296" max="12296" width="6.5703125" style="50" customWidth="1"/>
    <col min="12297" max="12297" width="32.28515625" style="50" customWidth="1"/>
    <col min="12298" max="12301" width="10" style="50" customWidth="1"/>
    <col min="12302" max="12302" width="26.140625" style="50" customWidth="1"/>
    <col min="12303" max="12303" width="12.28515625" style="50" customWidth="1"/>
    <col min="12304" max="12304" width="8.85546875" style="50"/>
    <col min="12305" max="12305" width="11.42578125" style="50" customWidth="1"/>
    <col min="12306" max="12308" width="8.85546875" style="50"/>
    <col min="12309" max="12309" width="32.140625" style="50" customWidth="1"/>
    <col min="12310" max="12310" width="8.85546875" style="50"/>
    <col min="12311" max="12311" width="42" style="50" customWidth="1"/>
    <col min="12312" max="12548" width="8.85546875" style="50"/>
    <col min="12549" max="12549" width="23.5703125" style="50" customWidth="1"/>
    <col min="12550" max="12550" width="40.42578125" style="50" customWidth="1"/>
    <col min="12551" max="12551" width="10.85546875" style="50" customWidth="1"/>
    <col min="12552" max="12552" width="6.5703125" style="50" customWidth="1"/>
    <col min="12553" max="12553" width="32.28515625" style="50" customWidth="1"/>
    <col min="12554" max="12557" width="10" style="50" customWidth="1"/>
    <col min="12558" max="12558" width="26.140625" style="50" customWidth="1"/>
    <col min="12559" max="12559" width="12.28515625" style="50" customWidth="1"/>
    <col min="12560" max="12560" width="8.85546875" style="50"/>
    <col min="12561" max="12561" width="11.42578125" style="50" customWidth="1"/>
    <col min="12562" max="12564" width="8.85546875" style="50"/>
    <col min="12565" max="12565" width="32.140625" style="50" customWidth="1"/>
    <col min="12566" max="12566" width="8.85546875" style="50"/>
    <col min="12567" max="12567" width="42" style="50" customWidth="1"/>
    <col min="12568" max="12804" width="8.85546875" style="50"/>
    <col min="12805" max="12805" width="23.5703125" style="50" customWidth="1"/>
    <col min="12806" max="12806" width="40.42578125" style="50" customWidth="1"/>
    <col min="12807" max="12807" width="10.85546875" style="50" customWidth="1"/>
    <col min="12808" max="12808" width="6.5703125" style="50" customWidth="1"/>
    <col min="12809" max="12809" width="32.28515625" style="50" customWidth="1"/>
    <col min="12810" max="12813" width="10" style="50" customWidth="1"/>
    <col min="12814" max="12814" width="26.140625" style="50" customWidth="1"/>
    <col min="12815" max="12815" width="12.28515625" style="50" customWidth="1"/>
    <col min="12816" max="12816" width="8.85546875" style="50"/>
    <col min="12817" max="12817" width="11.42578125" style="50" customWidth="1"/>
    <col min="12818" max="12820" width="8.85546875" style="50"/>
    <col min="12821" max="12821" width="32.140625" style="50" customWidth="1"/>
    <col min="12822" max="12822" width="8.85546875" style="50"/>
    <col min="12823" max="12823" width="42" style="50" customWidth="1"/>
    <col min="12824" max="13060" width="8.85546875" style="50"/>
    <col min="13061" max="13061" width="23.5703125" style="50" customWidth="1"/>
    <col min="13062" max="13062" width="40.42578125" style="50" customWidth="1"/>
    <col min="13063" max="13063" width="10.85546875" style="50" customWidth="1"/>
    <col min="13064" max="13064" width="6.5703125" style="50" customWidth="1"/>
    <col min="13065" max="13065" width="32.28515625" style="50" customWidth="1"/>
    <col min="13066" max="13069" width="10" style="50" customWidth="1"/>
    <col min="13070" max="13070" width="26.140625" style="50" customWidth="1"/>
    <col min="13071" max="13071" width="12.28515625" style="50" customWidth="1"/>
    <col min="13072" max="13072" width="8.85546875" style="50"/>
    <col min="13073" max="13073" width="11.42578125" style="50" customWidth="1"/>
    <col min="13074" max="13076" width="8.85546875" style="50"/>
    <col min="13077" max="13077" width="32.140625" style="50" customWidth="1"/>
    <col min="13078" max="13078" width="8.85546875" style="50"/>
    <col min="13079" max="13079" width="42" style="50" customWidth="1"/>
    <col min="13080" max="13316" width="8.85546875" style="50"/>
    <col min="13317" max="13317" width="23.5703125" style="50" customWidth="1"/>
    <col min="13318" max="13318" width="40.42578125" style="50" customWidth="1"/>
    <col min="13319" max="13319" width="10.85546875" style="50" customWidth="1"/>
    <col min="13320" max="13320" width="6.5703125" style="50" customWidth="1"/>
    <col min="13321" max="13321" width="32.28515625" style="50" customWidth="1"/>
    <col min="13322" max="13325" width="10" style="50" customWidth="1"/>
    <col min="13326" max="13326" width="26.140625" style="50" customWidth="1"/>
    <col min="13327" max="13327" width="12.28515625" style="50" customWidth="1"/>
    <col min="13328" max="13328" width="8.85546875" style="50"/>
    <col min="13329" max="13329" width="11.42578125" style="50" customWidth="1"/>
    <col min="13330" max="13332" width="8.85546875" style="50"/>
    <col min="13333" max="13333" width="32.140625" style="50" customWidth="1"/>
    <col min="13334" max="13334" width="8.85546875" style="50"/>
    <col min="13335" max="13335" width="42" style="50" customWidth="1"/>
    <col min="13336" max="13572" width="8.85546875" style="50"/>
    <col min="13573" max="13573" width="23.5703125" style="50" customWidth="1"/>
    <col min="13574" max="13574" width="40.42578125" style="50" customWidth="1"/>
    <col min="13575" max="13575" width="10.85546875" style="50" customWidth="1"/>
    <col min="13576" max="13576" width="6.5703125" style="50" customWidth="1"/>
    <col min="13577" max="13577" width="32.28515625" style="50" customWidth="1"/>
    <col min="13578" max="13581" width="10" style="50" customWidth="1"/>
    <col min="13582" max="13582" width="26.140625" style="50" customWidth="1"/>
    <col min="13583" max="13583" width="12.28515625" style="50" customWidth="1"/>
    <col min="13584" max="13584" width="8.85546875" style="50"/>
    <col min="13585" max="13585" width="11.42578125" style="50" customWidth="1"/>
    <col min="13586" max="13588" width="8.85546875" style="50"/>
    <col min="13589" max="13589" width="32.140625" style="50" customWidth="1"/>
    <col min="13590" max="13590" width="8.85546875" style="50"/>
    <col min="13591" max="13591" width="42" style="50" customWidth="1"/>
    <col min="13592" max="13828" width="8.85546875" style="50"/>
    <col min="13829" max="13829" width="23.5703125" style="50" customWidth="1"/>
    <col min="13830" max="13830" width="40.42578125" style="50" customWidth="1"/>
    <col min="13831" max="13831" width="10.85546875" style="50" customWidth="1"/>
    <col min="13832" max="13832" width="6.5703125" style="50" customWidth="1"/>
    <col min="13833" max="13833" width="32.28515625" style="50" customWidth="1"/>
    <col min="13834" max="13837" width="10" style="50" customWidth="1"/>
    <col min="13838" max="13838" width="26.140625" style="50" customWidth="1"/>
    <col min="13839" max="13839" width="12.28515625" style="50" customWidth="1"/>
    <col min="13840" max="13840" width="8.85546875" style="50"/>
    <col min="13841" max="13841" width="11.42578125" style="50" customWidth="1"/>
    <col min="13842" max="13844" width="8.85546875" style="50"/>
    <col min="13845" max="13845" width="32.140625" style="50" customWidth="1"/>
    <col min="13846" max="13846" width="8.85546875" style="50"/>
    <col min="13847" max="13847" width="42" style="50" customWidth="1"/>
    <col min="13848" max="14084" width="8.85546875" style="50"/>
    <col min="14085" max="14085" width="23.5703125" style="50" customWidth="1"/>
    <col min="14086" max="14086" width="40.42578125" style="50" customWidth="1"/>
    <col min="14087" max="14087" width="10.85546875" style="50" customWidth="1"/>
    <col min="14088" max="14088" width="6.5703125" style="50" customWidth="1"/>
    <col min="14089" max="14089" width="32.28515625" style="50" customWidth="1"/>
    <col min="14090" max="14093" width="10" style="50" customWidth="1"/>
    <col min="14094" max="14094" width="26.140625" style="50" customWidth="1"/>
    <col min="14095" max="14095" width="12.28515625" style="50" customWidth="1"/>
    <col min="14096" max="14096" width="8.85546875" style="50"/>
    <col min="14097" max="14097" width="11.42578125" style="50" customWidth="1"/>
    <col min="14098" max="14100" width="8.85546875" style="50"/>
    <col min="14101" max="14101" width="32.140625" style="50" customWidth="1"/>
    <col min="14102" max="14102" width="8.85546875" style="50"/>
    <col min="14103" max="14103" width="42" style="50" customWidth="1"/>
    <col min="14104" max="14340" width="8.85546875" style="50"/>
    <col min="14341" max="14341" width="23.5703125" style="50" customWidth="1"/>
    <col min="14342" max="14342" width="40.42578125" style="50" customWidth="1"/>
    <col min="14343" max="14343" width="10.85546875" style="50" customWidth="1"/>
    <col min="14344" max="14344" width="6.5703125" style="50" customWidth="1"/>
    <col min="14345" max="14345" width="32.28515625" style="50" customWidth="1"/>
    <col min="14346" max="14349" width="10" style="50" customWidth="1"/>
    <col min="14350" max="14350" width="26.140625" style="50" customWidth="1"/>
    <col min="14351" max="14351" width="12.28515625" style="50" customWidth="1"/>
    <col min="14352" max="14352" width="8.85546875" style="50"/>
    <col min="14353" max="14353" width="11.42578125" style="50" customWidth="1"/>
    <col min="14354" max="14356" width="8.85546875" style="50"/>
    <col min="14357" max="14357" width="32.140625" style="50" customWidth="1"/>
    <col min="14358" max="14358" width="8.85546875" style="50"/>
    <col min="14359" max="14359" width="42" style="50" customWidth="1"/>
    <col min="14360" max="14596" width="8.85546875" style="50"/>
    <col min="14597" max="14597" width="23.5703125" style="50" customWidth="1"/>
    <col min="14598" max="14598" width="40.42578125" style="50" customWidth="1"/>
    <col min="14599" max="14599" width="10.85546875" style="50" customWidth="1"/>
    <col min="14600" max="14600" width="6.5703125" style="50" customWidth="1"/>
    <col min="14601" max="14601" width="32.28515625" style="50" customWidth="1"/>
    <col min="14602" max="14605" width="10" style="50" customWidth="1"/>
    <col min="14606" max="14606" width="26.140625" style="50" customWidth="1"/>
    <col min="14607" max="14607" width="12.28515625" style="50" customWidth="1"/>
    <col min="14608" max="14608" width="8.85546875" style="50"/>
    <col min="14609" max="14609" width="11.42578125" style="50" customWidth="1"/>
    <col min="14610" max="14612" width="8.85546875" style="50"/>
    <col min="14613" max="14613" width="32.140625" style="50" customWidth="1"/>
    <col min="14614" max="14614" width="8.85546875" style="50"/>
    <col min="14615" max="14615" width="42" style="50" customWidth="1"/>
    <col min="14616" max="14852" width="8.85546875" style="50"/>
    <col min="14853" max="14853" width="23.5703125" style="50" customWidth="1"/>
    <col min="14854" max="14854" width="40.42578125" style="50" customWidth="1"/>
    <col min="14855" max="14855" width="10.85546875" style="50" customWidth="1"/>
    <col min="14856" max="14856" width="6.5703125" style="50" customWidth="1"/>
    <col min="14857" max="14857" width="32.28515625" style="50" customWidth="1"/>
    <col min="14858" max="14861" width="10" style="50" customWidth="1"/>
    <col min="14862" max="14862" width="26.140625" style="50" customWidth="1"/>
    <col min="14863" max="14863" width="12.28515625" style="50" customWidth="1"/>
    <col min="14864" max="14864" width="8.85546875" style="50"/>
    <col min="14865" max="14865" width="11.42578125" style="50" customWidth="1"/>
    <col min="14866" max="14868" width="8.85546875" style="50"/>
    <col min="14869" max="14869" width="32.140625" style="50" customWidth="1"/>
    <col min="14870" max="14870" width="8.85546875" style="50"/>
    <col min="14871" max="14871" width="42" style="50" customWidth="1"/>
    <col min="14872" max="15108" width="8.85546875" style="50"/>
    <col min="15109" max="15109" width="23.5703125" style="50" customWidth="1"/>
    <col min="15110" max="15110" width="40.42578125" style="50" customWidth="1"/>
    <col min="15111" max="15111" width="10.85546875" style="50" customWidth="1"/>
    <col min="15112" max="15112" width="6.5703125" style="50" customWidth="1"/>
    <col min="15113" max="15113" width="32.28515625" style="50" customWidth="1"/>
    <col min="15114" max="15117" width="10" style="50" customWidth="1"/>
    <col min="15118" max="15118" width="26.140625" style="50" customWidth="1"/>
    <col min="15119" max="15119" width="12.28515625" style="50" customWidth="1"/>
    <col min="15120" max="15120" width="8.85546875" style="50"/>
    <col min="15121" max="15121" width="11.42578125" style="50" customWidth="1"/>
    <col min="15122" max="15124" width="8.85546875" style="50"/>
    <col min="15125" max="15125" width="32.140625" style="50" customWidth="1"/>
    <col min="15126" max="15126" width="8.85546875" style="50"/>
    <col min="15127" max="15127" width="42" style="50" customWidth="1"/>
    <col min="15128" max="15364" width="8.85546875" style="50"/>
    <col min="15365" max="15365" width="23.5703125" style="50" customWidth="1"/>
    <col min="15366" max="15366" width="40.42578125" style="50" customWidth="1"/>
    <col min="15367" max="15367" width="10.85546875" style="50" customWidth="1"/>
    <col min="15368" max="15368" width="6.5703125" style="50" customWidth="1"/>
    <col min="15369" max="15369" width="32.28515625" style="50" customWidth="1"/>
    <col min="15370" max="15373" width="10" style="50" customWidth="1"/>
    <col min="15374" max="15374" width="26.140625" style="50" customWidth="1"/>
    <col min="15375" max="15375" width="12.28515625" style="50" customWidth="1"/>
    <col min="15376" max="15376" width="8.85546875" style="50"/>
    <col min="15377" max="15377" width="11.42578125" style="50" customWidth="1"/>
    <col min="15378" max="15380" width="8.85546875" style="50"/>
    <col min="15381" max="15381" width="32.140625" style="50" customWidth="1"/>
    <col min="15382" max="15382" width="8.85546875" style="50"/>
    <col min="15383" max="15383" width="42" style="50" customWidth="1"/>
    <col min="15384" max="15620" width="8.85546875" style="50"/>
    <col min="15621" max="15621" width="23.5703125" style="50" customWidth="1"/>
    <col min="15622" max="15622" width="40.42578125" style="50" customWidth="1"/>
    <col min="15623" max="15623" width="10.85546875" style="50" customWidth="1"/>
    <col min="15624" max="15624" width="6.5703125" style="50" customWidth="1"/>
    <col min="15625" max="15625" width="32.28515625" style="50" customWidth="1"/>
    <col min="15626" max="15629" width="10" style="50" customWidth="1"/>
    <col min="15630" max="15630" width="26.140625" style="50" customWidth="1"/>
    <col min="15631" max="15631" width="12.28515625" style="50" customWidth="1"/>
    <col min="15632" max="15632" width="8.85546875" style="50"/>
    <col min="15633" max="15633" width="11.42578125" style="50" customWidth="1"/>
    <col min="15634" max="15636" width="8.85546875" style="50"/>
    <col min="15637" max="15637" width="32.140625" style="50" customWidth="1"/>
    <col min="15638" max="15638" width="8.85546875" style="50"/>
    <col min="15639" max="15639" width="42" style="50" customWidth="1"/>
    <col min="15640" max="15876" width="8.85546875" style="50"/>
    <col min="15877" max="15877" width="23.5703125" style="50" customWidth="1"/>
    <col min="15878" max="15878" width="40.42578125" style="50" customWidth="1"/>
    <col min="15879" max="15879" width="10.85546875" style="50" customWidth="1"/>
    <col min="15880" max="15880" width="6.5703125" style="50" customWidth="1"/>
    <col min="15881" max="15881" width="32.28515625" style="50" customWidth="1"/>
    <col min="15882" max="15885" width="10" style="50" customWidth="1"/>
    <col min="15886" max="15886" width="26.140625" style="50" customWidth="1"/>
    <col min="15887" max="15887" width="12.28515625" style="50" customWidth="1"/>
    <col min="15888" max="15888" width="8.85546875" style="50"/>
    <col min="15889" max="15889" width="11.42578125" style="50" customWidth="1"/>
    <col min="15890" max="15892" width="8.85546875" style="50"/>
    <col min="15893" max="15893" width="32.140625" style="50" customWidth="1"/>
    <col min="15894" max="15894" width="8.85546875" style="50"/>
    <col min="15895" max="15895" width="42" style="50" customWidth="1"/>
    <col min="15896" max="16132" width="8.85546875" style="50"/>
    <col min="16133" max="16133" width="23.5703125" style="50" customWidth="1"/>
    <col min="16134" max="16134" width="40.42578125" style="50" customWidth="1"/>
    <col min="16135" max="16135" width="10.85546875" style="50" customWidth="1"/>
    <col min="16136" max="16136" width="6.5703125" style="50" customWidth="1"/>
    <col min="16137" max="16137" width="32.28515625" style="50" customWidth="1"/>
    <col min="16138" max="16141" width="10" style="50" customWidth="1"/>
    <col min="16142" max="16142" width="26.140625" style="50" customWidth="1"/>
    <col min="16143" max="16143" width="12.28515625" style="50" customWidth="1"/>
    <col min="16144" max="16144" width="8.85546875" style="50"/>
    <col min="16145" max="16145" width="11.42578125" style="50" customWidth="1"/>
    <col min="16146" max="16148" width="8.85546875" style="50"/>
    <col min="16149" max="16149" width="32.140625" style="50" customWidth="1"/>
    <col min="16150" max="16150" width="8.85546875" style="50"/>
    <col min="16151" max="16151" width="42" style="50" customWidth="1"/>
    <col min="16152" max="16384" width="8.85546875" style="50"/>
  </cols>
  <sheetData>
    <row r="1" spans="1:29" s="36" customFormat="1" ht="40.5" customHeight="1" x14ac:dyDescent="0.4">
      <c r="A1" s="217"/>
      <c r="B1" s="218"/>
      <c r="C1" s="74"/>
      <c r="D1" s="74"/>
      <c r="E1" s="74"/>
      <c r="F1" s="74"/>
      <c r="G1" s="74"/>
      <c r="H1" s="74"/>
      <c r="I1" s="74"/>
      <c r="J1" s="75" t="s">
        <v>88</v>
      </c>
      <c r="K1" s="76"/>
      <c r="L1" s="77" t="s">
        <v>31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9" s="36" customFormat="1" ht="33" customHeight="1" x14ac:dyDescent="0.25">
      <c r="A2" s="78"/>
      <c r="B2" s="130"/>
      <c r="C2" s="219" t="s">
        <v>32</v>
      </c>
      <c r="D2" s="219"/>
      <c r="E2" s="219"/>
      <c r="F2" s="219"/>
      <c r="G2" s="219"/>
      <c r="H2" s="79"/>
      <c r="I2" s="79"/>
      <c r="J2" s="80"/>
      <c r="K2" s="76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9" s="36" customFormat="1" ht="12.95" customHeight="1" thickBot="1" x14ac:dyDescent="0.3">
      <c r="A3" s="82"/>
      <c r="B3" s="220" t="s">
        <v>255</v>
      </c>
      <c r="C3" s="220"/>
      <c r="D3" s="220"/>
      <c r="E3" s="220"/>
      <c r="F3" s="220"/>
      <c r="G3" s="220"/>
      <c r="H3" s="220"/>
      <c r="I3" s="83"/>
      <c r="J3" s="84"/>
      <c r="K3" s="76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9" s="42" customFormat="1" ht="15" customHeight="1" x14ac:dyDescent="0.25">
      <c r="A4" s="41" t="s">
        <v>349</v>
      </c>
      <c r="B4" s="213" t="s">
        <v>350</v>
      </c>
      <c r="C4" s="213"/>
      <c r="D4" s="127"/>
      <c r="F4" s="41" t="s">
        <v>349</v>
      </c>
      <c r="G4" s="221" t="s">
        <v>351</v>
      </c>
      <c r="H4" s="213"/>
      <c r="I4" s="213"/>
      <c r="K4" s="57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9" s="42" customFormat="1" ht="15" customHeight="1" x14ac:dyDescent="0.25">
      <c r="A5" s="41" t="s">
        <v>33</v>
      </c>
      <c r="B5" s="213" t="s">
        <v>34</v>
      </c>
      <c r="C5" s="213"/>
      <c r="D5" s="127"/>
      <c r="F5" s="41" t="s">
        <v>35</v>
      </c>
      <c r="G5" s="222">
        <f ca="1">TODAY()</f>
        <v>44994</v>
      </c>
      <c r="H5" s="213"/>
      <c r="I5" s="213"/>
      <c r="K5" s="57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9" s="42" customFormat="1" ht="15" customHeight="1" x14ac:dyDescent="0.25">
      <c r="A6" s="41" t="s">
        <v>36</v>
      </c>
      <c r="B6" s="213" t="s">
        <v>37</v>
      </c>
      <c r="C6" s="213"/>
      <c r="D6" s="127"/>
      <c r="F6" s="41" t="s">
        <v>36</v>
      </c>
      <c r="G6" s="214" t="s">
        <v>352</v>
      </c>
      <c r="H6" s="213"/>
      <c r="I6" s="213"/>
      <c r="K6" s="57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9" s="39" customFormat="1" ht="14.4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57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s="42" customFormat="1" ht="15" customHeight="1" x14ac:dyDescent="0.25">
      <c r="A8" s="41" t="s">
        <v>38</v>
      </c>
      <c r="B8" s="44">
        <v>44799</v>
      </c>
      <c r="C8" s="45" t="s">
        <v>91</v>
      </c>
      <c r="D8" s="44">
        <v>44818</v>
      </c>
      <c r="E8" s="213" t="s">
        <v>92</v>
      </c>
      <c r="F8" s="213"/>
      <c r="G8" s="213"/>
      <c r="H8" s="213"/>
      <c r="I8" s="213"/>
      <c r="K8" s="86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9" s="42" customFormat="1" ht="15" customHeight="1" x14ac:dyDescent="0.25">
      <c r="A9" s="41" t="s">
        <v>39</v>
      </c>
      <c r="B9" s="42" t="s">
        <v>40</v>
      </c>
      <c r="K9" s="57"/>
    </row>
    <row r="10" spans="1:29" s="39" customFormat="1" ht="14.45" customHeight="1" x14ac:dyDescent="0.25">
      <c r="A10" s="215" t="s">
        <v>256</v>
      </c>
      <c r="B10" s="215"/>
      <c r="C10" s="215"/>
      <c r="D10" s="215"/>
      <c r="E10" s="215"/>
      <c r="F10" s="215"/>
      <c r="G10" s="215"/>
      <c r="H10" s="215"/>
      <c r="I10" s="215"/>
      <c r="J10" s="215"/>
      <c r="K10" s="57"/>
      <c r="L10" s="40"/>
      <c r="M10" s="40"/>
      <c r="N10" s="216" t="s">
        <v>258</v>
      </c>
      <c r="O10" s="216"/>
      <c r="P10" s="216"/>
      <c r="Q10" s="216"/>
      <c r="R10" s="216"/>
      <c r="S10" s="223" t="s">
        <v>259</v>
      </c>
      <c r="T10" s="223"/>
      <c r="U10" s="223"/>
      <c r="V10" s="223"/>
      <c r="W10" s="223"/>
      <c r="X10" s="223"/>
      <c r="Y10" s="223" t="s">
        <v>274</v>
      </c>
      <c r="Z10" s="223"/>
      <c r="AA10" s="223"/>
      <c r="AB10" s="223"/>
      <c r="AC10" s="87" t="s">
        <v>260</v>
      </c>
    </row>
    <row r="11" spans="1:29" s="40" customFormat="1" ht="14.45" customHeight="1" x14ac:dyDescent="0.25">
      <c r="A11" s="88" t="s">
        <v>41</v>
      </c>
      <c r="B11" s="88" t="s">
        <v>42</v>
      </c>
      <c r="C11" s="88" t="s">
        <v>43</v>
      </c>
      <c r="D11" s="88" t="s">
        <v>44</v>
      </c>
      <c r="E11" s="210" t="s">
        <v>45</v>
      </c>
      <c r="F11" s="211"/>
      <c r="G11" s="88" t="s">
        <v>24</v>
      </c>
      <c r="H11" s="88" t="s">
        <v>25</v>
      </c>
      <c r="I11" s="88" t="s">
        <v>46</v>
      </c>
      <c r="J11" s="88" t="s">
        <v>47</v>
      </c>
      <c r="K11" s="57"/>
      <c r="L11" s="89" t="s">
        <v>48</v>
      </c>
      <c r="M11" s="89" t="s">
        <v>261</v>
      </c>
      <c r="N11" s="90" t="s">
        <v>51</v>
      </c>
      <c r="O11" s="91" t="s">
        <v>50</v>
      </c>
      <c r="P11" s="91" t="s">
        <v>262</v>
      </c>
      <c r="Q11" s="91" t="s">
        <v>263</v>
      </c>
      <c r="R11" s="91" t="s">
        <v>264</v>
      </c>
      <c r="S11" s="92" t="s">
        <v>52</v>
      </c>
      <c r="T11" s="92" t="s">
        <v>53</v>
      </c>
      <c r="U11" s="92" t="s">
        <v>265</v>
      </c>
      <c r="V11" s="92" t="s">
        <v>266</v>
      </c>
      <c r="W11" s="92" t="s">
        <v>267</v>
      </c>
      <c r="X11" s="92" t="s">
        <v>268</v>
      </c>
      <c r="Y11" s="92" t="s">
        <v>52</v>
      </c>
      <c r="Z11" s="92" t="s">
        <v>53</v>
      </c>
      <c r="AA11" s="92" t="s">
        <v>265</v>
      </c>
      <c r="AB11" s="92" t="s">
        <v>266</v>
      </c>
      <c r="AC11" s="93" t="s">
        <v>269</v>
      </c>
    </row>
    <row r="12" spans="1:29" s="40" customFormat="1" ht="14.45" customHeight="1" x14ac:dyDescent="0.25">
      <c r="A12" s="134" t="s">
        <v>332</v>
      </c>
      <c r="B12" s="88"/>
      <c r="C12" s="88"/>
      <c r="D12" s="88"/>
      <c r="E12" s="210"/>
      <c r="F12" s="211"/>
      <c r="G12" s="88"/>
      <c r="H12" s="88"/>
      <c r="I12" s="88"/>
      <c r="J12" s="88"/>
      <c r="K12" s="57"/>
    </row>
    <row r="13" spans="1:29" s="40" customFormat="1" ht="18.75" x14ac:dyDescent="0.25">
      <c r="A13" s="133" t="s">
        <v>81</v>
      </c>
      <c r="B13" s="51" t="s">
        <v>338</v>
      </c>
      <c r="C13" s="94" t="s">
        <v>54</v>
      </c>
      <c r="D13" s="95" t="s">
        <v>383</v>
      </c>
      <c r="E13" s="95" t="s">
        <v>127</v>
      </c>
      <c r="F13" s="97" t="s">
        <v>422</v>
      </c>
      <c r="G13" s="98">
        <f>CEILING(S13+W13+X13+O13+N13+Y13,10)</f>
        <v>4720</v>
      </c>
      <c r="H13" s="99">
        <f>CEILING(T13+W13+X13+O13+N13+Z13,10)</f>
        <v>5060</v>
      </c>
      <c r="I13" s="99">
        <f>CEILING(U13+W13+X13+O13+N13+AA13,10)</f>
        <v>5060</v>
      </c>
      <c r="J13" s="99">
        <f>CEILING(V13+W13+X13+O13+N13+AB13,10)</f>
        <v>5970</v>
      </c>
      <c r="K13" s="57"/>
      <c r="L13" s="156" t="s">
        <v>384</v>
      </c>
      <c r="M13" s="52" t="s">
        <v>292</v>
      </c>
      <c r="N13" s="40">
        <f>50*7</f>
        <v>350</v>
      </c>
      <c r="O13" s="53">
        <f>VLOOKUP(B13,DRAYAGE!$A$1:$C$107,3,FALSE)</f>
        <v>1310</v>
      </c>
      <c r="P13" s="40" t="s">
        <v>347</v>
      </c>
      <c r="S13" s="101">
        <f t="shared" ref="S13:S27" si="0">0.9*T13</f>
        <v>3060</v>
      </c>
      <c r="T13" s="54">
        <v>3400</v>
      </c>
      <c r="U13" s="103">
        <f>T13</f>
        <v>3400</v>
      </c>
      <c r="V13" s="104">
        <f>U13*1.266</f>
        <v>4304.3999999999996</v>
      </c>
      <c r="X13" s="40">
        <v>0</v>
      </c>
    </row>
    <row r="14" spans="1:29" s="40" customFormat="1" ht="18.75" x14ac:dyDescent="0.25">
      <c r="A14" s="133" t="s">
        <v>55</v>
      </c>
      <c r="B14" s="51" t="s">
        <v>338</v>
      </c>
      <c r="C14" s="94" t="s">
        <v>54</v>
      </c>
      <c r="D14" s="95" t="s">
        <v>383</v>
      </c>
      <c r="E14" s="95" t="s">
        <v>127</v>
      </c>
      <c r="F14" s="97" t="s">
        <v>422</v>
      </c>
      <c r="G14" s="98">
        <f t="shared" ref="G14:G27" si="1">CEILING(S14+W14+X14+O14+N14+Y14,10)</f>
        <v>4720</v>
      </c>
      <c r="H14" s="99">
        <f t="shared" ref="H14:H27" si="2">CEILING(T14+W14+X14+O14+N14+Z14,10)</f>
        <v>5060</v>
      </c>
      <c r="I14" s="99">
        <f t="shared" ref="I14:I27" si="3">CEILING(U14+W14+X14+O14+N14+AA14,10)</f>
        <v>5060</v>
      </c>
      <c r="J14" s="99">
        <f t="shared" ref="J14:J27" si="4">CEILING(V14+W14+X14+O14+N14+AB14,10)</f>
        <v>5970</v>
      </c>
      <c r="K14" s="57"/>
      <c r="L14" s="156" t="s">
        <v>384</v>
      </c>
      <c r="M14" s="52" t="s">
        <v>292</v>
      </c>
      <c r="N14" s="40">
        <f t="shared" ref="N14:N27" si="5">50*7</f>
        <v>350</v>
      </c>
      <c r="O14" s="53">
        <f>VLOOKUP(B14,DRAYAGE!$A$1:$C$107,3,FALSE)</f>
        <v>1310</v>
      </c>
      <c r="P14" s="40" t="s">
        <v>347</v>
      </c>
      <c r="S14" s="101">
        <f t="shared" si="0"/>
        <v>3060</v>
      </c>
      <c r="T14" s="54">
        <v>3400</v>
      </c>
      <c r="U14" s="103">
        <f t="shared" ref="U14:U59" si="6">T14</f>
        <v>3400</v>
      </c>
      <c r="V14" s="104">
        <f t="shared" ref="V14:V19" si="7">U14*1.266</f>
        <v>4304.3999999999996</v>
      </c>
      <c r="X14" s="40">
        <v>0</v>
      </c>
    </row>
    <row r="15" spans="1:29" s="40" customFormat="1" ht="18.75" x14ac:dyDescent="0.25">
      <c r="A15" s="133" t="s">
        <v>56</v>
      </c>
      <c r="B15" s="51" t="s">
        <v>338</v>
      </c>
      <c r="C15" s="94" t="s">
        <v>54</v>
      </c>
      <c r="D15" s="95" t="s">
        <v>383</v>
      </c>
      <c r="E15" s="95" t="s">
        <v>127</v>
      </c>
      <c r="F15" s="97" t="s">
        <v>422</v>
      </c>
      <c r="G15" s="98">
        <f t="shared" si="1"/>
        <v>4720</v>
      </c>
      <c r="H15" s="99">
        <f t="shared" si="2"/>
        <v>5060</v>
      </c>
      <c r="I15" s="99">
        <f t="shared" si="3"/>
        <v>5060</v>
      </c>
      <c r="J15" s="99">
        <f t="shared" si="4"/>
        <v>5970</v>
      </c>
      <c r="K15" s="57"/>
      <c r="L15" s="156" t="s">
        <v>384</v>
      </c>
      <c r="M15" s="52" t="s">
        <v>292</v>
      </c>
      <c r="N15" s="40">
        <f t="shared" si="5"/>
        <v>350</v>
      </c>
      <c r="O15" s="53">
        <f>VLOOKUP(B15,DRAYAGE!$A$1:$C$107,3,FALSE)</f>
        <v>1310</v>
      </c>
      <c r="P15" s="40" t="s">
        <v>347</v>
      </c>
      <c r="S15" s="101">
        <f t="shared" si="0"/>
        <v>3060</v>
      </c>
      <c r="T15" s="54">
        <v>3400</v>
      </c>
      <c r="U15" s="103">
        <f t="shared" si="6"/>
        <v>3400</v>
      </c>
      <c r="V15" s="104">
        <f t="shared" si="7"/>
        <v>4304.3999999999996</v>
      </c>
      <c r="X15" s="40">
        <v>0</v>
      </c>
    </row>
    <row r="16" spans="1:29" s="40" customFormat="1" ht="18.75" x14ac:dyDescent="0.25">
      <c r="A16" s="133" t="s">
        <v>57</v>
      </c>
      <c r="B16" s="51" t="s">
        <v>338</v>
      </c>
      <c r="C16" s="94" t="s">
        <v>54</v>
      </c>
      <c r="D16" s="95" t="s">
        <v>383</v>
      </c>
      <c r="E16" s="95" t="s">
        <v>127</v>
      </c>
      <c r="F16" s="97" t="s">
        <v>422</v>
      </c>
      <c r="G16" s="98">
        <f t="shared" si="1"/>
        <v>5350</v>
      </c>
      <c r="H16" s="99">
        <f t="shared" si="2"/>
        <v>5760</v>
      </c>
      <c r="I16" s="99">
        <f t="shared" si="3"/>
        <v>5760</v>
      </c>
      <c r="J16" s="99">
        <f t="shared" si="4"/>
        <v>6860</v>
      </c>
      <c r="K16" s="57"/>
      <c r="L16" s="156" t="s">
        <v>384</v>
      </c>
      <c r="M16" s="52" t="s">
        <v>292</v>
      </c>
      <c r="N16" s="40">
        <f t="shared" si="5"/>
        <v>350</v>
      </c>
      <c r="O16" s="53">
        <f>VLOOKUP(B16,DRAYAGE!$A$1:$C$107,3,FALSE)</f>
        <v>1310</v>
      </c>
      <c r="P16" s="40" t="s">
        <v>347</v>
      </c>
      <c r="S16" s="101">
        <f t="shared" si="0"/>
        <v>3690</v>
      </c>
      <c r="T16" s="54">
        <v>4100</v>
      </c>
      <c r="U16" s="103">
        <f t="shared" si="6"/>
        <v>4100</v>
      </c>
      <c r="V16" s="104">
        <f t="shared" si="7"/>
        <v>5190.6000000000004</v>
      </c>
      <c r="X16" s="40">
        <v>0</v>
      </c>
    </row>
    <row r="17" spans="1:29" s="40" customFormat="1" ht="18.75" x14ac:dyDescent="0.25">
      <c r="A17" s="133" t="s">
        <v>64</v>
      </c>
      <c r="B17" s="51" t="s">
        <v>338</v>
      </c>
      <c r="C17" s="94" t="s">
        <v>54</v>
      </c>
      <c r="D17" s="95" t="s">
        <v>383</v>
      </c>
      <c r="E17" s="95" t="s">
        <v>127</v>
      </c>
      <c r="F17" s="97" t="s">
        <v>422</v>
      </c>
      <c r="G17" s="98">
        <f t="shared" si="1"/>
        <v>5530</v>
      </c>
      <c r="H17" s="99">
        <f t="shared" si="2"/>
        <v>5960</v>
      </c>
      <c r="I17" s="99">
        <f t="shared" si="3"/>
        <v>5960</v>
      </c>
      <c r="J17" s="99">
        <f t="shared" si="4"/>
        <v>7110</v>
      </c>
      <c r="K17" s="57"/>
      <c r="L17" s="156" t="s">
        <v>384</v>
      </c>
      <c r="M17" s="52" t="s">
        <v>292</v>
      </c>
      <c r="N17" s="40">
        <f t="shared" si="5"/>
        <v>350</v>
      </c>
      <c r="O17" s="53">
        <f>VLOOKUP(B17,DRAYAGE!$A$1:$C$107,3,FALSE)</f>
        <v>1310</v>
      </c>
      <c r="P17" s="40" t="s">
        <v>347</v>
      </c>
      <c r="S17" s="101">
        <f>0.9*T17</f>
        <v>3870</v>
      </c>
      <c r="T17" s="54">
        <v>4300</v>
      </c>
      <c r="U17" s="103">
        <f>T17</f>
        <v>4300</v>
      </c>
      <c r="V17" s="104">
        <f>U17*1.266</f>
        <v>5443.8</v>
      </c>
      <c r="X17" s="40">
        <v>0</v>
      </c>
    </row>
    <row r="18" spans="1:29" s="40" customFormat="1" ht="18.75" x14ac:dyDescent="0.25">
      <c r="A18" s="133" t="s">
        <v>366</v>
      </c>
      <c r="B18" s="51" t="s">
        <v>338</v>
      </c>
      <c r="C18" s="94" t="s">
        <v>54</v>
      </c>
      <c r="D18" s="95" t="s">
        <v>383</v>
      </c>
      <c r="E18" s="95" t="s">
        <v>127</v>
      </c>
      <c r="F18" s="97" t="s">
        <v>422</v>
      </c>
      <c r="G18" s="98">
        <f t="shared" si="1"/>
        <v>5850</v>
      </c>
      <c r="H18" s="99">
        <f t="shared" si="2"/>
        <v>6310</v>
      </c>
      <c r="I18" s="99">
        <f t="shared" si="3"/>
        <v>6310</v>
      </c>
      <c r="J18" s="99">
        <f t="shared" si="4"/>
        <v>7550</v>
      </c>
      <c r="K18" s="57"/>
      <c r="L18" s="156" t="s">
        <v>384</v>
      </c>
      <c r="M18" s="52" t="s">
        <v>292</v>
      </c>
      <c r="N18" s="40">
        <f t="shared" si="5"/>
        <v>350</v>
      </c>
      <c r="O18" s="53">
        <f>VLOOKUP(B18,DRAYAGE!$A$1:$C$107,3,FALSE)</f>
        <v>1310</v>
      </c>
      <c r="P18" s="40" t="s">
        <v>347</v>
      </c>
      <c r="S18" s="101">
        <f>0.9*T18</f>
        <v>4185</v>
      </c>
      <c r="T18" s="54">
        <f>T16+550</f>
        <v>4650</v>
      </c>
      <c r="U18" s="103">
        <f>T18</f>
        <v>4650</v>
      </c>
      <c r="V18" s="104">
        <f>U18*1.266</f>
        <v>5886.9</v>
      </c>
      <c r="X18" s="40">
        <v>0</v>
      </c>
    </row>
    <row r="19" spans="1:29" s="40" customFormat="1" ht="18.75" x14ac:dyDescent="0.25">
      <c r="A19" s="133" t="s">
        <v>59</v>
      </c>
      <c r="B19" s="51" t="s">
        <v>338</v>
      </c>
      <c r="C19" s="94" t="s">
        <v>54</v>
      </c>
      <c r="D19" s="95" t="s">
        <v>383</v>
      </c>
      <c r="E19" s="95" t="s">
        <v>127</v>
      </c>
      <c r="F19" s="97" t="s">
        <v>422</v>
      </c>
      <c r="G19" s="98">
        <f t="shared" si="1"/>
        <v>4720</v>
      </c>
      <c r="H19" s="99">
        <f t="shared" si="2"/>
        <v>5060</v>
      </c>
      <c r="I19" s="99">
        <f t="shared" si="3"/>
        <v>5060</v>
      </c>
      <c r="J19" s="99">
        <f t="shared" si="4"/>
        <v>5970</v>
      </c>
      <c r="K19" s="57"/>
      <c r="L19" s="156" t="s">
        <v>384</v>
      </c>
      <c r="M19" s="52" t="s">
        <v>292</v>
      </c>
      <c r="N19" s="40">
        <f t="shared" si="5"/>
        <v>350</v>
      </c>
      <c r="O19" s="53">
        <f>VLOOKUP(B19,DRAYAGE!$A$1:$C$107,3,FALSE)</f>
        <v>1310</v>
      </c>
      <c r="P19" s="40" t="s">
        <v>347</v>
      </c>
      <c r="S19" s="101">
        <f t="shared" si="0"/>
        <v>3060</v>
      </c>
      <c r="T19" s="54">
        <v>3400</v>
      </c>
      <c r="U19" s="103">
        <f t="shared" si="6"/>
        <v>3400</v>
      </c>
      <c r="V19" s="104">
        <f t="shared" si="7"/>
        <v>4304.3999999999996</v>
      </c>
      <c r="X19" s="40">
        <v>0</v>
      </c>
    </row>
    <row r="20" spans="1:29" s="40" customFormat="1" ht="18.75" x14ac:dyDescent="0.25">
      <c r="A20" s="133" t="s">
        <v>60</v>
      </c>
      <c r="B20" s="51" t="s">
        <v>338</v>
      </c>
      <c r="C20" s="94" t="s">
        <v>54</v>
      </c>
      <c r="D20" s="95" t="s">
        <v>383</v>
      </c>
      <c r="E20" s="95" t="s">
        <v>127</v>
      </c>
      <c r="F20" s="97" t="s">
        <v>422</v>
      </c>
      <c r="G20" s="98">
        <f t="shared" si="1"/>
        <v>4720</v>
      </c>
      <c r="H20" s="99">
        <f t="shared" si="2"/>
        <v>5060</v>
      </c>
      <c r="I20" s="99">
        <f t="shared" si="3"/>
        <v>5060</v>
      </c>
      <c r="J20" s="99">
        <f t="shared" si="4"/>
        <v>5970</v>
      </c>
      <c r="K20" s="57"/>
      <c r="L20" s="156" t="s">
        <v>384</v>
      </c>
      <c r="M20" s="52" t="s">
        <v>292</v>
      </c>
      <c r="N20" s="40">
        <f t="shared" si="5"/>
        <v>350</v>
      </c>
      <c r="O20" s="53">
        <f>VLOOKUP(B20,DRAYAGE!$A$1:$C$107,3,FALSE)</f>
        <v>1310</v>
      </c>
      <c r="P20" s="40" t="s">
        <v>347</v>
      </c>
      <c r="S20" s="101">
        <f t="shared" si="0"/>
        <v>3060</v>
      </c>
      <c r="T20" s="54">
        <v>3400</v>
      </c>
      <c r="U20" s="103">
        <f t="shared" si="6"/>
        <v>3400</v>
      </c>
      <c r="V20" s="104">
        <f>U20*1.266</f>
        <v>4304.3999999999996</v>
      </c>
      <c r="X20" s="40">
        <v>0</v>
      </c>
    </row>
    <row r="21" spans="1:29" s="40" customFormat="1" ht="18.75" x14ac:dyDescent="0.25">
      <c r="A21" s="133" t="s">
        <v>376</v>
      </c>
      <c r="B21" s="51" t="s">
        <v>338</v>
      </c>
      <c r="C21" s="94" t="s">
        <v>54</v>
      </c>
      <c r="D21" s="95" t="s">
        <v>383</v>
      </c>
      <c r="E21" s="95" t="s">
        <v>127</v>
      </c>
      <c r="F21" s="97" t="s">
        <v>422</v>
      </c>
      <c r="G21" s="98">
        <f t="shared" si="1"/>
        <v>4720</v>
      </c>
      <c r="H21" s="99">
        <f t="shared" si="2"/>
        <v>5060</v>
      </c>
      <c r="I21" s="99">
        <f t="shared" si="3"/>
        <v>5060</v>
      </c>
      <c r="J21" s="99">
        <f t="shared" si="4"/>
        <v>5970</v>
      </c>
      <c r="K21" s="57"/>
      <c r="L21" s="156" t="s">
        <v>384</v>
      </c>
      <c r="M21" s="52" t="s">
        <v>292</v>
      </c>
      <c r="N21" s="40">
        <f t="shared" si="5"/>
        <v>350</v>
      </c>
      <c r="O21" s="53">
        <f>VLOOKUP(B21,DRAYAGE!$A$1:$C$107,3,FALSE)</f>
        <v>1310</v>
      </c>
      <c r="P21" s="40" t="s">
        <v>347</v>
      </c>
      <c r="S21" s="101">
        <f t="shared" si="0"/>
        <v>3060</v>
      </c>
      <c r="T21" s="54">
        <v>3400</v>
      </c>
      <c r="U21" s="103">
        <f t="shared" si="6"/>
        <v>3400</v>
      </c>
      <c r="V21" s="104">
        <f t="shared" ref="V21:V27" si="8">U21*1.266</f>
        <v>4304.3999999999996</v>
      </c>
      <c r="X21" s="40">
        <v>0</v>
      </c>
    </row>
    <row r="22" spans="1:29" s="40" customFormat="1" ht="18.75" x14ac:dyDescent="0.25">
      <c r="A22" s="133" t="s">
        <v>108</v>
      </c>
      <c r="B22" s="51" t="s">
        <v>338</v>
      </c>
      <c r="C22" s="94" t="s">
        <v>54</v>
      </c>
      <c r="D22" s="95" t="s">
        <v>383</v>
      </c>
      <c r="E22" s="95" t="s">
        <v>127</v>
      </c>
      <c r="F22" s="97" t="s">
        <v>422</v>
      </c>
      <c r="G22" s="98">
        <f t="shared" si="1"/>
        <v>5040</v>
      </c>
      <c r="H22" s="99">
        <f t="shared" si="2"/>
        <v>5410</v>
      </c>
      <c r="I22" s="99">
        <f t="shared" si="3"/>
        <v>5410</v>
      </c>
      <c r="J22" s="99">
        <f t="shared" si="4"/>
        <v>6410</v>
      </c>
      <c r="K22" s="57"/>
      <c r="L22" s="156" t="s">
        <v>384</v>
      </c>
      <c r="M22" s="52" t="s">
        <v>292</v>
      </c>
      <c r="N22" s="40">
        <f t="shared" si="5"/>
        <v>350</v>
      </c>
      <c r="O22" s="53">
        <f>VLOOKUP(B22,DRAYAGE!$A$1:$C$107,3,FALSE)</f>
        <v>1310</v>
      </c>
      <c r="P22" s="40" t="s">
        <v>347</v>
      </c>
      <c r="S22" s="101">
        <f t="shared" si="0"/>
        <v>3375</v>
      </c>
      <c r="T22" s="54">
        <v>3750</v>
      </c>
      <c r="U22" s="103">
        <f t="shared" si="6"/>
        <v>3750</v>
      </c>
      <c r="V22" s="104">
        <f t="shared" si="8"/>
        <v>4747.5</v>
      </c>
      <c r="X22" s="40">
        <v>0</v>
      </c>
    </row>
    <row r="23" spans="1:29" s="40" customFormat="1" ht="18.75" x14ac:dyDescent="0.25">
      <c r="A23" s="133" t="s">
        <v>62</v>
      </c>
      <c r="B23" s="51" t="s">
        <v>338</v>
      </c>
      <c r="C23" s="94" t="s">
        <v>54</v>
      </c>
      <c r="D23" s="95" t="s">
        <v>383</v>
      </c>
      <c r="E23" s="95" t="s">
        <v>127</v>
      </c>
      <c r="F23" s="97" t="s">
        <v>422</v>
      </c>
      <c r="G23" s="98">
        <f t="shared" si="1"/>
        <v>4810</v>
      </c>
      <c r="H23" s="99">
        <f t="shared" si="2"/>
        <v>5160</v>
      </c>
      <c r="I23" s="99">
        <f t="shared" si="3"/>
        <v>5160</v>
      </c>
      <c r="J23" s="99">
        <f t="shared" si="4"/>
        <v>6100</v>
      </c>
      <c r="K23" s="57"/>
      <c r="L23" s="156" t="s">
        <v>384</v>
      </c>
      <c r="M23" s="52" t="s">
        <v>292</v>
      </c>
      <c r="N23" s="40">
        <f t="shared" si="5"/>
        <v>350</v>
      </c>
      <c r="O23" s="53">
        <f>VLOOKUP(B23,DRAYAGE!$A$1:$C$107,3,FALSE)</f>
        <v>1310</v>
      </c>
      <c r="P23" s="40" t="s">
        <v>347</v>
      </c>
      <c r="S23" s="101">
        <f t="shared" si="0"/>
        <v>3150</v>
      </c>
      <c r="T23" s="54">
        <v>3500</v>
      </c>
      <c r="U23" s="103">
        <f t="shared" si="6"/>
        <v>3500</v>
      </c>
      <c r="V23" s="104">
        <f t="shared" si="8"/>
        <v>4431</v>
      </c>
      <c r="X23" s="40">
        <v>0</v>
      </c>
      <c r="Y23" s="40">
        <f>0.9*Z23</f>
        <v>0</v>
      </c>
      <c r="AA23" s="40">
        <f>Z23</f>
        <v>0</v>
      </c>
      <c r="AB23" s="40">
        <f>Z23*1.266</f>
        <v>0</v>
      </c>
    </row>
    <row r="24" spans="1:29" s="40" customFormat="1" ht="18.75" x14ac:dyDescent="0.25">
      <c r="A24" s="133" t="s">
        <v>66</v>
      </c>
      <c r="B24" s="51" t="s">
        <v>338</v>
      </c>
      <c r="C24" s="94" t="s">
        <v>54</v>
      </c>
      <c r="D24" s="95" t="s">
        <v>383</v>
      </c>
      <c r="E24" s="95" t="s">
        <v>127</v>
      </c>
      <c r="F24" s="97" t="s">
        <v>422</v>
      </c>
      <c r="G24" s="98">
        <f t="shared" si="1"/>
        <v>5040</v>
      </c>
      <c r="H24" s="99">
        <f t="shared" si="2"/>
        <v>5410</v>
      </c>
      <c r="I24" s="99">
        <f t="shared" si="3"/>
        <v>5410</v>
      </c>
      <c r="J24" s="99">
        <f t="shared" si="4"/>
        <v>6410</v>
      </c>
      <c r="K24" s="57"/>
      <c r="L24" s="156" t="s">
        <v>384</v>
      </c>
      <c r="M24" s="52" t="s">
        <v>292</v>
      </c>
      <c r="N24" s="40">
        <f t="shared" si="5"/>
        <v>350</v>
      </c>
      <c r="O24" s="53">
        <f>VLOOKUP(B24,DRAYAGE!$A$1:$C$107,3,FALSE)</f>
        <v>1310</v>
      </c>
      <c r="P24" s="40" t="s">
        <v>347</v>
      </c>
      <c r="S24" s="101">
        <f t="shared" si="0"/>
        <v>3375</v>
      </c>
      <c r="T24" s="54">
        <f>T20+350</f>
        <v>3750</v>
      </c>
      <c r="U24" s="103">
        <f t="shared" si="6"/>
        <v>3750</v>
      </c>
      <c r="V24" s="104">
        <f t="shared" si="8"/>
        <v>4747.5</v>
      </c>
      <c r="X24" s="40">
        <v>0</v>
      </c>
    </row>
    <row r="25" spans="1:29" s="40" customFormat="1" ht="18.75" x14ac:dyDescent="0.25">
      <c r="A25" s="133" t="s">
        <v>65</v>
      </c>
      <c r="B25" s="51" t="s">
        <v>338</v>
      </c>
      <c r="C25" s="94" t="s">
        <v>54</v>
      </c>
      <c r="D25" s="95" t="s">
        <v>383</v>
      </c>
      <c r="E25" s="95" t="s">
        <v>127</v>
      </c>
      <c r="F25" s="97" t="s">
        <v>422</v>
      </c>
      <c r="G25" s="98">
        <f t="shared" si="1"/>
        <v>5020</v>
      </c>
      <c r="H25" s="99">
        <f t="shared" si="2"/>
        <v>5390</v>
      </c>
      <c r="I25" s="99">
        <f t="shared" si="3"/>
        <v>5390</v>
      </c>
      <c r="J25" s="99">
        <f t="shared" si="4"/>
        <v>6380</v>
      </c>
      <c r="K25" s="57"/>
      <c r="L25" s="156" t="s">
        <v>384</v>
      </c>
      <c r="M25" s="52" t="s">
        <v>292</v>
      </c>
      <c r="N25" s="40">
        <f t="shared" si="5"/>
        <v>350</v>
      </c>
      <c r="O25" s="53">
        <f>VLOOKUP(B25,DRAYAGE!$A$1:$C$107,3,FALSE)</f>
        <v>1310</v>
      </c>
      <c r="P25" s="40" t="s">
        <v>347</v>
      </c>
      <c r="S25" s="101">
        <f t="shared" si="0"/>
        <v>3352.5</v>
      </c>
      <c r="T25" s="54">
        <f>T20+325</f>
        <v>3725</v>
      </c>
      <c r="U25" s="103">
        <f t="shared" si="6"/>
        <v>3725</v>
      </c>
      <c r="V25" s="104">
        <f t="shared" si="8"/>
        <v>4715.8500000000004</v>
      </c>
      <c r="X25" s="40">
        <v>0</v>
      </c>
      <c r="Y25" s="40">
        <f>0.9*Z25</f>
        <v>0</v>
      </c>
      <c r="AA25" s="40">
        <f>Z25</f>
        <v>0</v>
      </c>
      <c r="AB25" s="40">
        <f>Z25*1.266</f>
        <v>0</v>
      </c>
    </row>
    <row r="26" spans="1:29" s="40" customFormat="1" ht="18.75" x14ac:dyDescent="0.25">
      <c r="A26" s="133" t="s">
        <v>63</v>
      </c>
      <c r="B26" s="51" t="s">
        <v>338</v>
      </c>
      <c r="C26" s="94" t="s">
        <v>54</v>
      </c>
      <c r="D26" s="95" t="s">
        <v>383</v>
      </c>
      <c r="E26" s="95" t="s">
        <v>127</v>
      </c>
      <c r="F26" s="97" t="s">
        <v>422</v>
      </c>
      <c r="G26" s="98">
        <f t="shared" si="1"/>
        <v>5040</v>
      </c>
      <c r="H26" s="99">
        <f t="shared" si="2"/>
        <v>5410</v>
      </c>
      <c r="I26" s="99">
        <f t="shared" si="3"/>
        <v>5410</v>
      </c>
      <c r="J26" s="99">
        <f t="shared" si="4"/>
        <v>6410</v>
      </c>
      <c r="K26" s="57"/>
      <c r="L26" s="156" t="s">
        <v>384</v>
      </c>
      <c r="M26" s="52" t="s">
        <v>292</v>
      </c>
      <c r="N26" s="40">
        <f t="shared" si="5"/>
        <v>350</v>
      </c>
      <c r="O26" s="53">
        <f>VLOOKUP(B26,DRAYAGE!$A$1:$C$107,3,FALSE)</f>
        <v>1310</v>
      </c>
      <c r="P26" s="40" t="s">
        <v>347</v>
      </c>
      <c r="S26" s="101">
        <f t="shared" si="0"/>
        <v>3375</v>
      </c>
      <c r="T26" s="54">
        <f>T20+350</f>
        <v>3750</v>
      </c>
      <c r="U26" s="103">
        <f t="shared" si="6"/>
        <v>3750</v>
      </c>
      <c r="V26" s="104">
        <f t="shared" si="8"/>
        <v>4747.5</v>
      </c>
      <c r="X26" s="40">
        <v>0</v>
      </c>
      <c r="Y26" s="40">
        <f>0.9*Z26</f>
        <v>0</v>
      </c>
      <c r="AA26" s="40">
        <f>Z26</f>
        <v>0</v>
      </c>
      <c r="AB26" s="40">
        <f>Z26*1.266</f>
        <v>0</v>
      </c>
    </row>
    <row r="27" spans="1:29" s="45" customFormat="1" ht="18.75" x14ac:dyDescent="0.25">
      <c r="A27" s="133" t="s">
        <v>275</v>
      </c>
      <c r="B27" s="51" t="s">
        <v>338</v>
      </c>
      <c r="C27" s="106" t="s">
        <v>54</v>
      </c>
      <c r="D27" s="95" t="s">
        <v>383</v>
      </c>
      <c r="E27" s="95" t="s">
        <v>127</v>
      </c>
      <c r="F27" s="97" t="s">
        <v>422</v>
      </c>
      <c r="G27" s="98">
        <f t="shared" si="1"/>
        <v>5040</v>
      </c>
      <c r="H27" s="99">
        <f t="shared" si="2"/>
        <v>5410</v>
      </c>
      <c r="I27" s="99">
        <f t="shared" si="3"/>
        <v>5410</v>
      </c>
      <c r="J27" s="99">
        <f t="shared" si="4"/>
        <v>6410</v>
      </c>
      <c r="K27" s="111"/>
      <c r="L27" s="156" t="s">
        <v>384</v>
      </c>
      <c r="M27" s="52" t="s">
        <v>292</v>
      </c>
      <c r="N27" s="40">
        <f t="shared" si="5"/>
        <v>350</v>
      </c>
      <c r="O27" s="53">
        <f>VLOOKUP(B27,DRAYAGE!$A$1:$C$107,3,FALSE)</f>
        <v>1310</v>
      </c>
      <c r="P27" s="40" t="s">
        <v>347</v>
      </c>
      <c r="R27" s="105"/>
      <c r="S27" s="113">
        <f t="shared" si="0"/>
        <v>3375</v>
      </c>
      <c r="T27" s="54">
        <f>T20+350</f>
        <v>3750</v>
      </c>
      <c r="U27" s="103">
        <f t="shared" si="6"/>
        <v>3750</v>
      </c>
      <c r="V27" s="114">
        <f t="shared" si="8"/>
        <v>4747.5</v>
      </c>
      <c r="X27" s="45">
        <v>0</v>
      </c>
      <c r="Y27" s="40">
        <f>0.9*Z27</f>
        <v>0</v>
      </c>
      <c r="AA27" s="40">
        <f>Z27</f>
        <v>0</v>
      </c>
      <c r="AB27" s="40">
        <f>Z27*1.266</f>
        <v>0</v>
      </c>
    </row>
    <row r="28" spans="1:29" s="40" customFormat="1" ht="14.45" customHeight="1" x14ac:dyDescent="0.25">
      <c r="A28" s="134" t="s">
        <v>333</v>
      </c>
      <c r="B28" s="88"/>
      <c r="C28" s="88"/>
      <c r="D28" s="88"/>
      <c r="E28" s="210"/>
      <c r="F28" s="211"/>
      <c r="G28" s="88"/>
      <c r="H28" s="88"/>
      <c r="I28" s="88"/>
      <c r="J28" s="88"/>
      <c r="K28" s="57"/>
      <c r="L28" s="89" t="s">
        <v>48</v>
      </c>
      <c r="M28" s="89" t="s">
        <v>261</v>
      </c>
      <c r="N28" s="90" t="s">
        <v>51</v>
      </c>
      <c r="O28" s="91" t="s">
        <v>50</v>
      </c>
      <c r="P28" s="91" t="s">
        <v>262</v>
      </c>
      <c r="Q28" s="91" t="s">
        <v>263</v>
      </c>
      <c r="R28" s="91" t="s">
        <v>264</v>
      </c>
      <c r="S28" s="92" t="s">
        <v>52</v>
      </c>
      <c r="T28" s="92" t="s">
        <v>53</v>
      </c>
      <c r="U28" s="92" t="s">
        <v>265</v>
      </c>
      <c r="V28" s="92" t="s">
        <v>266</v>
      </c>
      <c r="W28" s="92" t="s">
        <v>267</v>
      </c>
      <c r="X28" s="92" t="s">
        <v>268</v>
      </c>
      <c r="Y28" s="92" t="s">
        <v>52</v>
      </c>
      <c r="Z28" s="92" t="s">
        <v>53</v>
      </c>
      <c r="AA28" s="92" t="s">
        <v>265</v>
      </c>
      <c r="AB28" s="92" t="s">
        <v>266</v>
      </c>
      <c r="AC28" s="93" t="s">
        <v>269</v>
      </c>
    </row>
    <row r="29" spans="1:29" s="40" customFormat="1" ht="14.45" customHeight="1" x14ac:dyDescent="0.25">
      <c r="A29" s="133" t="s">
        <v>58</v>
      </c>
      <c r="B29" s="51" t="s">
        <v>339</v>
      </c>
      <c r="C29" s="94" t="s">
        <v>54</v>
      </c>
      <c r="D29" s="95" t="s">
        <v>383</v>
      </c>
      <c r="E29" s="96" t="s">
        <v>114</v>
      </c>
      <c r="F29" s="97" t="s">
        <v>270</v>
      </c>
      <c r="G29" s="98">
        <f>CEILING(S29+W29+X29+O29+N29+Y29,10)</f>
        <v>10590</v>
      </c>
      <c r="H29" s="99">
        <f>CEILING(T29+W29+X29+O29+N29+Z29,10)</f>
        <v>11470</v>
      </c>
      <c r="I29" s="99">
        <f>CEILING(U29+W29+X29+O29+N29+AA29,10)</f>
        <v>11470</v>
      </c>
      <c r="J29" s="99">
        <f>CEILING(V29+W29+X29+O29+N29+AB29,10)</f>
        <v>13810</v>
      </c>
      <c r="K29" s="57"/>
      <c r="L29" s="156" t="s">
        <v>384</v>
      </c>
      <c r="M29" s="52" t="s">
        <v>293</v>
      </c>
      <c r="N29" s="40">
        <v>0</v>
      </c>
      <c r="O29" s="53">
        <f>VLOOKUP(B29,DRAYAGE!$A$1:$C$107,3,FALSE)</f>
        <v>2665</v>
      </c>
      <c r="P29" s="40" t="s">
        <v>299</v>
      </c>
      <c r="S29" s="101">
        <f>0.9*T29</f>
        <v>7920</v>
      </c>
      <c r="T29" s="54">
        <f>8500+300</f>
        <v>8800</v>
      </c>
      <c r="U29" s="103">
        <f t="shared" si="6"/>
        <v>8800</v>
      </c>
      <c r="V29" s="104">
        <f>U29*1.266</f>
        <v>11140.8</v>
      </c>
    </row>
    <row r="30" spans="1:29" s="40" customFormat="1" ht="14.45" customHeight="1" x14ac:dyDescent="0.25">
      <c r="A30" s="133" t="s">
        <v>55</v>
      </c>
      <c r="B30" s="51" t="s">
        <v>339</v>
      </c>
      <c r="C30" s="94" t="s">
        <v>54</v>
      </c>
      <c r="D30" s="95" t="s">
        <v>383</v>
      </c>
      <c r="E30" s="96" t="s">
        <v>114</v>
      </c>
      <c r="F30" s="97" t="s">
        <v>270</v>
      </c>
      <c r="G30" s="98">
        <f>CEILING(S30+W30+X30+O30+N30+Y30,10)</f>
        <v>10270</v>
      </c>
      <c r="H30" s="99">
        <f>CEILING(T30+W30+X30+O30+N30+Z30,10)</f>
        <v>11120</v>
      </c>
      <c r="I30" s="99">
        <f>CEILING(U30+W30+X30+O30+N30+AA30,10)</f>
        <v>11120</v>
      </c>
      <c r="J30" s="99">
        <f>CEILING(V30+W30+X30+O30+N30+AB30,10)</f>
        <v>13370</v>
      </c>
      <c r="K30" s="57"/>
      <c r="L30" s="156" t="s">
        <v>384</v>
      </c>
      <c r="M30" s="52" t="s">
        <v>293</v>
      </c>
      <c r="N30" s="40">
        <v>0</v>
      </c>
      <c r="O30" s="53">
        <f>VLOOKUP(B30,DRAYAGE!$A$1:$C$107,3,FALSE)</f>
        <v>2665</v>
      </c>
      <c r="P30" s="40" t="s">
        <v>299</v>
      </c>
      <c r="S30" s="101">
        <f>0.9*T30</f>
        <v>7605</v>
      </c>
      <c r="T30" s="54">
        <v>8450</v>
      </c>
      <c r="U30" s="103">
        <f t="shared" si="6"/>
        <v>8450</v>
      </c>
      <c r="V30" s="104">
        <f>U30*1.266</f>
        <v>10697.7</v>
      </c>
    </row>
    <row r="31" spans="1:29" s="40" customFormat="1" ht="14.45" customHeight="1" x14ac:dyDescent="0.25">
      <c r="A31" s="133" t="s">
        <v>61</v>
      </c>
      <c r="B31" s="51" t="s">
        <v>339</v>
      </c>
      <c r="C31" s="94" t="s">
        <v>54</v>
      </c>
      <c r="D31" s="95" t="s">
        <v>383</v>
      </c>
      <c r="E31" s="96" t="s">
        <v>114</v>
      </c>
      <c r="F31" s="97" t="s">
        <v>270</v>
      </c>
      <c r="G31" s="98">
        <f>CEILING(S31+W31+X31+O31+N31+Y31,10)</f>
        <v>10270</v>
      </c>
      <c r="H31" s="99">
        <f>CEILING(T31+W31+X31+O31+N31+Z31,10)</f>
        <v>11120</v>
      </c>
      <c r="I31" s="99">
        <f>CEILING(U31+W31+X31+O31+N31+AA31,10)</f>
        <v>11120</v>
      </c>
      <c r="J31" s="99">
        <f>CEILING(V31+W31+X31+O31+N31+AB31,10)</f>
        <v>13370</v>
      </c>
      <c r="K31" s="57"/>
      <c r="L31" s="156" t="s">
        <v>384</v>
      </c>
      <c r="M31" s="52" t="s">
        <v>293</v>
      </c>
      <c r="N31" s="40">
        <v>0</v>
      </c>
      <c r="O31" s="53">
        <f>VLOOKUP(B31,DRAYAGE!$A$1:$C$107,3,FALSE)</f>
        <v>2665</v>
      </c>
      <c r="P31" s="40" t="s">
        <v>299</v>
      </c>
      <c r="S31" s="101">
        <f>0.9*T31</f>
        <v>7605</v>
      </c>
      <c r="T31" s="54">
        <v>8450</v>
      </c>
      <c r="U31" s="103">
        <f t="shared" si="6"/>
        <v>8450</v>
      </c>
      <c r="V31" s="104">
        <f>U31*1.266</f>
        <v>10697.7</v>
      </c>
    </row>
    <row r="32" spans="1:29" s="40" customFormat="1" ht="14.45" customHeight="1" x14ac:dyDescent="0.25">
      <c r="A32" s="134" t="s">
        <v>334</v>
      </c>
      <c r="B32" s="88"/>
      <c r="C32" s="88"/>
      <c r="D32" s="88"/>
      <c r="E32" s="210"/>
      <c r="F32" s="211"/>
      <c r="G32" s="88"/>
      <c r="H32" s="88"/>
      <c r="I32" s="88"/>
      <c r="J32" s="88"/>
      <c r="K32" s="57"/>
      <c r="L32" s="89" t="s">
        <v>48</v>
      </c>
      <c r="M32" s="89" t="s">
        <v>261</v>
      </c>
      <c r="N32" s="90" t="s">
        <v>51</v>
      </c>
      <c r="O32" s="91" t="s">
        <v>50</v>
      </c>
      <c r="P32" s="91" t="s">
        <v>262</v>
      </c>
      <c r="Q32" s="91" t="s">
        <v>263</v>
      </c>
      <c r="R32" s="91" t="s">
        <v>264</v>
      </c>
      <c r="S32" s="92" t="s">
        <v>52</v>
      </c>
      <c r="T32" s="92" t="s">
        <v>53</v>
      </c>
      <c r="U32" s="92" t="s">
        <v>265</v>
      </c>
      <c r="V32" s="92" t="s">
        <v>266</v>
      </c>
      <c r="W32" s="92" t="s">
        <v>267</v>
      </c>
      <c r="X32" s="92" t="s">
        <v>268</v>
      </c>
      <c r="Y32" s="92" t="s">
        <v>52</v>
      </c>
      <c r="Z32" s="92" t="s">
        <v>53</v>
      </c>
      <c r="AA32" s="92" t="s">
        <v>265</v>
      </c>
      <c r="AB32" s="92" t="s">
        <v>266</v>
      </c>
      <c r="AC32" s="93" t="s">
        <v>269</v>
      </c>
    </row>
    <row r="33" spans="1:29" s="40" customFormat="1" ht="14.45" customHeight="1" x14ac:dyDescent="0.25">
      <c r="A33" s="133" t="s">
        <v>58</v>
      </c>
      <c r="B33" s="51" t="s">
        <v>341</v>
      </c>
      <c r="C33" s="94" t="s">
        <v>54</v>
      </c>
      <c r="D33" s="95" t="s">
        <v>383</v>
      </c>
      <c r="E33" s="96" t="s">
        <v>114</v>
      </c>
      <c r="F33" s="97" t="s">
        <v>270</v>
      </c>
      <c r="G33" s="98">
        <f>CEILING(S33+W33+X33+O33+N33+Y33,10)</f>
        <v>9610</v>
      </c>
      <c r="H33" s="99">
        <f>CEILING(T33+W33+X33+O33+N33+Z33,10)</f>
        <v>10490</v>
      </c>
      <c r="I33" s="99">
        <f>CEILING(U33+W33+X33+O33+N33+AA33,10)</f>
        <v>10490</v>
      </c>
      <c r="J33" s="99">
        <f>CEILING(V33+W33+X33+O33+N33+AB33,10)</f>
        <v>12840</v>
      </c>
      <c r="K33" s="57"/>
      <c r="L33" s="156" t="s">
        <v>384</v>
      </c>
      <c r="M33" s="52" t="s">
        <v>293</v>
      </c>
      <c r="N33" s="40">
        <v>0</v>
      </c>
      <c r="O33" s="53">
        <f>VLOOKUP(B33,DRAYAGE!$A$1:$C$107,3,FALSE)</f>
        <v>1690</v>
      </c>
      <c r="P33" s="40" t="s">
        <v>299</v>
      </c>
      <c r="S33" s="101">
        <f>0.9*T33</f>
        <v>7920</v>
      </c>
      <c r="T33" s="54">
        <f>T29</f>
        <v>8800</v>
      </c>
      <c r="U33" s="103">
        <f t="shared" si="6"/>
        <v>8800</v>
      </c>
      <c r="V33" s="104">
        <f>U33*1.266</f>
        <v>11140.8</v>
      </c>
      <c r="X33" s="40">
        <v>0</v>
      </c>
    </row>
    <row r="34" spans="1:29" s="40" customFormat="1" ht="14.45" customHeight="1" x14ac:dyDescent="0.25">
      <c r="A34" s="133" t="s">
        <v>55</v>
      </c>
      <c r="B34" s="51" t="s">
        <v>341</v>
      </c>
      <c r="C34" s="94" t="s">
        <v>54</v>
      </c>
      <c r="D34" s="95" t="s">
        <v>383</v>
      </c>
      <c r="E34" s="96" t="s">
        <v>114</v>
      </c>
      <c r="F34" s="97" t="s">
        <v>270</v>
      </c>
      <c r="G34" s="98">
        <f>CEILING(S34+W34+X34+O34+N34+Y34,10)</f>
        <v>9300</v>
      </c>
      <c r="H34" s="99">
        <f>CEILING(T34+W34+X34+O34+N34+Z34,10)</f>
        <v>10140</v>
      </c>
      <c r="I34" s="99">
        <f>CEILING(U34+W34+X34+O34+N34+AA34,10)</f>
        <v>10140</v>
      </c>
      <c r="J34" s="99">
        <f>CEILING(V34+W34+X34+O34+N34+AB34,10)</f>
        <v>12390</v>
      </c>
      <c r="K34" s="57"/>
      <c r="L34" s="156" t="s">
        <v>384</v>
      </c>
      <c r="M34" s="52" t="s">
        <v>293</v>
      </c>
      <c r="N34" s="40">
        <v>0</v>
      </c>
      <c r="O34" s="53">
        <f>VLOOKUP(B34,DRAYAGE!$A$1:$C$107,3,FALSE)</f>
        <v>1690</v>
      </c>
      <c r="P34" s="40" t="s">
        <v>299</v>
      </c>
      <c r="S34" s="101">
        <f>0.9*T34</f>
        <v>7605</v>
      </c>
      <c r="T34" s="54">
        <f>T30</f>
        <v>8450</v>
      </c>
      <c r="U34" s="103">
        <f t="shared" si="6"/>
        <v>8450</v>
      </c>
      <c r="V34" s="104">
        <f>U34*1.266</f>
        <v>10697.7</v>
      </c>
      <c r="X34" s="40">
        <v>0</v>
      </c>
    </row>
    <row r="35" spans="1:29" s="40" customFormat="1" ht="14.45" customHeight="1" x14ac:dyDescent="0.25">
      <c r="A35" s="133" t="s">
        <v>61</v>
      </c>
      <c r="B35" s="51" t="s">
        <v>341</v>
      </c>
      <c r="C35" s="94" t="s">
        <v>54</v>
      </c>
      <c r="D35" s="95" t="s">
        <v>383</v>
      </c>
      <c r="E35" s="96" t="s">
        <v>114</v>
      </c>
      <c r="F35" s="97" t="s">
        <v>270</v>
      </c>
      <c r="G35" s="98">
        <f>CEILING(S35+W35+X35+O35+N35+Y35,10)</f>
        <v>9300</v>
      </c>
      <c r="H35" s="99">
        <f>CEILING(T35+W35+X35+O35+N35+Z35,10)</f>
        <v>10140</v>
      </c>
      <c r="I35" s="99">
        <f>CEILING(U35+W35+X35+O35+N35+AA35,10)</f>
        <v>10140</v>
      </c>
      <c r="J35" s="99">
        <f>CEILING(V35+W35+X35+O35+N35+AB35,10)</f>
        <v>12390</v>
      </c>
      <c r="K35" s="57"/>
      <c r="L35" s="156" t="s">
        <v>384</v>
      </c>
      <c r="M35" s="52" t="s">
        <v>293</v>
      </c>
      <c r="N35" s="40">
        <v>0</v>
      </c>
      <c r="O35" s="53">
        <f>VLOOKUP(B35,DRAYAGE!$A$1:$C$107,3,FALSE)</f>
        <v>1690</v>
      </c>
      <c r="P35" s="40" t="s">
        <v>299</v>
      </c>
      <c r="S35" s="101">
        <f>0.9*T35</f>
        <v>7605</v>
      </c>
      <c r="T35" s="54">
        <f>T31</f>
        <v>8450</v>
      </c>
      <c r="U35" s="103">
        <f t="shared" si="6"/>
        <v>8450</v>
      </c>
      <c r="V35" s="104">
        <f>U35*1.266</f>
        <v>10697.7</v>
      </c>
      <c r="X35" s="40">
        <v>0</v>
      </c>
    </row>
    <row r="36" spans="1:29" s="40" customFormat="1" ht="14.45" customHeight="1" x14ac:dyDescent="0.25">
      <c r="A36" s="134" t="s">
        <v>335</v>
      </c>
      <c r="B36" s="88"/>
      <c r="C36" s="88"/>
      <c r="D36" s="88"/>
      <c r="E36" s="210"/>
      <c r="F36" s="211"/>
      <c r="G36" s="88"/>
      <c r="H36" s="88"/>
      <c r="I36" s="88"/>
      <c r="J36" s="88"/>
      <c r="K36" s="57"/>
      <c r="L36" s="89" t="s">
        <v>48</v>
      </c>
      <c r="M36" s="89" t="s">
        <v>261</v>
      </c>
      <c r="N36" s="90" t="s">
        <v>51</v>
      </c>
      <c r="O36" s="91" t="s">
        <v>50</v>
      </c>
      <c r="P36" s="91" t="s">
        <v>262</v>
      </c>
      <c r="Q36" s="91" t="s">
        <v>263</v>
      </c>
      <c r="R36" s="91" t="s">
        <v>264</v>
      </c>
      <c r="S36" s="92" t="s">
        <v>52</v>
      </c>
      <c r="T36" s="92" t="s">
        <v>53</v>
      </c>
      <c r="U36" s="92" t="s">
        <v>265</v>
      </c>
      <c r="V36" s="92" t="s">
        <v>266</v>
      </c>
      <c r="W36" s="92" t="s">
        <v>267</v>
      </c>
      <c r="X36" s="92" t="s">
        <v>268</v>
      </c>
      <c r="Y36" s="92" t="s">
        <v>52</v>
      </c>
      <c r="Z36" s="92" t="s">
        <v>53</v>
      </c>
      <c r="AA36" s="92" t="s">
        <v>265</v>
      </c>
      <c r="AB36" s="92" t="s">
        <v>266</v>
      </c>
      <c r="AC36" s="93" t="s">
        <v>269</v>
      </c>
    </row>
    <row r="37" spans="1:29" s="40" customFormat="1" ht="18.75" x14ac:dyDescent="0.25">
      <c r="A37" s="133" t="s">
        <v>81</v>
      </c>
      <c r="B37" s="51" t="s">
        <v>340</v>
      </c>
      <c r="C37" s="94" t="s">
        <v>54</v>
      </c>
      <c r="D37" s="95" t="s">
        <v>383</v>
      </c>
      <c r="E37" s="96" t="s">
        <v>114</v>
      </c>
      <c r="F37" s="97" t="s">
        <v>270</v>
      </c>
      <c r="G37" s="98">
        <f t="shared" ref="G37:G43" si="9">CEILING(S37+W37+X37+O37+N37+Y37,10)</f>
        <v>9890</v>
      </c>
      <c r="H37" s="99">
        <f t="shared" ref="H37:H43" si="10">CEILING(T37+W37+X37+O37+N37+Z37,10)</f>
        <v>10780</v>
      </c>
      <c r="I37" s="99">
        <f t="shared" ref="I37:I43" si="11">CEILING(U37+W37+X37+O37+N37+AA37,10)</f>
        <v>10780</v>
      </c>
      <c r="J37" s="99">
        <f t="shared" ref="J37:J43" si="12">CEILING(V37+W37+X37+O37+N37+AB37,10)</f>
        <v>13170</v>
      </c>
      <c r="K37" s="57"/>
      <c r="L37" s="156" t="s">
        <v>384</v>
      </c>
      <c r="M37" s="52" t="s">
        <v>294</v>
      </c>
      <c r="N37" s="40">
        <v>0</v>
      </c>
      <c r="O37" s="53">
        <f>VLOOKUP(B37,DRAYAGE!$A$1:$C$107,3,FALSE)</f>
        <v>1805</v>
      </c>
      <c r="P37" s="40" t="s">
        <v>300</v>
      </c>
      <c r="S37" s="101">
        <f t="shared" ref="S37:S43" si="13">0.9*T37</f>
        <v>8077.5</v>
      </c>
      <c r="T37" s="54">
        <v>8975</v>
      </c>
      <c r="U37" s="103">
        <f t="shared" si="6"/>
        <v>8975</v>
      </c>
      <c r="V37" s="104">
        <f t="shared" ref="V37:V43" si="14">U37*1.266</f>
        <v>11362.35</v>
      </c>
      <c r="X37" s="40">
        <v>0</v>
      </c>
    </row>
    <row r="38" spans="1:29" s="40" customFormat="1" ht="27" customHeight="1" x14ac:dyDescent="0.25">
      <c r="A38" s="133" t="s">
        <v>55</v>
      </c>
      <c r="B38" s="51" t="s">
        <v>340</v>
      </c>
      <c r="C38" s="94" t="s">
        <v>54</v>
      </c>
      <c r="D38" s="95" t="s">
        <v>383</v>
      </c>
      <c r="E38" s="96" t="s">
        <v>114</v>
      </c>
      <c r="F38" s="97" t="s">
        <v>270</v>
      </c>
      <c r="G38" s="98">
        <f t="shared" si="9"/>
        <v>9890</v>
      </c>
      <c r="H38" s="99">
        <f t="shared" si="10"/>
        <v>10780</v>
      </c>
      <c r="I38" s="99">
        <f t="shared" si="11"/>
        <v>10780</v>
      </c>
      <c r="J38" s="99">
        <f t="shared" si="12"/>
        <v>13170</v>
      </c>
      <c r="K38" s="57"/>
      <c r="L38" s="156" t="s">
        <v>384</v>
      </c>
      <c r="M38" s="52" t="s">
        <v>294</v>
      </c>
      <c r="N38" s="40">
        <v>0</v>
      </c>
      <c r="O38" s="53">
        <f>VLOOKUP(B38,DRAYAGE!$A$1:$C$107,3,FALSE)</f>
        <v>1805</v>
      </c>
      <c r="P38" s="40" t="s">
        <v>300</v>
      </c>
      <c r="S38" s="101">
        <f t="shared" si="13"/>
        <v>8077.5</v>
      </c>
      <c r="T38" s="54">
        <v>8975</v>
      </c>
      <c r="U38" s="103">
        <f t="shared" si="6"/>
        <v>8975</v>
      </c>
      <c r="V38" s="104">
        <f t="shared" si="14"/>
        <v>11362.35</v>
      </c>
      <c r="X38" s="40">
        <v>0</v>
      </c>
    </row>
    <row r="39" spans="1:29" s="40" customFormat="1" ht="14.45" customHeight="1" x14ac:dyDescent="0.25">
      <c r="A39" s="133" t="s">
        <v>59</v>
      </c>
      <c r="B39" s="51" t="s">
        <v>340</v>
      </c>
      <c r="C39" s="94" t="s">
        <v>54</v>
      </c>
      <c r="D39" s="95" t="s">
        <v>383</v>
      </c>
      <c r="E39" s="96" t="s">
        <v>114</v>
      </c>
      <c r="F39" s="97" t="s">
        <v>270</v>
      </c>
      <c r="G39" s="98">
        <f t="shared" si="9"/>
        <v>9890</v>
      </c>
      <c r="H39" s="99">
        <f t="shared" si="10"/>
        <v>10780</v>
      </c>
      <c r="I39" s="99">
        <f t="shared" si="11"/>
        <v>10780</v>
      </c>
      <c r="J39" s="99">
        <f t="shared" si="12"/>
        <v>13170</v>
      </c>
      <c r="K39" s="57"/>
      <c r="L39" s="156" t="s">
        <v>384</v>
      </c>
      <c r="M39" s="52" t="s">
        <v>294</v>
      </c>
      <c r="N39" s="40">
        <v>0</v>
      </c>
      <c r="O39" s="53">
        <f>VLOOKUP(B39,DRAYAGE!$A$1:$C$107,3,FALSE)</f>
        <v>1805</v>
      </c>
      <c r="P39" s="40" t="s">
        <v>300</v>
      </c>
      <c r="S39" s="101">
        <f t="shared" si="13"/>
        <v>8077.5</v>
      </c>
      <c r="T39" s="54">
        <v>8975</v>
      </c>
      <c r="U39" s="103">
        <f t="shared" si="6"/>
        <v>8975</v>
      </c>
      <c r="V39" s="104">
        <f t="shared" si="14"/>
        <v>11362.35</v>
      </c>
      <c r="X39" s="40">
        <v>0</v>
      </c>
    </row>
    <row r="40" spans="1:29" s="40" customFormat="1" ht="18.75" x14ac:dyDescent="0.25">
      <c r="A40" s="133" t="s">
        <v>60</v>
      </c>
      <c r="B40" s="51" t="s">
        <v>340</v>
      </c>
      <c r="C40" s="94" t="s">
        <v>54</v>
      </c>
      <c r="D40" s="95" t="s">
        <v>383</v>
      </c>
      <c r="E40" s="96" t="s">
        <v>114</v>
      </c>
      <c r="F40" s="97" t="s">
        <v>270</v>
      </c>
      <c r="G40" s="98">
        <f t="shared" si="9"/>
        <v>9890</v>
      </c>
      <c r="H40" s="99">
        <f t="shared" si="10"/>
        <v>10780</v>
      </c>
      <c r="I40" s="99">
        <f t="shared" si="11"/>
        <v>10780</v>
      </c>
      <c r="J40" s="99">
        <f t="shared" si="12"/>
        <v>13170</v>
      </c>
      <c r="K40" s="57"/>
      <c r="L40" s="156" t="s">
        <v>384</v>
      </c>
      <c r="M40" s="52" t="s">
        <v>294</v>
      </c>
      <c r="N40" s="40">
        <v>0</v>
      </c>
      <c r="O40" s="53">
        <f>VLOOKUP(B40,DRAYAGE!$A$1:$C$107,3,FALSE)</f>
        <v>1805</v>
      </c>
      <c r="P40" s="40" t="s">
        <v>300</v>
      </c>
      <c r="S40" s="101">
        <f t="shared" si="13"/>
        <v>8077.5</v>
      </c>
      <c r="T40" s="54">
        <v>8975</v>
      </c>
      <c r="U40" s="103">
        <f t="shared" si="6"/>
        <v>8975</v>
      </c>
      <c r="V40" s="104">
        <f t="shared" si="14"/>
        <v>11362.35</v>
      </c>
      <c r="X40" s="40">
        <v>0</v>
      </c>
    </row>
    <row r="41" spans="1:29" s="45" customFormat="1" ht="14.45" customHeight="1" x14ac:dyDescent="0.25">
      <c r="A41" s="133" t="s">
        <v>61</v>
      </c>
      <c r="B41" s="51" t="s">
        <v>340</v>
      </c>
      <c r="C41" s="106" t="s">
        <v>54</v>
      </c>
      <c r="D41" s="95" t="s">
        <v>383</v>
      </c>
      <c r="E41" s="107" t="s">
        <v>114</v>
      </c>
      <c r="F41" s="108" t="s">
        <v>270</v>
      </c>
      <c r="G41" s="109">
        <f t="shared" si="9"/>
        <v>9890</v>
      </c>
      <c r="H41" s="110">
        <f t="shared" si="10"/>
        <v>10780</v>
      </c>
      <c r="I41" s="110">
        <f t="shared" si="11"/>
        <v>10780</v>
      </c>
      <c r="J41" s="110">
        <f t="shared" si="12"/>
        <v>13170</v>
      </c>
      <c r="K41" s="111"/>
      <c r="L41" s="156" t="s">
        <v>384</v>
      </c>
      <c r="M41" s="52" t="s">
        <v>294</v>
      </c>
      <c r="N41" s="45">
        <v>0</v>
      </c>
      <c r="O41" s="53">
        <f>VLOOKUP(B41,DRAYAGE!$A$1:$C$107,3,FALSE)</f>
        <v>1805</v>
      </c>
      <c r="P41" s="40" t="s">
        <v>300</v>
      </c>
      <c r="R41" s="40"/>
      <c r="S41" s="113">
        <f t="shared" si="13"/>
        <v>8077.5</v>
      </c>
      <c r="T41" s="54">
        <v>8975</v>
      </c>
      <c r="U41" s="103">
        <f t="shared" si="6"/>
        <v>8975</v>
      </c>
      <c r="V41" s="114">
        <f t="shared" si="14"/>
        <v>11362.35</v>
      </c>
      <c r="X41" s="45">
        <v>0</v>
      </c>
      <c r="Y41" s="40"/>
      <c r="Z41" s="40"/>
      <c r="AA41" s="40"/>
      <c r="AB41" s="40"/>
    </row>
    <row r="42" spans="1:29" s="40" customFormat="1" ht="18.75" x14ac:dyDescent="0.25">
      <c r="A42" s="133" t="s">
        <v>273</v>
      </c>
      <c r="B42" s="51" t="s">
        <v>340</v>
      </c>
      <c r="C42" s="94" t="s">
        <v>54</v>
      </c>
      <c r="D42" s="95" t="s">
        <v>383</v>
      </c>
      <c r="E42" s="96" t="s">
        <v>114</v>
      </c>
      <c r="F42" s="97" t="s">
        <v>270</v>
      </c>
      <c r="G42" s="98">
        <f t="shared" si="9"/>
        <v>10020</v>
      </c>
      <c r="H42" s="99">
        <f t="shared" si="10"/>
        <v>10930</v>
      </c>
      <c r="I42" s="99">
        <f t="shared" si="11"/>
        <v>10930</v>
      </c>
      <c r="J42" s="99">
        <f t="shared" si="12"/>
        <v>13360</v>
      </c>
      <c r="K42" s="57"/>
      <c r="L42" s="156" t="s">
        <v>384</v>
      </c>
      <c r="M42" s="52" t="s">
        <v>294</v>
      </c>
      <c r="N42" s="40">
        <v>0</v>
      </c>
      <c r="O42" s="53">
        <f>VLOOKUP(B42,DRAYAGE!$A$1:$C$107,3,FALSE)</f>
        <v>1805</v>
      </c>
      <c r="P42" s="40" t="s">
        <v>300</v>
      </c>
      <c r="S42" s="101">
        <f t="shared" si="13"/>
        <v>8212.5</v>
      </c>
      <c r="T42" s="54">
        <f>8975+150</f>
        <v>9125</v>
      </c>
      <c r="U42" s="103">
        <f t="shared" si="6"/>
        <v>9125</v>
      </c>
      <c r="V42" s="104">
        <f t="shared" si="14"/>
        <v>11552.25</v>
      </c>
      <c r="X42" s="40">
        <v>0</v>
      </c>
    </row>
    <row r="43" spans="1:29" s="40" customFormat="1" ht="14.45" customHeight="1" x14ac:dyDescent="0.25">
      <c r="A43" s="133" t="s">
        <v>58</v>
      </c>
      <c r="B43" s="51" t="s">
        <v>340</v>
      </c>
      <c r="C43" s="94" t="s">
        <v>54</v>
      </c>
      <c r="D43" s="95" t="s">
        <v>383</v>
      </c>
      <c r="E43" s="96" t="s">
        <v>114</v>
      </c>
      <c r="F43" s="97" t="s">
        <v>270</v>
      </c>
      <c r="G43" s="98">
        <f t="shared" si="9"/>
        <v>10160</v>
      </c>
      <c r="H43" s="99">
        <f t="shared" si="10"/>
        <v>11080</v>
      </c>
      <c r="I43" s="99">
        <f t="shared" si="11"/>
        <v>11080</v>
      </c>
      <c r="J43" s="99">
        <f t="shared" si="12"/>
        <v>13550</v>
      </c>
      <c r="K43" s="57"/>
      <c r="L43" s="156" t="s">
        <v>384</v>
      </c>
      <c r="M43" s="52" t="s">
        <v>294</v>
      </c>
      <c r="N43" s="40">
        <v>0</v>
      </c>
      <c r="O43" s="53">
        <f>VLOOKUP(B43,DRAYAGE!$A$1:$C$107,3,FALSE)</f>
        <v>1805</v>
      </c>
      <c r="P43" s="40" t="s">
        <v>300</v>
      </c>
      <c r="S43" s="101">
        <f t="shared" si="13"/>
        <v>8347.5</v>
      </c>
      <c r="T43" s="54">
        <f>T37+300</f>
        <v>9275</v>
      </c>
      <c r="U43" s="103">
        <f t="shared" si="6"/>
        <v>9275</v>
      </c>
      <c r="V43" s="104">
        <f t="shared" si="14"/>
        <v>11742.15</v>
      </c>
      <c r="X43" s="40">
        <v>0</v>
      </c>
    </row>
    <row r="44" spans="1:29" s="40" customFormat="1" ht="14.45" customHeight="1" x14ac:dyDescent="0.25">
      <c r="A44" s="134" t="s">
        <v>98</v>
      </c>
      <c r="B44" s="88"/>
      <c r="C44" s="88"/>
      <c r="D44" s="88"/>
      <c r="E44" s="210"/>
      <c r="F44" s="211"/>
      <c r="G44" s="88"/>
      <c r="H44" s="88"/>
      <c r="I44" s="88"/>
      <c r="J44" s="88"/>
      <c r="K44" s="57"/>
      <c r="L44" s="89" t="s">
        <v>48</v>
      </c>
      <c r="M44" s="89" t="s">
        <v>261</v>
      </c>
      <c r="N44" s="90" t="s">
        <v>51</v>
      </c>
      <c r="O44" s="91" t="s">
        <v>50</v>
      </c>
      <c r="P44" s="91" t="s">
        <v>262</v>
      </c>
      <c r="Q44" s="91" t="s">
        <v>263</v>
      </c>
      <c r="R44" s="92" t="s">
        <v>52</v>
      </c>
      <c r="S44" s="92" t="s">
        <v>52</v>
      </c>
      <c r="T44" s="92" t="s">
        <v>53</v>
      </c>
      <c r="U44" s="92" t="s">
        <v>265</v>
      </c>
      <c r="V44" s="92" t="s">
        <v>266</v>
      </c>
      <c r="W44" s="92" t="s">
        <v>267</v>
      </c>
      <c r="X44" s="92" t="s">
        <v>268</v>
      </c>
      <c r="Y44" s="92" t="s">
        <v>52</v>
      </c>
      <c r="Z44" s="92" t="s">
        <v>53</v>
      </c>
      <c r="AA44" s="92" t="s">
        <v>265</v>
      </c>
      <c r="AB44" s="92" t="s">
        <v>266</v>
      </c>
      <c r="AC44" s="93" t="s">
        <v>269</v>
      </c>
    </row>
    <row r="45" spans="1:29" s="40" customFormat="1" ht="14.45" customHeight="1" x14ac:dyDescent="0.25">
      <c r="A45" s="133" t="s">
        <v>331</v>
      </c>
      <c r="B45" s="51" t="s">
        <v>342</v>
      </c>
      <c r="C45" s="94" t="s">
        <v>54</v>
      </c>
      <c r="D45" s="95" t="s">
        <v>383</v>
      </c>
      <c r="E45" s="96" t="s">
        <v>114</v>
      </c>
      <c r="F45" s="97" t="s">
        <v>270</v>
      </c>
      <c r="G45" s="98">
        <f>CEILING(S45+W45+X45+O45+N45+Y45,10)</f>
        <v>10830</v>
      </c>
      <c r="H45" s="99">
        <f>CEILING(T45+W45+X45+O45+N45+Z45,10)</f>
        <v>11700</v>
      </c>
      <c r="I45" s="99">
        <f>CEILING(U45+W45+X45+O45+N45+AA45,10)</f>
        <v>11700</v>
      </c>
      <c r="J45" s="99">
        <f>CEILING(V45+W45+X45+O45+N45+AB45,10)</f>
        <v>14010</v>
      </c>
      <c r="K45" s="57"/>
      <c r="L45" s="156" t="s">
        <v>384</v>
      </c>
      <c r="M45" s="52" t="s">
        <v>293</v>
      </c>
      <c r="N45" s="40">
        <v>0</v>
      </c>
      <c r="O45" s="53">
        <f>VLOOKUP(B45,DRAYAGE!$A$1:$C$107,3,FALSE)</f>
        <v>2995</v>
      </c>
      <c r="P45" s="40" t="s">
        <v>302</v>
      </c>
      <c r="R45" s="101">
        <v>19800</v>
      </c>
      <c r="S45" s="101">
        <f>0.9*T45</f>
        <v>7830</v>
      </c>
      <c r="T45" s="54">
        <v>8700</v>
      </c>
      <c r="U45" s="103">
        <f>T45</f>
        <v>8700</v>
      </c>
      <c r="V45" s="104">
        <f>U45*1.266</f>
        <v>11014.2</v>
      </c>
      <c r="W45" s="40">
        <v>0</v>
      </c>
    </row>
    <row r="46" spans="1:29" s="40" customFormat="1" ht="14.45" customHeight="1" x14ac:dyDescent="0.25">
      <c r="A46" s="133" t="s">
        <v>328</v>
      </c>
      <c r="B46" s="51" t="s">
        <v>342</v>
      </c>
      <c r="C46" s="94" t="s">
        <v>54</v>
      </c>
      <c r="D46" s="95" t="s">
        <v>383</v>
      </c>
      <c r="E46" s="96" t="s">
        <v>114</v>
      </c>
      <c r="F46" s="97" t="s">
        <v>270</v>
      </c>
      <c r="G46" s="98">
        <f>CEILING(S46+W46+X46+O46+N46+Y46,10)</f>
        <v>10830</v>
      </c>
      <c r="H46" s="99">
        <f>CEILING(T46+W46+X46+O46+N46+Z46,10)</f>
        <v>11700</v>
      </c>
      <c r="I46" s="99">
        <f>CEILING(U46+W46+X46+O46+N46+AA46,10)</f>
        <v>11700</v>
      </c>
      <c r="J46" s="99">
        <f>CEILING(V46+W46+X46+O46+N46+AB46,10)</f>
        <v>14010</v>
      </c>
      <c r="K46" s="57"/>
      <c r="L46" s="156" t="s">
        <v>384</v>
      </c>
      <c r="M46" s="52" t="s">
        <v>293</v>
      </c>
      <c r="N46" s="40">
        <v>0</v>
      </c>
      <c r="O46" s="53">
        <f>VLOOKUP(B46,DRAYAGE!$A$1:$C$107,3,FALSE)</f>
        <v>2995</v>
      </c>
      <c r="P46" s="40" t="s">
        <v>302</v>
      </c>
      <c r="R46" s="101">
        <v>19800</v>
      </c>
      <c r="S46" s="101">
        <f>0.9*T46</f>
        <v>7830</v>
      </c>
      <c r="T46" s="54">
        <v>8700</v>
      </c>
      <c r="U46" s="103">
        <f>T46</f>
        <v>8700</v>
      </c>
      <c r="V46" s="104">
        <f>U46*1.266</f>
        <v>11014.2</v>
      </c>
      <c r="W46" s="40">
        <v>0</v>
      </c>
    </row>
    <row r="47" spans="1:29" s="40" customFormat="1" ht="14.45" customHeight="1" x14ac:dyDescent="0.25">
      <c r="A47" s="133" t="s">
        <v>58</v>
      </c>
      <c r="B47" s="51" t="s">
        <v>342</v>
      </c>
      <c r="C47" s="94" t="s">
        <v>54</v>
      </c>
      <c r="D47" s="95" t="s">
        <v>383</v>
      </c>
      <c r="E47" s="96" t="s">
        <v>114</v>
      </c>
      <c r="F47" s="97" t="s">
        <v>270</v>
      </c>
      <c r="G47" s="98">
        <f>CEILING(S47+W47+X47+O47+N47+Y47,10)</f>
        <v>11100</v>
      </c>
      <c r="H47" s="99">
        <f>CEILING(T47+W47+X47+O47+N47+Z47,10)</f>
        <v>12000</v>
      </c>
      <c r="I47" s="99">
        <f>CEILING(U47+W47+X47+O47+N47+AA47,10)</f>
        <v>12000</v>
      </c>
      <c r="J47" s="99">
        <f>CEILING(V47+W47+X47+O47+N47+AB47,10)</f>
        <v>14390</v>
      </c>
      <c r="K47" s="57"/>
      <c r="L47" s="156" t="s">
        <v>384</v>
      </c>
      <c r="M47" s="52" t="s">
        <v>293</v>
      </c>
      <c r="N47" s="40">
        <v>0</v>
      </c>
      <c r="O47" s="53">
        <f>VLOOKUP(B47,DRAYAGE!$A$1:$C$107,3,FALSE)</f>
        <v>2995</v>
      </c>
      <c r="P47" s="40" t="s">
        <v>302</v>
      </c>
      <c r="R47" s="101">
        <v>19800</v>
      </c>
      <c r="S47" s="101">
        <f>0.9*T47</f>
        <v>8100</v>
      </c>
      <c r="T47" s="54">
        <f>8700+300</f>
        <v>9000</v>
      </c>
      <c r="U47" s="103">
        <f>T47</f>
        <v>9000</v>
      </c>
      <c r="V47" s="104">
        <f>U47*1.266</f>
        <v>11394</v>
      </c>
      <c r="W47" s="40">
        <v>0</v>
      </c>
    </row>
    <row r="48" spans="1:29" s="40" customFormat="1" ht="14.45" customHeight="1" x14ac:dyDescent="0.25">
      <c r="A48" s="133" t="s">
        <v>330</v>
      </c>
      <c r="B48" s="51" t="s">
        <v>342</v>
      </c>
      <c r="C48" s="94" t="s">
        <v>54</v>
      </c>
      <c r="D48" s="95" t="s">
        <v>383</v>
      </c>
      <c r="E48" s="96" t="s">
        <v>114</v>
      </c>
      <c r="F48" s="97" t="s">
        <v>270</v>
      </c>
      <c r="G48" s="98">
        <f>CEILING(S48+W48+X48+O48+N48+Y48,10)</f>
        <v>10830</v>
      </c>
      <c r="H48" s="99">
        <f>CEILING(T48+W48+X48+O48+N48+Z48,10)</f>
        <v>11700</v>
      </c>
      <c r="I48" s="99">
        <f>CEILING(U48+W48+X48+O48+N48+AA48,10)</f>
        <v>11700</v>
      </c>
      <c r="J48" s="99">
        <f>CEILING(V48+W48+X48+O48+N48+AB48,10)</f>
        <v>14010</v>
      </c>
      <c r="K48" s="57"/>
      <c r="L48" s="156" t="s">
        <v>384</v>
      </c>
      <c r="M48" s="52" t="s">
        <v>293</v>
      </c>
      <c r="N48" s="40">
        <v>0</v>
      </c>
      <c r="O48" s="53">
        <f>VLOOKUP(B48,DRAYAGE!$A$1:$C$107,3,FALSE)</f>
        <v>2995</v>
      </c>
      <c r="P48" s="40" t="s">
        <v>302</v>
      </c>
      <c r="R48" s="101">
        <v>19800</v>
      </c>
      <c r="S48" s="101">
        <f>0.9*T48</f>
        <v>7830</v>
      </c>
      <c r="T48" s="54">
        <v>8700</v>
      </c>
      <c r="U48" s="103">
        <f>T48</f>
        <v>8700</v>
      </c>
      <c r="V48" s="104">
        <f>U48*1.266</f>
        <v>11014.2</v>
      </c>
      <c r="W48" s="40">
        <v>0</v>
      </c>
    </row>
    <row r="49" spans="1:29" s="40" customFormat="1" ht="14.45" customHeight="1" x14ac:dyDescent="0.25">
      <c r="A49" s="134" t="s">
        <v>336</v>
      </c>
      <c r="B49" s="88"/>
      <c r="C49" s="88"/>
      <c r="D49" s="88"/>
      <c r="E49" s="210"/>
      <c r="F49" s="211"/>
      <c r="G49" s="88"/>
      <c r="H49" s="88"/>
      <c r="I49" s="88"/>
      <c r="J49" s="88"/>
      <c r="K49" s="57"/>
      <c r="L49" s="89" t="s">
        <v>48</v>
      </c>
      <c r="M49" s="89" t="s">
        <v>261</v>
      </c>
      <c r="N49" s="90" t="s">
        <v>51</v>
      </c>
      <c r="O49" s="91" t="s">
        <v>50</v>
      </c>
      <c r="P49" s="91" t="s">
        <v>262</v>
      </c>
      <c r="Q49" s="91" t="s">
        <v>263</v>
      </c>
      <c r="R49" s="92" t="s">
        <v>52</v>
      </c>
      <c r="S49" s="92" t="s">
        <v>52</v>
      </c>
      <c r="T49" s="92" t="s">
        <v>53</v>
      </c>
      <c r="U49" s="92" t="s">
        <v>265</v>
      </c>
      <c r="V49" s="92" t="s">
        <v>266</v>
      </c>
      <c r="W49" s="92" t="s">
        <v>267</v>
      </c>
      <c r="X49" s="92" t="s">
        <v>268</v>
      </c>
      <c r="Y49" s="92" t="s">
        <v>52</v>
      </c>
      <c r="Z49" s="92" t="s">
        <v>53</v>
      </c>
      <c r="AA49" s="92" t="s">
        <v>265</v>
      </c>
      <c r="AB49" s="92" t="s">
        <v>266</v>
      </c>
      <c r="AC49" s="93" t="s">
        <v>269</v>
      </c>
    </row>
    <row r="50" spans="1:29" s="40" customFormat="1" ht="14.45" customHeight="1" x14ac:dyDescent="0.25">
      <c r="A50" s="133" t="s">
        <v>326</v>
      </c>
      <c r="B50" s="51" t="s">
        <v>343</v>
      </c>
      <c r="C50" s="94" t="s">
        <v>54</v>
      </c>
      <c r="D50" s="95" t="s">
        <v>383</v>
      </c>
      <c r="E50" s="96" t="s">
        <v>114</v>
      </c>
      <c r="F50" s="97" t="s">
        <v>270</v>
      </c>
      <c r="G50" s="98">
        <v>18510</v>
      </c>
      <c r="H50" s="99">
        <v>20510</v>
      </c>
      <c r="I50" s="99">
        <v>20510</v>
      </c>
      <c r="J50" s="99">
        <v>25830</v>
      </c>
      <c r="K50" s="57"/>
      <c r="L50" s="156" t="s">
        <v>384</v>
      </c>
      <c r="M50" s="52" t="s">
        <v>295</v>
      </c>
      <c r="N50" s="40">
        <v>0</v>
      </c>
      <c r="O50" s="53">
        <f>VLOOKUP(B50,DRAYAGE!$A$1:$C$107,3,FALSE)</f>
        <v>1185</v>
      </c>
      <c r="P50" s="40" t="s">
        <v>361</v>
      </c>
      <c r="R50" s="101">
        <v>18000</v>
      </c>
      <c r="S50" s="101">
        <f>0.9*T50</f>
        <v>8190</v>
      </c>
      <c r="T50" s="54">
        <f>8900+200</f>
        <v>9100</v>
      </c>
      <c r="U50" s="103">
        <f>T50</f>
        <v>9100</v>
      </c>
      <c r="V50" s="104">
        <f>U50*1.266</f>
        <v>11520.6</v>
      </c>
      <c r="W50" s="40">
        <v>0</v>
      </c>
    </row>
    <row r="51" spans="1:29" s="40" customFormat="1" ht="14.45" customHeight="1" x14ac:dyDescent="0.25">
      <c r="A51" s="133" t="s">
        <v>327</v>
      </c>
      <c r="B51" s="51" t="s">
        <v>343</v>
      </c>
      <c r="C51" s="94" t="s">
        <v>54</v>
      </c>
      <c r="D51" s="95" t="s">
        <v>383</v>
      </c>
      <c r="E51" s="96" t="s">
        <v>114</v>
      </c>
      <c r="F51" s="97" t="s">
        <v>270</v>
      </c>
      <c r="G51" s="98">
        <v>18510</v>
      </c>
      <c r="H51" s="99">
        <v>20510</v>
      </c>
      <c r="I51" s="99">
        <v>20510</v>
      </c>
      <c r="J51" s="99">
        <v>25830</v>
      </c>
      <c r="K51" s="57"/>
      <c r="L51" s="156" t="s">
        <v>384</v>
      </c>
      <c r="M51" s="52" t="s">
        <v>295</v>
      </c>
      <c r="N51" s="40">
        <v>0</v>
      </c>
      <c r="O51" s="53">
        <f>VLOOKUP(B51,DRAYAGE!$A$1:$C$107,3,FALSE)</f>
        <v>1185</v>
      </c>
      <c r="P51" s="40" t="s">
        <v>361</v>
      </c>
      <c r="R51" s="101">
        <v>18000</v>
      </c>
      <c r="S51" s="101">
        <f>0.9*T51</f>
        <v>8190</v>
      </c>
      <c r="T51" s="54">
        <f>8900+200</f>
        <v>9100</v>
      </c>
      <c r="U51" s="103">
        <f>T51</f>
        <v>9100</v>
      </c>
      <c r="V51" s="104">
        <f>U51*1.266</f>
        <v>11520.6</v>
      </c>
      <c r="W51" s="40">
        <v>0</v>
      </c>
    </row>
    <row r="52" spans="1:29" s="40" customFormat="1" ht="14.45" customHeight="1" x14ac:dyDescent="0.25">
      <c r="A52" s="133" t="s">
        <v>328</v>
      </c>
      <c r="B52" s="51" t="s">
        <v>343</v>
      </c>
      <c r="C52" s="94" t="s">
        <v>54</v>
      </c>
      <c r="D52" s="95" t="s">
        <v>383</v>
      </c>
      <c r="E52" s="96" t="s">
        <v>114</v>
      </c>
      <c r="F52" s="97" t="s">
        <v>270</v>
      </c>
      <c r="G52" s="98">
        <v>18510</v>
      </c>
      <c r="H52" s="99">
        <v>20510</v>
      </c>
      <c r="I52" s="99">
        <v>20510</v>
      </c>
      <c r="J52" s="99">
        <v>25830</v>
      </c>
      <c r="K52" s="57"/>
      <c r="L52" s="156" t="s">
        <v>384</v>
      </c>
      <c r="M52" s="52" t="s">
        <v>295</v>
      </c>
      <c r="N52" s="40">
        <v>0</v>
      </c>
      <c r="O52" s="53">
        <f>VLOOKUP(B52,DRAYAGE!$A$1:$C$107,3,FALSE)</f>
        <v>1185</v>
      </c>
      <c r="P52" s="40" t="s">
        <v>361</v>
      </c>
      <c r="R52" s="101">
        <v>18000</v>
      </c>
      <c r="S52" s="101">
        <f>0.9*T52</f>
        <v>8280</v>
      </c>
      <c r="T52" s="54">
        <f>8900+300</f>
        <v>9200</v>
      </c>
      <c r="U52" s="103">
        <f>T52</f>
        <v>9200</v>
      </c>
      <c r="V52" s="104">
        <f>U52*1.266</f>
        <v>11647.2</v>
      </c>
      <c r="W52" s="40">
        <v>0</v>
      </c>
    </row>
    <row r="53" spans="1:29" s="40" customFormat="1" ht="14.45" customHeight="1" x14ac:dyDescent="0.25">
      <c r="A53" s="134" t="s">
        <v>337</v>
      </c>
      <c r="B53" s="88"/>
      <c r="C53" s="88"/>
      <c r="D53" s="88"/>
      <c r="E53" s="210"/>
      <c r="F53" s="211"/>
      <c r="G53" s="88"/>
      <c r="H53" s="88"/>
      <c r="I53" s="88"/>
      <c r="J53" s="88"/>
      <c r="K53" s="57"/>
      <c r="L53" s="89" t="s">
        <v>48</v>
      </c>
      <c r="M53" s="89" t="s">
        <v>261</v>
      </c>
      <c r="N53" s="90" t="s">
        <v>51</v>
      </c>
      <c r="O53" s="91" t="s">
        <v>50</v>
      </c>
      <c r="P53" s="91" t="s">
        <v>262</v>
      </c>
      <c r="Q53" s="91" t="s">
        <v>263</v>
      </c>
      <c r="R53" s="91" t="s">
        <v>264</v>
      </c>
      <c r="S53" s="92" t="s">
        <v>52</v>
      </c>
      <c r="T53" s="92" t="s">
        <v>53</v>
      </c>
      <c r="U53" s="92" t="s">
        <v>265</v>
      </c>
      <c r="V53" s="92" t="s">
        <v>266</v>
      </c>
      <c r="W53" s="92" t="s">
        <v>267</v>
      </c>
      <c r="X53" s="92" t="s">
        <v>268</v>
      </c>
      <c r="Y53" s="92" t="s">
        <v>52</v>
      </c>
      <c r="Z53" s="92" t="s">
        <v>53</v>
      </c>
      <c r="AA53" s="92" t="s">
        <v>265</v>
      </c>
      <c r="AB53" s="92" t="s">
        <v>266</v>
      </c>
      <c r="AC53" s="93" t="s">
        <v>269</v>
      </c>
    </row>
    <row r="54" spans="1:29" s="40" customFormat="1" ht="18.75" x14ac:dyDescent="0.25">
      <c r="A54" s="133" t="s">
        <v>81</v>
      </c>
      <c r="B54" s="51" t="s">
        <v>344</v>
      </c>
      <c r="C54" s="94" t="s">
        <v>54</v>
      </c>
      <c r="D54" s="95" t="s">
        <v>383</v>
      </c>
      <c r="E54" s="96" t="s">
        <v>114</v>
      </c>
      <c r="F54" s="97" t="s">
        <v>270</v>
      </c>
      <c r="G54" s="98">
        <f t="shared" ref="G54:G59" si="15">CEILING(S54+W54+X54+O54+N54+Y54,10)</f>
        <v>9430</v>
      </c>
      <c r="H54" s="99">
        <f t="shared" ref="H54:H59" si="16">CEILING(T54+W54+X54+O54+N54+Z54,10)</f>
        <v>10320</v>
      </c>
      <c r="I54" s="99">
        <f t="shared" ref="I54:I59" si="17">CEILING(U54+W54+X54+O54+N54+AA54,10)</f>
        <v>10320</v>
      </c>
      <c r="J54" s="99">
        <f t="shared" ref="J54:J59" si="18">CEILING(V54+W54+X54+O54+N54+AB54,10)</f>
        <v>12710</v>
      </c>
      <c r="K54" s="57"/>
      <c r="L54" s="156" t="s">
        <v>384</v>
      </c>
      <c r="M54" s="52" t="s">
        <v>294</v>
      </c>
      <c r="N54" s="40">
        <v>0</v>
      </c>
      <c r="O54" s="53">
        <f>VLOOKUP(B54,DRAYAGE!$A$1:$C$107,3,FALSE)</f>
        <v>1345</v>
      </c>
      <c r="P54" s="40" t="s">
        <v>301</v>
      </c>
      <c r="S54" s="101">
        <f t="shared" ref="S54:S68" si="19">0.9*T54</f>
        <v>8077.5</v>
      </c>
      <c r="T54" s="54">
        <f t="shared" ref="T54:T59" si="20">T37</f>
        <v>8975</v>
      </c>
      <c r="U54" s="103">
        <f t="shared" si="6"/>
        <v>8975</v>
      </c>
      <c r="V54" s="104">
        <f t="shared" ref="V54:V59" si="21">U54*1.266</f>
        <v>11362.35</v>
      </c>
      <c r="X54" s="40">
        <v>0</v>
      </c>
    </row>
    <row r="55" spans="1:29" s="40" customFormat="1" ht="14.45" customHeight="1" x14ac:dyDescent="0.25">
      <c r="A55" s="133" t="s">
        <v>55</v>
      </c>
      <c r="B55" s="51" t="s">
        <v>344</v>
      </c>
      <c r="C55" s="94" t="s">
        <v>54</v>
      </c>
      <c r="D55" s="95" t="s">
        <v>383</v>
      </c>
      <c r="E55" s="96" t="s">
        <v>114</v>
      </c>
      <c r="F55" s="97" t="s">
        <v>270</v>
      </c>
      <c r="G55" s="98">
        <f t="shared" si="15"/>
        <v>9430</v>
      </c>
      <c r="H55" s="99">
        <f t="shared" si="16"/>
        <v>10320</v>
      </c>
      <c r="I55" s="99">
        <f t="shared" si="17"/>
        <v>10320</v>
      </c>
      <c r="J55" s="99">
        <f t="shared" si="18"/>
        <v>12710</v>
      </c>
      <c r="K55" s="57"/>
      <c r="L55" s="156" t="s">
        <v>384</v>
      </c>
      <c r="M55" s="52" t="s">
        <v>294</v>
      </c>
      <c r="N55" s="40">
        <v>0</v>
      </c>
      <c r="O55" s="53">
        <f>VLOOKUP(B55,DRAYAGE!$A$1:$C$107,3,FALSE)</f>
        <v>1345</v>
      </c>
      <c r="P55" s="40" t="s">
        <v>301</v>
      </c>
      <c r="S55" s="101">
        <f t="shared" si="19"/>
        <v>8077.5</v>
      </c>
      <c r="T55" s="54">
        <f t="shared" si="20"/>
        <v>8975</v>
      </c>
      <c r="U55" s="103">
        <f t="shared" si="6"/>
        <v>8975</v>
      </c>
      <c r="V55" s="104">
        <f t="shared" si="21"/>
        <v>11362.35</v>
      </c>
      <c r="X55" s="40">
        <v>0</v>
      </c>
    </row>
    <row r="56" spans="1:29" s="40" customFormat="1" ht="14.45" customHeight="1" x14ac:dyDescent="0.25">
      <c r="A56" s="133" t="s">
        <v>59</v>
      </c>
      <c r="B56" s="51" t="s">
        <v>344</v>
      </c>
      <c r="C56" s="94" t="s">
        <v>54</v>
      </c>
      <c r="D56" s="95" t="s">
        <v>383</v>
      </c>
      <c r="E56" s="96" t="s">
        <v>114</v>
      </c>
      <c r="F56" s="97" t="s">
        <v>270</v>
      </c>
      <c r="G56" s="98">
        <f t="shared" si="15"/>
        <v>9430</v>
      </c>
      <c r="H56" s="99">
        <f t="shared" si="16"/>
        <v>10320</v>
      </c>
      <c r="I56" s="99">
        <f t="shared" si="17"/>
        <v>10320</v>
      </c>
      <c r="J56" s="99">
        <f t="shared" si="18"/>
        <v>12710</v>
      </c>
      <c r="K56" s="57"/>
      <c r="L56" s="156" t="s">
        <v>384</v>
      </c>
      <c r="M56" s="52" t="s">
        <v>294</v>
      </c>
      <c r="N56" s="40">
        <v>0</v>
      </c>
      <c r="O56" s="53">
        <f>VLOOKUP(B56,DRAYAGE!$A$1:$C$107,3,FALSE)</f>
        <v>1345</v>
      </c>
      <c r="P56" s="40" t="s">
        <v>301</v>
      </c>
      <c r="S56" s="101">
        <f t="shared" si="19"/>
        <v>8077.5</v>
      </c>
      <c r="T56" s="54">
        <f t="shared" si="20"/>
        <v>8975</v>
      </c>
      <c r="U56" s="103">
        <f t="shared" si="6"/>
        <v>8975</v>
      </c>
      <c r="V56" s="104">
        <f t="shared" si="21"/>
        <v>11362.35</v>
      </c>
      <c r="X56" s="40">
        <v>0</v>
      </c>
    </row>
    <row r="57" spans="1:29" s="40" customFormat="1" ht="18.75" x14ac:dyDescent="0.25">
      <c r="A57" s="133" t="s">
        <v>60</v>
      </c>
      <c r="B57" s="51" t="s">
        <v>344</v>
      </c>
      <c r="C57" s="94" t="s">
        <v>54</v>
      </c>
      <c r="D57" s="95" t="s">
        <v>383</v>
      </c>
      <c r="E57" s="96" t="s">
        <v>114</v>
      </c>
      <c r="F57" s="97" t="s">
        <v>270</v>
      </c>
      <c r="G57" s="98">
        <f t="shared" si="15"/>
        <v>9430</v>
      </c>
      <c r="H57" s="99">
        <f t="shared" si="16"/>
        <v>10320</v>
      </c>
      <c r="I57" s="99">
        <f t="shared" si="17"/>
        <v>10320</v>
      </c>
      <c r="J57" s="99">
        <f t="shared" si="18"/>
        <v>12710</v>
      </c>
      <c r="K57" s="57"/>
      <c r="L57" s="156" t="s">
        <v>384</v>
      </c>
      <c r="M57" s="52" t="s">
        <v>294</v>
      </c>
      <c r="N57" s="40">
        <v>0</v>
      </c>
      <c r="O57" s="53">
        <f>VLOOKUP(B57,DRAYAGE!$A$1:$C$107,3,FALSE)</f>
        <v>1345</v>
      </c>
      <c r="P57" s="40" t="s">
        <v>301</v>
      </c>
      <c r="S57" s="101">
        <f t="shared" si="19"/>
        <v>8077.5</v>
      </c>
      <c r="T57" s="54">
        <f t="shared" si="20"/>
        <v>8975</v>
      </c>
      <c r="U57" s="103">
        <f t="shared" si="6"/>
        <v>8975</v>
      </c>
      <c r="V57" s="104">
        <f t="shared" si="21"/>
        <v>11362.35</v>
      </c>
      <c r="X57" s="40">
        <v>0</v>
      </c>
    </row>
    <row r="58" spans="1:29" s="40" customFormat="1" ht="14.45" customHeight="1" x14ac:dyDescent="0.25">
      <c r="A58" s="133" t="s">
        <v>61</v>
      </c>
      <c r="B58" s="51" t="s">
        <v>344</v>
      </c>
      <c r="C58" s="94" t="s">
        <v>54</v>
      </c>
      <c r="D58" s="95" t="s">
        <v>383</v>
      </c>
      <c r="E58" s="96" t="s">
        <v>114</v>
      </c>
      <c r="F58" s="97" t="s">
        <v>270</v>
      </c>
      <c r="G58" s="98">
        <f t="shared" si="15"/>
        <v>9430</v>
      </c>
      <c r="H58" s="99">
        <f t="shared" si="16"/>
        <v>10320</v>
      </c>
      <c r="I58" s="99">
        <f t="shared" si="17"/>
        <v>10320</v>
      </c>
      <c r="J58" s="99">
        <f t="shared" si="18"/>
        <v>12710</v>
      </c>
      <c r="K58" s="57"/>
      <c r="L58" s="156" t="s">
        <v>384</v>
      </c>
      <c r="M58" s="52" t="s">
        <v>294</v>
      </c>
      <c r="N58" s="40">
        <v>0</v>
      </c>
      <c r="O58" s="53">
        <f>VLOOKUP(B58,DRAYAGE!$A$1:$C$107,3,FALSE)</f>
        <v>1345</v>
      </c>
      <c r="P58" s="40" t="s">
        <v>301</v>
      </c>
      <c r="S58" s="101">
        <f t="shared" si="19"/>
        <v>8077.5</v>
      </c>
      <c r="T58" s="54">
        <f t="shared" si="20"/>
        <v>8975</v>
      </c>
      <c r="U58" s="103">
        <f t="shared" si="6"/>
        <v>8975</v>
      </c>
      <c r="V58" s="104">
        <f t="shared" si="21"/>
        <v>11362.35</v>
      </c>
      <c r="X58" s="40">
        <v>0</v>
      </c>
    </row>
    <row r="59" spans="1:29" s="40" customFormat="1" ht="18.75" x14ac:dyDescent="0.25">
      <c r="A59" s="133" t="s">
        <v>273</v>
      </c>
      <c r="B59" s="51" t="s">
        <v>344</v>
      </c>
      <c r="C59" s="94" t="s">
        <v>54</v>
      </c>
      <c r="D59" s="95" t="s">
        <v>383</v>
      </c>
      <c r="E59" s="96" t="s">
        <v>114</v>
      </c>
      <c r="F59" s="97" t="s">
        <v>270</v>
      </c>
      <c r="G59" s="98">
        <f t="shared" si="15"/>
        <v>9560</v>
      </c>
      <c r="H59" s="99">
        <f t="shared" si="16"/>
        <v>10470</v>
      </c>
      <c r="I59" s="99">
        <f t="shared" si="17"/>
        <v>10470</v>
      </c>
      <c r="J59" s="99">
        <f t="shared" si="18"/>
        <v>12900</v>
      </c>
      <c r="K59" s="57"/>
      <c r="L59" s="156" t="s">
        <v>384</v>
      </c>
      <c r="M59" s="52" t="s">
        <v>294</v>
      </c>
      <c r="N59" s="40">
        <v>0</v>
      </c>
      <c r="O59" s="53">
        <f>VLOOKUP(B59,DRAYAGE!$A$1:$C$107,3,FALSE)</f>
        <v>1345</v>
      </c>
      <c r="P59" s="40" t="s">
        <v>301</v>
      </c>
      <c r="S59" s="101">
        <f t="shared" si="19"/>
        <v>8212.5</v>
      </c>
      <c r="T59" s="54">
        <f t="shared" si="20"/>
        <v>9125</v>
      </c>
      <c r="U59" s="103">
        <f t="shared" si="6"/>
        <v>9125</v>
      </c>
      <c r="V59" s="104">
        <f t="shared" si="21"/>
        <v>11552.25</v>
      </c>
      <c r="X59" s="40">
        <v>0</v>
      </c>
    </row>
    <row r="60" spans="1:29" s="40" customFormat="1" ht="15.75" x14ac:dyDescent="0.25">
      <c r="A60" s="134" t="s">
        <v>389</v>
      </c>
      <c r="B60" s="88"/>
      <c r="C60" s="88"/>
      <c r="D60" s="88"/>
      <c r="E60" s="210"/>
      <c r="F60" s="211"/>
      <c r="G60" s="88"/>
      <c r="H60" s="88"/>
      <c r="I60" s="88"/>
      <c r="J60" s="88"/>
      <c r="K60" s="57"/>
      <c r="L60" s="89" t="s">
        <v>48</v>
      </c>
      <c r="M60" s="89" t="s">
        <v>261</v>
      </c>
      <c r="N60" s="90" t="s">
        <v>51</v>
      </c>
      <c r="O60" s="91" t="s">
        <v>50</v>
      </c>
      <c r="P60" s="91" t="s">
        <v>262</v>
      </c>
      <c r="Q60" s="91" t="s">
        <v>263</v>
      </c>
      <c r="R60" s="92" t="s">
        <v>52</v>
      </c>
      <c r="S60" s="92" t="s">
        <v>52</v>
      </c>
      <c r="T60" s="92" t="s">
        <v>53</v>
      </c>
      <c r="U60" s="92" t="s">
        <v>265</v>
      </c>
      <c r="V60" s="92" t="s">
        <v>266</v>
      </c>
      <c r="W60" s="92" t="s">
        <v>267</v>
      </c>
      <c r="X60" s="92" t="s">
        <v>268</v>
      </c>
      <c r="Y60" s="92" t="s">
        <v>52</v>
      </c>
      <c r="Z60" s="92" t="s">
        <v>53</v>
      </c>
      <c r="AA60" s="92" t="s">
        <v>265</v>
      </c>
      <c r="AB60" s="92" t="s">
        <v>266</v>
      </c>
      <c r="AC60" s="93" t="s">
        <v>269</v>
      </c>
    </row>
    <row r="61" spans="1:29" s="40" customFormat="1" ht="18.75" x14ac:dyDescent="0.25">
      <c r="A61" s="133" t="s">
        <v>55</v>
      </c>
      <c r="B61" s="51" t="s">
        <v>390</v>
      </c>
      <c r="C61" s="94" t="s">
        <v>54</v>
      </c>
      <c r="D61" s="95" t="s">
        <v>383</v>
      </c>
      <c r="E61" s="96" t="s">
        <v>114</v>
      </c>
      <c r="F61" s="97" t="s">
        <v>270</v>
      </c>
      <c r="G61" s="98">
        <f t="shared" ref="G61:G68" si="22">CEILING(S61+W61+X61+O61+N61+Y61,10)</f>
        <v>10780</v>
      </c>
      <c r="H61" s="99">
        <f t="shared" ref="H61:H68" si="23">CEILING(T61+W61+X61+O61+N61+Z61,10)</f>
        <v>11770</v>
      </c>
      <c r="I61" s="99">
        <f t="shared" ref="I61:I68" si="24">CEILING(U61+W61+X61+O61+N61+AA61,10)</f>
        <v>11770</v>
      </c>
      <c r="J61" s="99">
        <f t="shared" ref="J61:J68" si="25">CEILING(V61+W61+X61+O61+N61+AB61,10)</f>
        <v>14390</v>
      </c>
      <c r="K61" s="57"/>
      <c r="L61" s="156" t="s">
        <v>384</v>
      </c>
      <c r="M61" s="52" t="s">
        <v>397</v>
      </c>
      <c r="N61" s="40">
        <v>0</v>
      </c>
      <c r="O61" s="53">
        <f>VLOOKUP(B61,DRAYAGE!$A$1:$C$107,3,FALSE)</f>
        <v>1915</v>
      </c>
      <c r="P61" s="40" t="str">
        <f>VLOOKUP($B61,DRAYAGE!$A$1:$Q$23,14,FALSE)</f>
        <v>PCF, chassis split, drop fee</v>
      </c>
      <c r="R61" s="54">
        <v>11000</v>
      </c>
      <c r="S61" s="101">
        <f t="shared" si="19"/>
        <v>8865</v>
      </c>
      <c r="T61" s="54">
        <f>9500+350</f>
        <v>9850</v>
      </c>
      <c r="U61" s="103">
        <f t="shared" ref="U61:U68" si="26">T61</f>
        <v>9850</v>
      </c>
      <c r="V61" s="104">
        <f t="shared" ref="V61:V68" si="27">U61*1.266</f>
        <v>12470.1</v>
      </c>
    </row>
    <row r="62" spans="1:29" s="40" customFormat="1" ht="18.75" x14ac:dyDescent="0.25">
      <c r="A62" s="133" t="s">
        <v>55</v>
      </c>
      <c r="B62" s="51" t="s">
        <v>391</v>
      </c>
      <c r="C62" s="94" t="s">
        <v>54</v>
      </c>
      <c r="D62" s="95" t="s">
        <v>383</v>
      </c>
      <c r="E62" s="96" t="s">
        <v>114</v>
      </c>
      <c r="F62" s="97" t="s">
        <v>270</v>
      </c>
      <c r="G62" s="98">
        <f t="shared" si="22"/>
        <v>15440</v>
      </c>
      <c r="H62" s="99">
        <f t="shared" si="23"/>
        <v>16420</v>
      </c>
      <c r="I62" s="99">
        <f t="shared" si="24"/>
        <v>16420</v>
      </c>
      <c r="J62" s="99">
        <f t="shared" si="25"/>
        <v>19030</v>
      </c>
      <c r="K62" s="57"/>
      <c r="L62" s="156" t="s">
        <v>384</v>
      </c>
      <c r="M62" s="52" t="s">
        <v>398</v>
      </c>
      <c r="N62" s="40">
        <v>0</v>
      </c>
      <c r="O62" s="53">
        <f>VLOOKUP(B62,DRAYAGE!$A$1:$C$107,3,FALSE)</f>
        <v>6620</v>
      </c>
      <c r="P62" s="40" t="str">
        <f>VLOOKUP($B62,DRAYAGE!$A$1:$Q$23,14,FALSE)</f>
        <v>Rail fee, toll, drop</v>
      </c>
      <c r="R62" s="54">
        <v>11000</v>
      </c>
      <c r="S62" s="101">
        <f t="shared" si="19"/>
        <v>8820</v>
      </c>
      <c r="T62" s="54">
        <f>9500+300</f>
        <v>9800</v>
      </c>
      <c r="U62" s="103">
        <f t="shared" si="26"/>
        <v>9800</v>
      </c>
      <c r="V62" s="104">
        <f t="shared" si="27"/>
        <v>12406.8</v>
      </c>
    </row>
    <row r="63" spans="1:29" s="40" customFormat="1" ht="18.75" x14ac:dyDescent="0.25">
      <c r="A63" s="133" t="s">
        <v>55</v>
      </c>
      <c r="B63" s="51" t="s">
        <v>396</v>
      </c>
      <c r="C63" s="94" t="s">
        <v>54</v>
      </c>
      <c r="D63" s="95" t="s">
        <v>383</v>
      </c>
      <c r="E63" s="96" t="s">
        <v>114</v>
      </c>
      <c r="F63" s="97" t="s">
        <v>270</v>
      </c>
      <c r="G63" s="98">
        <f t="shared" si="22"/>
        <v>12550</v>
      </c>
      <c r="H63" s="99">
        <f t="shared" si="23"/>
        <v>13570</v>
      </c>
      <c r="I63" s="99">
        <f t="shared" si="24"/>
        <v>13570</v>
      </c>
      <c r="J63" s="99">
        <f t="shared" si="25"/>
        <v>16300</v>
      </c>
      <c r="K63" s="57"/>
      <c r="L63" s="156" t="s">
        <v>384</v>
      </c>
      <c r="M63" s="52" t="s">
        <v>399</v>
      </c>
      <c r="N63" s="40">
        <v>0</v>
      </c>
      <c r="O63" s="53">
        <f>VLOOKUP(B63,DRAYAGE!$A$1:$C$107,3,FALSE)</f>
        <v>3320</v>
      </c>
      <c r="P63" s="40" t="str">
        <f>VLOOKUP($B63,DRAYAGE!$A$1:$Q$23,14,FALSE)</f>
        <v>Rail fee, drop fee, toll fee</v>
      </c>
      <c r="R63" s="103">
        <v>11000</v>
      </c>
      <c r="S63" s="101">
        <f t="shared" si="19"/>
        <v>9225</v>
      </c>
      <c r="T63" s="54">
        <v>10250</v>
      </c>
      <c r="U63" s="103">
        <f t="shared" si="26"/>
        <v>10250</v>
      </c>
      <c r="V63" s="104">
        <f t="shared" si="27"/>
        <v>12976.5</v>
      </c>
    </row>
    <row r="64" spans="1:29" s="40" customFormat="1" ht="18.75" x14ac:dyDescent="0.25">
      <c r="A64" s="133" t="s">
        <v>55</v>
      </c>
      <c r="B64" s="51" t="s">
        <v>392</v>
      </c>
      <c r="C64" s="94" t="s">
        <v>54</v>
      </c>
      <c r="D64" s="95" t="s">
        <v>383</v>
      </c>
      <c r="E64" s="96" t="s">
        <v>114</v>
      </c>
      <c r="F64" s="97" t="s">
        <v>270</v>
      </c>
      <c r="G64" s="98">
        <f t="shared" si="22"/>
        <v>12980</v>
      </c>
      <c r="H64" s="99">
        <f t="shared" si="23"/>
        <v>13960</v>
      </c>
      <c r="I64" s="99">
        <f t="shared" si="24"/>
        <v>13960</v>
      </c>
      <c r="J64" s="99">
        <f t="shared" si="25"/>
        <v>16570</v>
      </c>
      <c r="K64" s="57"/>
      <c r="L64" s="156" t="s">
        <v>384</v>
      </c>
      <c r="M64" s="52" t="s">
        <v>398</v>
      </c>
      <c r="N64" s="40">
        <v>0</v>
      </c>
      <c r="O64" s="53">
        <f>VLOOKUP(B64,DRAYAGE!$A$1:$C$107,3,FALSE)</f>
        <v>4155</v>
      </c>
      <c r="P64" s="40" t="str">
        <f>VLOOKUP($B64,DRAYAGE!$A$1:$Q$23,14,FALSE)</f>
        <v>Rail fee, chassis split, drop, toll</v>
      </c>
      <c r="R64" s="103">
        <v>11000</v>
      </c>
      <c r="S64" s="101">
        <f t="shared" si="19"/>
        <v>8820</v>
      </c>
      <c r="T64" s="54">
        <f>T62</f>
        <v>9800</v>
      </c>
      <c r="U64" s="103">
        <f t="shared" si="26"/>
        <v>9800</v>
      </c>
      <c r="V64" s="104">
        <f t="shared" si="27"/>
        <v>12406.8</v>
      </c>
    </row>
    <row r="65" spans="1:23" s="40" customFormat="1" ht="18.75" x14ac:dyDescent="0.25">
      <c r="A65" s="133" t="s">
        <v>55</v>
      </c>
      <c r="B65" s="51" t="s">
        <v>395</v>
      </c>
      <c r="C65" s="94" t="s">
        <v>54</v>
      </c>
      <c r="D65" s="95" t="s">
        <v>383</v>
      </c>
      <c r="E65" s="96" t="s">
        <v>114</v>
      </c>
      <c r="F65" s="97" t="s">
        <v>270</v>
      </c>
      <c r="G65" s="98">
        <f t="shared" si="22"/>
        <v>11510</v>
      </c>
      <c r="H65" s="99">
        <f t="shared" si="23"/>
        <v>12530</v>
      </c>
      <c r="I65" s="99">
        <f t="shared" si="24"/>
        <v>12530</v>
      </c>
      <c r="J65" s="99">
        <f t="shared" si="25"/>
        <v>15260</v>
      </c>
      <c r="K65" s="57"/>
      <c r="L65" s="156" t="s">
        <v>384</v>
      </c>
      <c r="M65" s="52" t="s">
        <v>400</v>
      </c>
      <c r="N65" s="40">
        <v>0</v>
      </c>
      <c r="O65" s="53">
        <f>VLOOKUP(B65,DRAYAGE!$A$1:$C$107,3,FALSE)</f>
        <v>2280</v>
      </c>
      <c r="P65" s="40" t="str">
        <f>VLOOKUP($B65,DRAYAGE!$A$1:$Q$23,14,FALSE)</f>
        <v>Rail fee, chassis split, drop</v>
      </c>
      <c r="R65" s="54">
        <v>11000</v>
      </c>
      <c r="S65" s="101">
        <f t="shared" si="19"/>
        <v>9225</v>
      </c>
      <c r="T65" s="54">
        <v>10250</v>
      </c>
      <c r="U65" s="103">
        <f t="shared" si="26"/>
        <v>10250</v>
      </c>
      <c r="V65" s="104">
        <f t="shared" si="27"/>
        <v>12976.5</v>
      </c>
    </row>
    <row r="66" spans="1:23" s="40" customFormat="1" ht="18.75" x14ac:dyDescent="0.25">
      <c r="A66" s="133" t="s">
        <v>55</v>
      </c>
      <c r="B66" s="51" t="s">
        <v>393</v>
      </c>
      <c r="C66" s="94" t="s">
        <v>54</v>
      </c>
      <c r="D66" s="95" t="s">
        <v>383</v>
      </c>
      <c r="E66" s="96" t="s">
        <v>114</v>
      </c>
      <c r="F66" s="97" t="s">
        <v>270</v>
      </c>
      <c r="G66" s="98">
        <f t="shared" si="22"/>
        <v>11630</v>
      </c>
      <c r="H66" s="99">
        <f t="shared" si="23"/>
        <v>12610</v>
      </c>
      <c r="I66" s="99">
        <f t="shared" si="24"/>
        <v>12610</v>
      </c>
      <c r="J66" s="99">
        <f t="shared" si="25"/>
        <v>15220</v>
      </c>
      <c r="K66" s="57"/>
      <c r="L66" s="156" t="s">
        <v>384</v>
      </c>
      <c r="M66" s="52" t="s">
        <v>398</v>
      </c>
      <c r="N66" s="40">
        <v>0</v>
      </c>
      <c r="O66" s="53">
        <f>VLOOKUP(B66,DRAYAGE!$A$1:$C$107,3,FALSE)</f>
        <v>2805</v>
      </c>
      <c r="P66" s="40" t="str">
        <f>VLOOKUP($B66,DRAYAGE!$A$1:$Q$23,14,FALSE)</f>
        <v>Rail fee, chassis split, drop, toll</v>
      </c>
      <c r="R66" s="54">
        <v>11000</v>
      </c>
      <c r="S66" s="101">
        <f t="shared" si="19"/>
        <v>8820</v>
      </c>
      <c r="T66" s="54">
        <f>T62</f>
        <v>9800</v>
      </c>
      <c r="U66" s="103">
        <f t="shared" si="26"/>
        <v>9800</v>
      </c>
      <c r="V66" s="104">
        <f t="shared" si="27"/>
        <v>12406.8</v>
      </c>
    </row>
    <row r="67" spans="1:23" s="40" customFormat="1" ht="18.75" x14ac:dyDescent="0.25">
      <c r="A67" s="133" t="s">
        <v>55</v>
      </c>
      <c r="B67" s="51" t="s">
        <v>394</v>
      </c>
      <c r="C67" s="94" t="s">
        <v>54</v>
      </c>
      <c r="D67" s="95" t="s">
        <v>383</v>
      </c>
      <c r="E67" s="96" t="s">
        <v>114</v>
      </c>
      <c r="F67" s="97" t="s">
        <v>270</v>
      </c>
      <c r="G67" s="98">
        <f t="shared" si="22"/>
        <v>10430</v>
      </c>
      <c r="H67" s="99">
        <f t="shared" si="23"/>
        <v>11390</v>
      </c>
      <c r="I67" s="99">
        <f t="shared" si="24"/>
        <v>11390</v>
      </c>
      <c r="J67" s="99">
        <f t="shared" si="25"/>
        <v>13940</v>
      </c>
      <c r="K67" s="57"/>
      <c r="L67" s="156" t="s">
        <v>384</v>
      </c>
      <c r="M67" s="52" t="s">
        <v>401</v>
      </c>
      <c r="N67" s="40">
        <v>0</v>
      </c>
      <c r="O67" s="53">
        <f>VLOOKUP(B67,DRAYAGE!$A$1:$C$107,3,FALSE)</f>
        <v>1785</v>
      </c>
      <c r="P67" s="40" t="str">
        <f>VLOOKUP($B67,DRAYAGE!$A$1:$Q$23,14,FALSE)</f>
        <v>chassis split, drop</v>
      </c>
      <c r="R67" s="101">
        <v>9900</v>
      </c>
      <c r="S67" s="101">
        <f t="shared" si="19"/>
        <v>8640</v>
      </c>
      <c r="T67" s="54">
        <f>9300+300</f>
        <v>9600</v>
      </c>
      <c r="U67" s="103">
        <f t="shared" si="26"/>
        <v>9600</v>
      </c>
      <c r="V67" s="104">
        <f t="shared" si="27"/>
        <v>12153.6</v>
      </c>
    </row>
    <row r="68" spans="1:23" s="40" customFormat="1" ht="18.75" x14ac:dyDescent="0.25">
      <c r="A68" s="133" t="s">
        <v>55</v>
      </c>
      <c r="B68" s="55" t="s">
        <v>419</v>
      </c>
      <c r="C68" s="94" t="s">
        <v>54</v>
      </c>
      <c r="D68" s="95" t="s">
        <v>383</v>
      </c>
      <c r="E68" s="96" t="s">
        <v>114</v>
      </c>
      <c r="F68" s="97" t="s">
        <v>270</v>
      </c>
      <c r="G68" s="166">
        <f t="shared" si="22"/>
        <v>5070</v>
      </c>
      <c r="H68" s="154">
        <f t="shared" si="23"/>
        <v>5410</v>
      </c>
      <c r="I68" s="154">
        <f t="shared" si="24"/>
        <v>5410</v>
      </c>
      <c r="J68" s="154">
        <f t="shared" si="25"/>
        <v>6310</v>
      </c>
      <c r="K68" s="57"/>
      <c r="L68" s="156" t="s">
        <v>384</v>
      </c>
      <c r="M68" s="52" t="s">
        <v>292</v>
      </c>
      <c r="N68" s="40">
        <v>0</v>
      </c>
      <c r="O68" s="53">
        <f>1485+165+35+70+250</f>
        <v>2005</v>
      </c>
      <c r="P68" s="40" t="s">
        <v>420</v>
      </c>
      <c r="R68" s="101"/>
      <c r="S68" s="101">
        <f t="shared" si="19"/>
        <v>3060</v>
      </c>
      <c r="T68" s="54">
        <v>3400</v>
      </c>
      <c r="U68" s="103">
        <f t="shared" si="26"/>
        <v>3400</v>
      </c>
      <c r="V68" s="104">
        <f t="shared" si="27"/>
        <v>4304.3999999999996</v>
      </c>
    </row>
    <row r="69" spans="1:23" s="40" customFormat="1" ht="14.45" customHeight="1" x14ac:dyDescent="0.25">
      <c r="A69" s="212" t="s">
        <v>271</v>
      </c>
      <c r="B69" s="212"/>
      <c r="C69" s="212"/>
      <c r="D69" s="212"/>
      <c r="E69" s="212"/>
      <c r="F69" s="212"/>
      <c r="G69" s="212"/>
      <c r="H69" s="212"/>
      <c r="I69" s="212"/>
      <c r="J69" s="212"/>
      <c r="K69" s="57"/>
      <c r="L69" s="100"/>
      <c r="M69" s="100"/>
      <c r="S69" s="37"/>
      <c r="T69" s="37"/>
      <c r="U69" s="37"/>
      <c r="V69" s="37"/>
      <c r="W69" s="37"/>
    </row>
    <row r="70" spans="1:23" s="32" customFormat="1" ht="12.75" x14ac:dyDescent="0.2">
      <c r="A70" s="31"/>
      <c r="B70" s="33"/>
      <c r="C70" s="33"/>
      <c r="D70" s="33"/>
      <c r="E70" s="33"/>
      <c r="F70" s="34"/>
      <c r="G70" s="34"/>
      <c r="H70" s="34"/>
      <c r="I70" s="34"/>
      <c r="J70" s="34"/>
      <c r="K70" s="57"/>
      <c r="L70" s="27"/>
      <c r="M70" s="27"/>
      <c r="N70" s="30"/>
      <c r="O70" s="30"/>
      <c r="P70" s="30"/>
      <c r="Q70" s="30"/>
      <c r="R70" s="30"/>
      <c r="S70" s="37"/>
      <c r="T70" s="37"/>
      <c r="U70" s="37"/>
      <c r="V70" s="37"/>
      <c r="W70" s="37"/>
    </row>
    <row r="71" spans="1:23" s="37" customFormat="1" ht="14.45" customHeight="1" x14ac:dyDescent="0.25">
      <c r="A71" s="180" t="s">
        <v>111</v>
      </c>
      <c r="B71" s="180"/>
      <c r="C71" s="180"/>
      <c r="D71" s="180"/>
      <c r="E71" s="180"/>
      <c r="F71" s="180"/>
      <c r="G71" s="180"/>
      <c r="H71" s="180"/>
      <c r="I71" s="180"/>
      <c r="J71" s="180"/>
      <c r="K71" s="57"/>
    </row>
    <row r="72" spans="1:23" s="37" customFormat="1" ht="14.45" customHeight="1" x14ac:dyDescent="0.25">
      <c r="A72" s="208" t="s">
        <v>112</v>
      </c>
      <c r="B72" s="208"/>
      <c r="C72" s="208"/>
      <c r="D72" s="208"/>
      <c r="E72" s="208"/>
      <c r="F72" s="208"/>
      <c r="G72" s="208"/>
      <c r="H72" s="208"/>
      <c r="I72" s="208"/>
      <c r="J72" s="208"/>
      <c r="K72" s="57"/>
    </row>
    <row r="73" spans="1:23" s="37" customFormat="1" ht="14.45" customHeight="1" x14ac:dyDescent="0.25">
      <c r="A73" s="186" t="s">
        <v>67</v>
      </c>
      <c r="B73" s="186"/>
      <c r="C73" s="186"/>
      <c r="D73" s="186"/>
      <c r="E73" s="186" t="s">
        <v>68</v>
      </c>
      <c r="F73" s="186"/>
      <c r="G73" s="186"/>
      <c r="H73" s="186"/>
      <c r="I73" s="186"/>
      <c r="J73" s="186"/>
      <c r="K73" s="57"/>
      <c r="L73" s="209" t="s">
        <v>113</v>
      </c>
      <c r="M73" s="209"/>
      <c r="N73" s="209"/>
      <c r="O73" s="209"/>
      <c r="P73" s="209"/>
      <c r="Q73" s="209"/>
    </row>
    <row r="74" spans="1:23" s="37" customFormat="1" ht="14.45" customHeight="1" x14ac:dyDescent="0.25">
      <c r="A74" s="196" t="s">
        <v>69</v>
      </c>
      <c r="B74" s="196"/>
      <c r="C74" s="196"/>
      <c r="D74" s="196"/>
      <c r="E74" s="58" t="s">
        <v>114</v>
      </c>
      <c r="F74" s="196" t="s">
        <v>70</v>
      </c>
      <c r="G74" s="196"/>
      <c r="H74" s="196"/>
      <c r="I74" s="196"/>
      <c r="J74" s="196"/>
      <c r="K74" s="57"/>
      <c r="L74" s="197" t="s">
        <v>115</v>
      </c>
      <c r="M74" s="197"/>
      <c r="N74" s="197"/>
      <c r="O74" s="197"/>
      <c r="P74" s="197"/>
      <c r="Q74" s="197"/>
    </row>
    <row r="75" spans="1:23" s="37" customFormat="1" ht="14.45" customHeight="1" x14ac:dyDescent="0.25">
      <c r="A75" s="196" t="s">
        <v>71</v>
      </c>
      <c r="B75" s="196"/>
      <c r="C75" s="196"/>
      <c r="D75" s="201"/>
      <c r="E75" s="58" t="s">
        <v>114</v>
      </c>
      <c r="F75" s="196" t="s">
        <v>116</v>
      </c>
      <c r="G75" s="196"/>
      <c r="H75" s="196"/>
      <c r="I75" s="196"/>
      <c r="J75" s="196"/>
      <c r="K75" s="57"/>
      <c r="L75" s="197"/>
      <c r="M75" s="197"/>
      <c r="N75" s="197"/>
      <c r="O75" s="197"/>
      <c r="P75" s="197"/>
      <c r="Q75" s="197"/>
    </row>
    <row r="76" spans="1:23" s="37" customFormat="1" ht="18" customHeight="1" x14ac:dyDescent="0.25">
      <c r="A76" s="196" t="s">
        <v>117</v>
      </c>
      <c r="B76" s="196"/>
      <c r="C76" s="196"/>
      <c r="D76" s="201"/>
      <c r="E76" s="58" t="s">
        <v>114</v>
      </c>
      <c r="F76" s="196" t="s">
        <v>306</v>
      </c>
      <c r="G76" s="196"/>
      <c r="H76" s="196"/>
      <c r="I76" s="196"/>
      <c r="J76" s="196"/>
      <c r="K76" s="57"/>
      <c r="L76" s="59" t="s">
        <v>118</v>
      </c>
      <c r="M76" s="129"/>
      <c r="N76" s="129"/>
      <c r="O76" s="129"/>
      <c r="P76" s="129"/>
      <c r="Q76" s="129"/>
    </row>
    <row r="77" spans="1:23" s="37" customFormat="1" ht="32.65" customHeight="1" x14ac:dyDescent="0.25">
      <c r="A77" s="202" t="s">
        <v>388</v>
      </c>
      <c r="B77" s="202"/>
      <c r="C77" s="202"/>
      <c r="D77" s="203"/>
      <c r="E77" s="58" t="s">
        <v>127</v>
      </c>
      <c r="F77" s="185" t="s">
        <v>423</v>
      </c>
      <c r="G77" s="185"/>
      <c r="H77" s="185"/>
      <c r="I77" s="185"/>
      <c r="J77" s="185"/>
      <c r="K77" s="57"/>
      <c r="L77" s="59" t="s">
        <v>118</v>
      </c>
      <c r="M77" s="129"/>
      <c r="N77" s="129"/>
      <c r="O77" s="129"/>
      <c r="P77" s="129"/>
      <c r="Q77" s="129"/>
    </row>
    <row r="78" spans="1:23" s="37" customFormat="1" ht="36.950000000000003" customHeight="1" x14ac:dyDescent="0.25">
      <c r="A78" s="196" t="s">
        <v>367</v>
      </c>
      <c r="B78" s="196"/>
      <c r="C78" s="196"/>
      <c r="D78" s="201"/>
      <c r="E78" s="58" t="s">
        <v>114</v>
      </c>
      <c r="F78" s="185" t="s">
        <v>368</v>
      </c>
      <c r="G78" s="185"/>
      <c r="H78" s="185"/>
      <c r="I78" s="185"/>
      <c r="J78" s="185"/>
      <c r="K78" s="57"/>
      <c r="L78" s="59" t="s">
        <v>118</v>
      </c>
      <c r="M78" s="129"/>
      <c r="N78" s="129"/>
      <c r="O78" s="129"/>
      <c r="P78" s="129"/>
      <c r="Q78" s="129"/>
    </row>
    <row r="79" spans="1:23" s="37" customFormat="1" ht="40.5" customHeight="1" x14ac:dyDescent="0.25">
      <c r="A79" s="229" t="s">
        <v>309</v>
      </c>
      <c r="B79" s="229"/>
      <c r="C79" s="229"/>
      <c r="D79" s="198"/>
      <c r="E79" s="58" t="s">
        <v>114</v>
      </c>
      <c r="F79" s="229" t="s">
        <v>310</v>
      </c>
      <c r="G79" s="229"/>
      <c r="H79" s="229"/>
      <c r="I79" s="229"/>
      <c r="J79" s="229"/>
      <c r="K79" s="132"/>
      <c r="L79" s="59" t="s">
        <v>118</v>
      </c>
      <c r="M79" s="129"/>
      <c r="N79" s="129"/>
      <c r="O79" s="129"/>
      <c r="P79" s="129"/>
      <c r="Q79" s="129"/>
    </row>
    <row r="80" spans="1:23" s="37" customFormat="1" ht="14.45" customHeight="1" x14ac:dyDescent="0.25">
      <c r="A80" s="196" t="s">
        <v>119</v>
      </c>
      <c r="B80" s="196"/>
      <c r="C80" s="196"/>
      <c r="D80" s="196"/>
      <c r="E80" s="58" t="s">
        <v>114</v>
      </c>
      <c r="F80" s="196" t="s">
        <v>120</v>
      </c>
      <c r="G80" s="196"/>
      <c r="H80" s="196"/>
      <c r="I80" s="196"/>
      <c r="J80" s="196"/>
      <c r="K80" s="132"/>
      <c r="L80" s="197" t="s">
        <v>121</v>
      </c>
      <c r="M80" s="197"/>
      <c r="N80" s="197"/>
      <c r="O80" s="197"/>
      <c r="P80" s="197"/>
      <c r="Q80" s="197"/>
    </row>
    <row r="81" spans="1:17" s="37" customFormat="1" ht="14.45" customHeight="1" x14ac:dyDescent="0.25">
      <c r="A81" s="196" t="s">
        <v>122</v>
      </c>
      <c r="B81" s="196"/>
      <c r="C81" s="196"/>
      <c r="D81" s="196"/>
      <c r="E81" s="58" t="s">
        <v>114</v>
      </c>
      <c r="F81" s="196" t="s">
        <v>123</v>
      </c>
      <c r="G81" s="196"/>
      <c r="H81" s="196"/>
      <c r="I81" s="196"/>
      <c r="J81" s="196"/>
      <c r="K81" s="132"/>
      <c r="L81" s="197"/>
      <c r="M81" s="197"/>
      <c r="N81" s="197"/>
      <c r="O81" s="197"/>
      <c r="P81" s="197"/>
      <c r="Q81" s="197"/>
    </row>
    <row r="82" spans="1:17" s="37" customFormat="1" ht="14.45" customHeight="1" x14ac:dyDescent="0.25">
      <c r="A82" s="196" t="s">
        <v>277</v>
      </c>
      <c r="B82" s="196"/>
      <c r="C82" s="196"/>
      <c r="D82" s="196"/>
      <c r="E82" s="58" t="s">
        <v>114</v>
      </c>
      <c r="F82" s="196" t="s">
        <v>278</v>
      </c>
      <c r="G82" s="196"/>
      <c r="H82" s="196"/>
      <c r="I82" s="196"/>
      <c r="J82" s="196"/>
      <c r="K82" s="132"/>
      <c r="L82" s="197"/>
      <c r="M82" s="197"/>
      <c r="N82" s="197"/>
      <c r="O82" s="197"/>
      <c r="P82" s="197"/>
      <c r="Q82" s="197"/>
    </row>
    <row r="83" spans="1:17" s="37" customFormat="1" ht="14.45" customHeight="1" x14ac:dyDescent="0.25">
      <c r="A83" s="196" t="s">
        <v>124</v>
      </c>
      <c r="B83" s="196"/>
      <c r="C83" s="196"/>
      <c r="D83" s="196"/>
      <c r="E83" s="58" t="s">
        <v>114</v>
      </c>
      <c r="F83" s="196" t="s">
        <v>125</v>
      </c>
      <c r="G83" s="196"/>
      <c r="H83" s="196"/>
      <c r="I83" s="196"/>
      <c r="J83" s="196"/>
      <c r="K83" s="132"/>
      <c r="L83" s="197"/>
      <c r="M83" s="197"/>
      <c r="N83" s="197"/>
      <c r="O83" s="197"/>
      <c r="P83" s="197"/>
      <c r="Q83" s="197"/>
    </row>
    <row r="84" spans="1:17" s="37" customFormat="1" ht="18.95" customHeight="1" x14ac:dyDescent="0.25">
      <c r="A84" s="196" t="s">
        <v>126</v>
      </c>
      <c r="B84" s="196"/>
      <c r="C84" s="196"/>
      <c r="D84" s="201"/>
      <c r="E84" s="58" t="s">
        <v>127</v>
      </c>
      <c r="F84" s="128" t="s">
        <v>409</v>
      </c>
      <c r="G84" s="185" t="s">
        <v>410</v>
      </c>
      <c r="H84" s="185"/>
      <c r="I84" s="185"/>
      <c r="J84" s="185"/>
      <c r="K84" s="132"/>
      <c r="L84" s="197" t="s">
        <v>130</v>
      </c>
      <c r="M84" s="197"/>
      <c r="N84" s="197"/>
      <c r="O84" s="197"/>
      <c r="P84" s="197"/>
      <c r="Q84" s="197"/>
    </row>
    <row r="85" spans="1:17" s="37" customFormat="1" ht="24.95" customHeight="1" x14ac:dyDescent="0.25">
      <c r="A85" s="196" t="s">
        <v>126</v>
      </c>
      <c r="B85" s="196"/>
      <c r="C85" s="196"/>
      <c r="D85" s="196"/>
      <c r="E85" s="58" t="s">
        <v>127</v>
      </c>
      <c r="F85" s="128" t="s">
        <v>131</v>
      </c>
      <c r="G85" s="185" t="s">
        <v>374</v>
      </c>
      <c r="H85" s="185"/>
      <c r="I85" s="185"/>
      <c r="J85" s="185"/>
      <c r="K85" s="132"/>
      <c r="L85" s="197" t="s">
        <v>130</v>
      </c>
      <c r="M85" s="197"/>
      <c r="N85" s="197"/>
      <c r="O85" s="197"/>
      <c r="P85" s="197"/>
      <c r="Q85" s="197"/>
    </row>
    <row r="86" spans="1:17" s="37" customFormat="1" ht="24.95" customHeight="1" x14ac:dyDescent="0.25">
      <c r="A86" s="196" t="s">
        <v>372</v>
      </c>
      <c r="B86" s="196"/>
      <c r="C86" s="196"/>
      <c r="D86" s="196"/>
      <c r="E86" s="58" t="s">
        <v>127</v>
      </c>
      <c r="F86" s="128" t="s">
        <v>131</v>
      </c>
      <c r="G86" s="185" t="s">
        <v>385</v>
      </c>
      <c r="H86" s="185"/>
      <c r="I86" s="185"/>
      <c r="J86" s="185"/>
      <c r="K86" s="132"/>
      <c r="L86" s="197" t="s">
        <v>130</v>
      </c>
      <c r="M86" s="197"/>
      <c r="N86" s="197"/>
      <c r="O86" s="197"/>
      <c r="P86" s="197"/>
      <c r="Q86" s="197"/>
    </row>
    <row r="87" spans="1:17" s="37" customFormat="1" ht="37.5" customHeight="1" x14ac:dyDescent="0.25">
      <c r="A87" s="198" t="s">
        <v>311</v>
      </c>
      <c r="B87" s="199"/>
      <c r="C87" s="199"/>
      <c r="D87" s="200"/>
      <c r="E87" s="198" t="s">
        <v>312</v>
      </c>
      <c r="F87" s="199"/>
      <c r="G87" s="199"/>
      <c r="H87" s="199"/>
      <c r="I87" s="199"/>
      <c r="J87" s="200"/>
      <c r="K87" s="132"/>
      <c r="L87" s="197"/>
      <c r="M87" s="197"/>
      <c r="N87" s="197"/>
      <c r="O87" s="197"/>
      <c r="P87" s="197"/>
      <c r="Q87" s="197"/>
    </row>
    <row r="88" spans="1:17" s="37" customFormat="1" ht="14.45" customHeight="1" x14ac:dyDescent="0.25">
      <c r="A88" s="180" t="s">
        <v>133</v>
      </c>
      <c r="B88" s="180"/>
      <c r="C88" s="180"/>
      <c r="D88" s="180"/>
      <c r="E88" s="180"/>
      <c r="F88" s="180"/>
      <c r="G88" s="180"/>
      <c r="H88" s="180"/>
      <c r="I88" s="180"/>
      <c r="J88" s="180"/>
      <c r="K88" s="57"/>
      <c r="L88" s="129"/>
      <c r="M88" s="129"/>
    </row>
    <row r="89" spans="1:17" s="37" customFormat="1" ht="14.45" customHeight="1" x14ac:dyDescent="0.2">
      <c r="A89" s="60" t="s">
        <v>134</v>
      </c>
      <c r="B89" s="60" t="s">
        <v>135</v>
      </c>
      <c r="C89" s="60" t="s">
        <v>136</v>
      </c>
      <c r="D89" s="193" t="s">
        <v>137</v>
      </c>
      <c r="E89" s="194"/>
      <c r="F89" s="195"/>
      <c r="G89" s="61" t="s">
        <v>138</v>
      </c>
      <c r="H89" s="60" t="s">
        <v>139</v>
      </c>
      <c r="I89" s="61" t="s">
        <v>140</v>
      </c>
      <c r="J89" s="61" t="s">
        <v>141</v>
      </c>
      <c r="K89" s="57"/>
      <c r="L89" s="129"/>
      <c r="M89" s="129"/>
    </row>
    <row r="90" spans="1:17" s="37" customFormat="1" ht="14.45" customHeight="1" x14ac:dyDescent="0.2">
      <c r="A90" s="62" t="s">
        <v>142</v>
      </c>
      <c r="B90" s="62" t="s">
        <v>49</v>
      </c>
      <c r="C90" s="62" t="s">
        <v>143</v>
      </c>
      <c r="D90" s="187" t="s">
        <v>144</v>
      </c>
      <c r="E90" s="188"/>
      <c r="F90" s="189"/>
      <c r="G90" s="63">
        <v>50</v>
      </c>
      <c r="H90" s="62" t="s">
        <v>145</v>
      </c>
      <c r="I90" s="63">
        <v>150</v>
      </c>
      <c r="J90" s="63" t="s">
        <v>110</v>
      </c>
      <c r="K90" s="57"/>
      <c r="L90" s="129"/>
      <c r="M90" s="129"/>
    </row>
    <row r="91" spans="1:17" s="37" customFormat="1" ht="14.45" hidden="1" customHeight="1" x14ac:dyDescent="0.2">
      <c r="A91" s="62" t="s">
        <v>142</v>
      </c>
      <c r="B91" s="62" t="s">
        <v>146</v>
      </c>
      <c r="C91" s="62" t="s">
        <v>147</v>
      </c>
      <c r="D91" s="187" t="s">
        <v>148</v>
      </c>
      <c r="E91" s="188"/>
      <c r="F91" s="189"/>
      <c r="G91" s="63">
        <v>3</v>
      </c>
      <c r="H91" s="62" t="s">
        <v>149</v>
      </c>
      <c r="I91" s="63">
        <v>3</v>
      </c>
      <c r="J91" s="63" t="s">
        <v>110</v>
      </c>
      <c r="K91" s="57"/>
      <c r="L91" s="129"/>
      <c r="M91" s="129"/>
    </row>
    <row r="92" spans="1:17" s="37" customFormat="1" ht="14.45" hidden="1" customHeight="1" x14ac:dyDescent="0.2">
      <c r="A92" s="62" t="s">
        <v>150</v>
      </c>
      <c r="B92" s="62" t="s">
        <v>146</v>
      </c>
      <c r="C92" s="62" t="s">
        <v>147</v>
      </c>
      <c r="D92" s="187" t="s">
        <v>151</v>
      </c>
      <c r="E92" s="188"/>
      <c r="F92" s="189"/>
      <c r="G92" s="63">
        <v>3</v>
      </c>
      <c r="H92" s="62" t="s">
        <v>152</v>
      </c>
      <c r="I92" s="63">
        <v>3</v>
      </c>
      <c r="J92" s="63" t="s">
        <v>110</v>
      </c>
      <c r="K92" s="57"/>
      <c r="L92" s="129"/>
      <c r="M92" s="129"/>
    </row>
    <row r="93" spans="1:17" s="37" customFormat="1" ht="14.45" customHeight="1" x14ac:dyDescent="0.2">
      <c r="A93" s="62" t="s">
        <v>173</v>
      </c>
      <c r="B93" s="62" t="s">
        <v>49</v>
      </c>
      <c r="C93" s="62" t="s">
        <v>143</v>
      </c>
      <c r="D93" s="187" t="s">
        <v>313</v>
      </c>
      <c r="E93" s="188"/>
      <c r="F93" s="189"/>
      <c r="G93" s="66">
        <v>75</v>
      </c>
      <c r="H93" s="62" t="s">
        <v>145</v>
      </c>
      <c r="I93" s="66">
        <f>75*3</f>
        <v>225</v>
      </c>
      <c r="J93" s="66" t="s">
        <v>314</v>
      </c>
      <c r="K93" s="132"/>
      <c r="L93" s="129"/>
      <c r="M93" s="129"/>
    </row>
    <row r="94" spans="1:17" s="37" customFormat="1" ht="14.45" customHeight="1" x14ac:dyDescent="0.2">
      <c r="A94" s="62" t="s">
        <v>142</v>
      </c>
      <c r="B94" s="62" t="s">
        <v>49</v>
      </c>
      <c r="C94" s="62" t="s">
        <v>143</v>
      </c>
      <c r="D94" s="187" t="s">
        <v>279</v>
      </c>
      <c r="E94" s="188"/>
      <c r="F94" s="189"/>
      <c r="G94" s="63">
        <v>150</v>
      </c>
      <c r="H94" s="62" t="s">
        <v>280</v>
      </c>
      <c r="I94" s="63" t="s">
        <v>153</v>
      </c>
      <c r="J94" s="63" t="s">
        <v>110</v>
      </c>
      <c r="K94" s="57"/>
      <c r="L94" s="129"/>
      <c r="M94" s="129"/>
    </row>
    <row r="95" spans="1:17" s="37" customFormat="1" ht="14.45" customHeight="1" x14ac:dyDescent="0.2">
      <c r="A95" s="62" t="s">
        <v>154</v>
      </c>
      <c r="B95" s="62" t="s">
        <v>49</v>
      </c>
      <c r="C95" s="62" t="s">
        <v>143</v>
      </c>
      <c r="D95" s="187" t="s">
        <v>155</v>
      </c>
      <c r="E95" s="188"/>
      <c r="F95" s="189"/>
      <c r="G95" s="63">
        <v>250</v>
      </c>
      <c r="H95" s="62" t="s">
        <v>49</v>
      </c>
      <c r="I95" s="63" t="s">
        <v>153</v>
      </c>
      <c r="J95" s="63" t="s">
        <v>110</v>
      </c>
      <c r="K95" s="57"/>
      <c r="L95" s="129"/>
      <c r="M95" s="129"/>
    </row>
    <row r="96" spans="1:17" s="37" customFormat="1" ht="14.45" customHeight="1" x14ac:dyDescent="0.2">
      <c r="A96" s="65" t="s">
        <v>156</v>
      </c>
      <c r="B96" s="65" t="s">
        <v>49</v>
      </c>
      <c r="C96" s="65" t="s">
        <v>143</v>
      </c>
      <c r="D96" s="187" t="s">
        <v>157</v>
      </c>
      <c r="E96" s="188"/>
      <c r="F96" s="189"/>
      <c r="G96" s="63">
        <v>250</v>
      </c>
      <c r="H96" s="62" t="s">
        <v>49</v>
      </c>
      <c r="I96" s="63" t="s">
        <v>153</v>
      </c>
      <c r="J96" s="63" t="s">
        <v>110</v>
      </c>
      <c r="K96" s="57"/>
      <c r="L96" s="129"/>
      <c r="M96" s="129"/>
    </row>
    <row r="97" spans="1:13" s="37" customFormat="1" ht="14.45" customHeight="1" x14ac:dyDescent="0.2">
      <c r="A97" s="62" t="s">
        <v>142</v>
      </c>
      <c r="B97" s="62" t="s">
        <v>49</v>
      </c>
      <c r="C97" s="62" t="s">
        <v>143</v>
      </c>
      <c r="D97" s="187" t="s">
        <v>281</v>
      </c>
      <c r="E97" s="188"/>
      <c r="F97" s="189"/>
      <c r="G97" s="63">
        <v>200</v>
      </c>
      <c r="H97" s="62" t="s">
        <v>280</v>
      </c>
      <c r="I97" s="63" t="s">
        <v>153</v>
      </c>
      <c r="J97" s="63" t="s">
        <v>110</v>
      </c>
      <c r="K97" s="57"/>
      <c r="L97" s="129"/>
      <c r="M97" s="129"/>
    </row>
    <row r="98" spans="1:13" s="37" customFormat="1" ht="14.45" customHeight="1" x14ac:dyDescent="0.2">
      <c r="A98" s="62" t="s">
        <v>142</v>
      </c>
      <c r="B98" s="62" t="s">
        <v>49</v>
      </c>
      <c r="C98" s="62" t="s">
        <v>143</v>
      </c>
      <c r="D98" s="187" t="s">
        <v>158</v>
      </c>
      <c r="E98" s="188"/>
      <c r="F98" s="189"/>
      <c r="G98" s="66">
        <v>150</v>
      </c>
      <c r="H98" s="62" t="s">
        <v>49</v>
      </c>
      <c r="I98" s="66" t="s">
        <v>153</v>
      </c>
      <c r="J98" s="63" t="s">
        <v>110</v>
      </c>
      <c r="K98" s="57"/>
      <c r="L98" s="129"/>
      <c r="M98" s="129"/>
    </row>
    <row r="99" spans="1:13" s="37" customFormat="1" ht="14.45" customHeight="1" x14ac:dyDescent="0.2">
      <c r="A99" s="62" t="s">
        <v>150</v>
      </c>
      <c r="B99" s="67" t="s">
        <v>49</v>
      </c>
      <c r="C99" s="62" t="s">
        <v>143</v>
      </c>
      <c r="D99" s="187" t="s">
        <v>159</v>
      </c>
      <c r="E99" s="188"/>
      <c r="F99" s="189"/>
      <c r="G99" s="68">
        <v>180</v>
      </c>
      <c r="H99" s="67" t="s">
        <v>49</v>
      </c>
      <c r="I99" s="68" t="s">
        <v>153</v>
      </c>
      <c r="J99" s="63" t="s">
        <v>110</v>
      </c>
      <c r="K99" s="57"/>
      <c r="L99" s="129"/>
      <c r="M99" s="129"/>
    </row>
    <row r="100" spans="1:13" s="37" customFormat="1" ht="14.45" customHeight="1" x14ac:dyDescent="0.2">
      <c r="A100" s="62" t="s">
        <v>160</v>
      </c>
      <c r="B100" s="67" t="s">
        <v>49</v>
      </c>
      <c r="C100" s="62" t="s">
        <v>143</v>
      </c>
      <c r="D100" s="187" t="s">
        <v>161</v>
      </c>
      <c r="E100" s="188"/>
      <c r="F100" s="189"/>
      <c r="G100" s="69">
        <v>47.9</v>
      </c>
      <c r="H100" s="67" t="s">
        <v>24</v>
      </c>
      <c r="I100" s="69">
        <v>47.9</v>
      </c>
      <c r="J100" s="63" t="s">
        <v>110</v>
      </c>
      <c r="K100" s="57"/>
      <c r="L100" s="129"/>
      <c r="M100" s="129"/>
    </row>
    <row r="101" spans="1:13" s="37" customFormat="1" ht="14.45" customHeight="1" x14ac:dyDescent="0.2">
      <c r="A101" s="62" t="s">
        <v>160</v>
      </c>
      <c r="B101" s="67" t="s">
        <v>49</v>
      </c>
      <c r="C101" s="62" t="s">
        <v>143</v>
      </c>
      <c r="D101" s="187" t="s">
        <v>161</v>
      </c>
      <c r="E101" s="188"/>
      <c r="F101" s="189"/>
      <c r="G101" s="69">
        <v>65.400000000000006</v>
      </c>
      <c r="H101" s="67" t="s">
        <v>162</v>
      </c>
      <c r="I101" s="69">
        <v>65.400000000000006</v>
      </c>
      <c r="J101" s="63" t="s">
        <v>110</v>
      </c>
      <c r="K101" s="57"/>
      <c r="L101" s="129"/>
      <c r="M101" s="129"/>
    </row>
    <row r="102" spans="1:13" s="37" customFormat="1" ht="14.1" customHeight="1" x14ac:dyDescent="0.2">
      <c r="A102" s="62" t="s">
        <v>163</v>
      </c>
      <c r="B102" s="67" t="s">
        <v>49</v>
      </c>
      <c r="C102" s="62" t="s">
        <v>143</v>
      </c>
      <c r="D102" s="187" t="s">
        <v>164</v>
      </c>
      <c r="E102" s="188"/>
      <c r="F102" s="189"/>
      <c r="G102" s="69">
        <v>48</v>
      </c>
      <c r="H102" s="67" t="s">
        <v>49</v>
      </c>
      <c r="I102" s="69">
        <v>48</v>
      </c>
      <c r="J102" s="63" t="s">
        <v>110</v>
      </c>
      <c r="K102" s="57"/>
      <c r="L102" s="129"/>
      <c r="M102" s="129"/>
    </row>
    <row r="103" spans="1:13" s="37" customFormat="1" ht="14.45" customHeight="1" x14ac:dyDescent="0.2">
      <c r="A103" s="62" t="s">
        <v>163</v>
      </c>
      <c r="B103" s="67" t="s">
        <v>49</v>
      </c>
      <c r="C103" s="62" t="s">
        <v>143</v>
      </c>
      <c r="D103" s="187" t="s">
        <v>165</v>
      </c>
      <c r="E103" s="188"/>
      <c r="F103" s="189"/>
      <c r="G103" s="69">
        <v>18</v>
      </c>
      <c r="H103" s="67" t="s">
        <v>49</v>
      </c>
      <c r="I103" s="69">
        <v>18</v>
      </c>
      <c r="J103" s="63" t="s">
        <v>110</v>
      </c>
      <c r="K103" s="57"/>
      <c r="L103" s="129"/>
      <c r="M103" s="129"/>
    </row>
    <row r="104" spans="1:13" s="37" customFormat="1" ht="14.45" customHeight="1" x14ac:dyDescent="0.2">
      <c r="A104" s="62" t="s">
        <v>163</v>
      </c>
      <c r="B104" s="67" t="s">
        <v>49</v>
      </c>
      <c r="C104" s="62" t="s">
        <v>143</v>
      </c>
      <c r="D104" s="187" t="s">
        <v>166</v>
      </c>
      <c r="E104" s="188"/>
      <c r="F104" s="189"/>
      <c r="G104" s="69">
        <v>42</v>
      </c>
      <c r="H104" s="67" t="s">
        <v>49</v>
      </c>
      <c r="I104" s="69">
        <v>42</v>
      </c>
      <c r="J104" s="63" t="s">
        <v>110</v>
      </c>
      <c r="K104" s="57"/>
      <c r="L104" s="129"/>
      <c r="M104" s="129"/>
    </row>
    <row r="105" spans="1:13" s="37" customFormat="1" ht="14.45" customHeight="1" x14ac:dyDescent="0.2">
      <c r="A105" s="62" t="s">
        <v>167</v>
      </c>
      <c r="B105" s="62" t="s">
        <v>49</v>
      </c>
      <c r="C105" s="62" t="s">
        <v>143</v>
      </c>
      <c r="D105" s="187" t="s">
        <v>168</v>
      </c>
      <c r="E105" s="188"/>
      <c r="F105" s="189"/>
      <c r="G105" s="66">
        <v>54</v>
      </c>
      <c r="H105" s="62" t="s">
        <v>49</v>
      </c>
      <c r="I105" s="66">
        <v>54</v>
      </c>
      <c r="J105" s="63" t="s">
        <v>110</v>
      </c>
      <c r="K105" s="57"/>
      <c r="L105" s="129"/>
      <c r="M105" s="129"/>
    </row>
    <row r="106" spans="1:13" s="37" customFormat="1" ht="14.45" customHeight="1" x14ac:dyDescent="0.2">
      <c r="A106" s="67" t="s">
        <v>169</v>
      </c>
      <c r="B106" s="67" t="s">
        <v>49</v>
      </c>
      <c r="C106" s="67" t="s">
        <v>147</v>
      </c>
      <c r="D106" s="187" t="s">
        <v>170</v>
      </c>
      <c r="E106" s="188"/>
      <c r="F106" s="189"/>
      <c r="G106" s="70">
        <v>35</v>
      </c>
      <c r="H106" s="70" t="s">
        <v>280</v>
      </c>
      <c r="I106" s="70">
        <v>35</v>
      </c>
      <c r="J106" s="63" t="s">
        <v>110</v>
      </c>
      <c r="K106" s="57"/>
      <c r="L106" s="129"/>
      <c r="M106" s="129"/>
    </row>
    <row r="107" spans="1:13" s="37" customFormat="1" ht="14.45" customHeight="1" x14ac:dyDescent="0.2">
      <c r="A107" s="62" t="s">
        <v>142</v>
      </c>
      <c r="B107" s="62" t="s">
        <v>49</v>
      </c>
      <c r="C107" s="62" t="s">
        <v>143</v>
      </c>
      <c r="D107" s="187" t="s">
        <v>171</v>
      </c>
      <c r="E107" s="188"/>
      <c r="F107" s="189"/>
      <c r="G107" s="63">
        <v>85</v>
      </c>
      <c r="H107" s="62" t="s">
        <v>172</v>
      </c>
      <c r="I107" s="63" t="s">
        <v>153</v>
      </c>
      <c r="J107" s="63" t="s">
        <v>110</v>
      </c>
      <c r="K107" s="57"/>
      <c r="L107" s="129"/>
      <c r="M107" s="129"/>
    </row>
    <row r="108" spans="1:13" s="37" customFormat="1" ht="14.45" hidden="1" customHeight="1" x14ac:dyDescent="0.2">
      <c r="A108" s="62" t="s">
        <v>173</v>
      </c>
      <c r="B108" s="62" t="s">
        <v>146</v>
      </c>
      <c r="C108" s="62" t="s">
        <v>147</v>
      </c>
      <c r="D108" s="187" t="s">
        <v>174</v>
      </c>
      <c r="E108" s="188"/>
      <c r="F108" s="189"/>
      <c r="G108" s="63">
        <v>4</v>
      </c>
      <c r="H108" s="62" t="s">
        <v>149</v>
      </c>
      <c r="I108" s="63">
        <v>4</v>
      </c>
      <c r="J108" s="63" t="s">
        <v>110</v>
      </c>
      <c r="K108" s="57"/>
      <c r="L108" s="129"/>
      <c r="M108" s="129"/>
    </row>
    <row r="109" spans="1:13" s="37" customFormat="1" ht="24" customHeight="1" x14ac:dyDescent="0.2">
      <c r="A109" s="62" t="s">
        <v>173</v>
      </c>
      <c r="B109" s="62" t="s">
        <v>49</v>
      </c>
      <c r="C109" s="62" t="s">
        <v>143</v>
      </c>
      <c r="D109" s="187" t="s">
        <v>175</v>
      </c>
      <c r="E109" s="188"/>
      <c r="F109" s="189"/>
      <c r="G109" s="137" t="s">
        <v>348</v>
      </c>
      <c r="H109" s="62" t="s">
        <v>24</v>
      </c>
      <c r="I109" s="66" t="s">
        <v>153</v>
      </c>
      <c r="J109" s="63" t="s">
        <v>282</v>
      </c>
      <c r="K109" s="57"/>
      <c r="L109" s="129"/>
      <c r="M109" s="129"/>
    </row>
    <row r="110" spans="1:13" s="37" customFormat="1" ht="27" customHeight="1" x14ac:dyDescent="0.2">
      <c r="A110" s="62" t="s">
        <v>173</v>
      </c>
      <c r="B110" s="62" t="s">
        <v>49</v>
      </c>
      <c r="C110" s="62" t="s">
        <v>143</v>
      </c>
      <c r="D110" s="187" t="s">
        <v>176</v>
      </c>
      <c r="E110" s="188"/>
      <c r="F110" s="189"/>
      <c r="G110" s="137" t="s">
        <v>348</v>
      </c>
      <c r="H110" s="62" t="s">
        <v>162</v>
      </c>
      <c r="I110" s="66" t="s">
        <v>153</v>
      </c>
      <c r="J110" s="63" t="s">
        <v>282</v>
      </c>
      <c r="K110" s="57"/>
      <c r="L110" s="129"/>
      <c r="M110" s="129"/>
    </row>
    <row r="111" spans="1:13" s="152" customFormat="1" ht="52.35" customHeight="1" x14ac:dyDescent="0.2">
      <c r="A111" s="67" t="s">
        <v>142</v>
      </c>
      <c r="B111" s="67" t="s">
        <v>49</v>
      </c>
      <c r="C111" s="147" t="s">
        <v>362</v>
      </c>
      <c r="D111" s="190" t="s">
        <v>363</v>
      </c>
      <c r="E111" s="191"/>
      <c r="F111" s="192"/>
      <c r="G111" s="146" t="s">
        <v>371</v>
      </c>
      <c r="H111" s="148" t="s">
        <v>280</v>
      </c>
      <c r="I111" s="69" t="s">
        <v>153</v>
      </c>
      <c r="J111" s="149" t="s">
        <v>365</v>
      </c>
      <c r="K111" s="111"/>
      <c r="L111" s="151"/>
      <c r="M111" s="151"/>
    </row>
    <row r="112" spans="1:13" s="37" customFormat="1" ht="14.45" hidden="1" customHeight="1" x14ac:dyDescent="0.2">
      <c r="A112" s="62" t="s">
        <v>173</v>
      </c>
      <c r="B112" s="62" t="s">
        <v>146</v>
      </c>
      <c r="C112" s="62" t="s">
        <v>147</v>
      </c>
      <c r="D112" s="187" t="s">
        <v>177</v>
      </c>
      <c r="E112" s="188"/>
      <c r="F112" s="189"/>
      <c r="G112" s="63">
        <v>2</v>
      </c>
      <c r="H112" s="62" t="s">
        <v>149</v>
      </c>
      <c r="I112" s="63">
        <v>2</v>
      </c>
      <c r="J112" s="63" t="s">
        <v>110</v>
      </c>
      <c r="K112" s="57"/>
      <c r="L112" s="129"/>
      <c r="M112" s="129"/>
    </row>
    <row r="113" spans="1:16" s="37" customFormat="1" ht="14.45" hidden="1" customHeight="1" x14ac:dyDescent="0.2">
      <c r="A113" s="62" t="s">
        <v>173</v>
      </c>
      <c r="B113" s="62" t="s">
        <v>146</v>
      </c>
      <c r="C113" s="62" t="s">
        <v>283</v>
      </c>
      <c r="D113" s="187" t="s">
        <v>284</v>
      </c>
      <c r="E113" s="188"/>
      <c r="F113" s="189"/>
      <c r="G113" s="63">
        <v>10</v>
      </c>
      <c r="H113" s="62" t="s">
        <v>285</v>
      </c>
      <c r="I113" s="63" t="s">
        <v>153</v>
      </c>
      <c r="J113" s="63" t="s">
        <v>110</v>
      </c>
      <c r="K113" s="57"/>
      <c r="L113" s="129"/>
      <c r="M113" s="129"/>
    </row>
    <row r="114" spans="1:16" s="37" customFormat="1" ht="14.45" customHeight="1" x14ac:dyDescent="0.2">
      <c r="A114" s="62" t="s">
        <v>142</v>
      </c>
      <c r="B114" s="62" t="s">
        <v>49</v>
      </c>
      <c r="C114" s="62" t="s">
        <v>143</v>
      </c>
      <c r="D114" s="187" t="s">
        <v>178</v>
      </c>
      <c r="E114" s="188"/>
      <c r="F114" s="189"/>
      <c r="G114" s="63">
        <v>50</v>
      </c>
      <c r="H114" s="62" t="s">
        <v>145</v>
      </c>
      <c r="I114" s="63" t="s">
        <v>153</v>
      </c>
      <c r="J114" s="63" t="s">
        <v>110</v>
      </c>
      <c r="K114" s="57"/>
      <c r="L114" s="129"/>
      <c r="M114" s="129"/>
    </row>
    <row r="115" spans="1:16" s="37" customFormat="1" ht="14.45" customHeight="1" x14ac:dyDescent="0.2">
      <c r="A115" s="62" t="s">
        <v>173</v>
      </c>
      <c r="B115" s="62" t="s">
        <v>49</v>
      </c>
      <c r="C115" s="62" t="s">
        <v>143</v>
      </c>
      <c r="D115" s="187" t="s">
        <v>179</v>
      </c>
      <c r="E115" s="188"/>
      <c r="F115" s="189"/>
      <c r="G115" s="63">
        <v>175</v>
      </c>
      <c r="H115" s="62" t="s">
        <v>49</v>
      </c>
      <c r="I115" s="63" t="s">
        <v>153</v>
      </c>
      <c r="J115" s="63" t="s">
        <v>110</v>
      </c>
      <c r="K115" s="57"/>
      <c r="L115" s="129"/>
      <c r="M115" s="129"/>
    </row>
    <row r="116" spans="1:16" s="37" customFormat="1" ht="14.45" customHeight="1" x14ac:dyDescent="0.2">
      <c r="A116" s="62" t="s">
        <v>142</v>
      </c>
      <c r="B116" s="62" t="s">
        <v>49</v>
      </c>
      <c r="C116" s="62" t="s">
        <v>147</v>
      </c>
      <c r="D116" s="187" t="s">
        <v>180</v>
      </c>
      <c r="E116" s="188"/>
      <c r="F116" s="189"/>
      <c r="G116" s="63">
        <v>40</v>
      </c>
      <c r="H116" s="62" t="s">
        <v>181</v>
      </c>
      <c r="I116" s="63" t="s">
        <v>153</v>
      </c>
      <c r="J116" s="63" t="s">
        <v>110</v>
      </c>
      <c r="K116" s="57"/>
      <c r="L116" s="129"/>
      <c r="M116" s="129"/>
    </row>
    <row r="117" spans="1:16" s="37" customFormat="1" ht="14.45" hidden="1" customHeight="1" x14ac:dyDescent="0.2">
      <c r="A117" s="62" t="s">
        <v>173</v>
      </c>
      <c r="B117" s="62" t="s">
        <v>146</v>
      </c>
      <c r="C117" s="62" t="s">
        <v>147</v>
      </c>
      <c r="D117" s="187" t="s">
        <v>182</v>
      </c>
      <c r="E117" s="188"/>
      <c r="F117" s="189"/>
      <c r="G117" s="63">
        <v>7.5</v>
      </c>
      <c r="H117" s="62" t="s">
        <v>152</v>
      </c>
      <c r="I117" s="63">
        <v>75</v>
      </c>
      <c r="J117" s="63" t="s">
        <v>110</v>
      </c>
      <c r="K117" s="57"/>
      <c r="L117" s="129"/>
      <c r="M117" s="129"/>
    </row>
    <row r="118" spans="1:16" s="37" customFormat="1" ht="14.45" hidden="1" customHeight="1" x14ac:dyDescent="0.2">
      <c r="A118" s="62" t="s">
        <v>142</v>
      </c>
      <c r="B118" s="62" t="s">
        <v>146</v>
      </c>
      <c r="C118" s="62" t="s">
        <v>147</v>
      </c>
      <c r="D118" s="187" t="s">
        <v>183</v>
      </c>
      <c r="E118" s="188"/>
      <c r="F118" s="189"/>
      <c r="G118" s="63">
        <v>20</v>
      </c>
      <c r="H118" s="62" t="s">
        <v>184</v>
      </c>
      <c r="I118" s="63" t="s">
        <v>153</v>
      </c>
      <c r="J118" s="63" t="s">
        <v>110</v>
      </c>
      <c r="K118" s="57"/>
      <c r="L118" s="129"/>
      <c r="M118" s="129"/>
    </row>
    <row r="119" spans="1:16" s="37" customFormat="1" ht="14.45" hidden="1" customHeight="1" x14ac:dyDescent="0.2">
      <c r="A119" s="62" t="s">
        <v>142</v>
      </c>
      <c r="B119" s="62" t="s">
        <v>146</v>
      </c>
      <c r="C119" s="62" t="s">
        <v>147</v>
      </c>
      <c r="D119" s="187" t="s">
        <v>185</v>
      </c>
      <c r="E119" s="188"/>
      <c r="F119" s="189"/>
      <c r="G119" s="63">
        <v>25</v>
      </c>
      <c r="H119" s="62" t="s">
        <v>184</v>
      </c>
      <c r="I119" s="63" t="s">
        <v>153</v>
      </c>
      <c r="J119" s="63" t="s">
        <v>110</v>
      </c>
      <c r="K119" s="57"/>
      <c r="L119" s="129"/>
      <c r="M119" s="129"/>
    </row>
    <row r="120" spans="1:16" s="37" customFormat="1" ht="14.45" customHeight="1" x14ac:dyDescent="0.2">
      <c r="A120" s="62" t="s">
        <v>142</v>
      </c>
      <c r="B120" s="62" t="s">
        <v>142</v>
      </c>
      <c r="C120" s="62" t="s">
        <v>147</v>
      </c>
      <c r="D120" s="187" t="s">
        <v>186</v>
      </c>
      <c r="E120" s="188"/>
      <c r="F120" s="189"/>
      <c r="G120" s="68">
        <v>75</v>
      </c>
      <c r="H120" s="62" t="s">
        <v>181</v>
      </c>
      <c r="I120" s="63" t="s">
        <v>153</v>
      </c>
      <c r="J120" s="63" t="s">
        <v>110</v>
      </c>
      <c r="K120" s="57"/>
      <c r="L120" s="129"/>
      <c r="M120" s="129"/>
    </row>
    <row r="121" spans="1:16" s="37" customFormat="1" ht="14.45" customHeight="1" x14ac:dyDescent="0.2">
      <c r="A121" s="62" t="s">
        <v>142</v>
      </c>
      <c r="B121" s="62" t="s">
        <v>142</v>
      </c>
      <c r="C121" s="62" t="s">
        <v>147</v>
      </c>
      <c r="D121" s="187" t="s">
        <v>187</v>
      </c>
      <c r="E121" s="188"/>
      <c r="F121" s="189"/>
      <c r="G121" s="63">
        <v>35</v>
      </c>
      <c r="H121" s="62" t="s">
        <v>181</v>
      </c>
      <c r="I121" s="63" t="s">
        <v>153</v>
      </c>
      <c r="J121" s="63" t="s">
        <v>110</v>
      </c>
      <c r="K121" s="57"/>
      <c r="L121" s="129"/>
      <c r="M121" s="129"/>
    </row>
    <row r="122" spans="1:16" s="37" customFormat="1" ht="14.45" hidden="1" customHeight="1" x14ac:dyDescent="0.2">
      <c r="A122" s="62" t="s">
        <v>142</v>
      </c>
      <c r="B122" s="62" t="s">
        <v>146</v>
      </c>
      <c r="C122" s="62" t="s">
        <v>143</v>
      </c>
      <c r="D122" s="187" t="s">
        <v>188</v>
      </c>
      <c r="E122" s="188"/>
      <c r="F122" s="189"/>
      <c r="G122" s="63">
        <v>100</v>
      </c>
      <c r="H122" s="62" t="s">
        <v>181</v>
      </c>
      <c r="I122" s="63" t="s">
        <v>153</v>
      </c>
      <c r="J122" s="63" t="s">
        <v>110</v>
      </c>
      <c r="K122" s="57"/>
      <c r="L122" s="129"/>
      <c r="M122" s="129"/>
    </row>
    <row r="123" spans="1:16" s="37" customFormat="1" ht="14.45" hidden="1" customHeight="1" x14ac:dyDescent="0.2">
      <c r="A123" s="62" t="s">
        <v>142</v>
      </c>
      <c r="B123" s="62" t="s">
        <v>146</v>
      </c>
      <c r="C123" s="62" t="s">
        <v>143</v>
      </c>
      <c r="D123" s="187" t="s">
        <v>189</v>
      </c>
      <c r="E123" s="188"/>
      <c r="F123" s="189"/>
      <c r="G123" s="63">
        <v>100</v>
      </c>
      <c r="H123" s="62" t="s">
        <v>190</v>
      </c>
      <c r="I123" s="63" t="s">
        <v>153</v>
      </c>
      <c r="J123" s="63" t="s">
        <v>110</v>
      </c>
      <c r="K123" s="57"/>
      <c r="O123" s="38"/>
      <c r="P123" s="38"/>
    </row>
    <row r="124" spans="1:16" s="37" customFormat="1" ht="14.45" hidden="1" customHeight="1" x14ac:dyDescent="0.2">
      <c r="A124" s="62" t="s">
        <v>142</v>
      </c>
      <c r="B124" s="62" t="s">
        <v>146</v>
      </c>
      <c r="C124" s="62" t="s">
        <v>143</v>
      </c>
      <c r="D124" s="187" t="s">
        <v>191</v>
      </c>
      <c r="E124" s="188"/>
      <c r="F124" s="189"/>
      <c r="G124" s="63">
        <v>100</v>
      </c>
      <c r="H124" s="62" t="s">
        <v>181</v>
      </c>
      <c r="I124" s="63" t="s">
        <v>153</v>
      </c>
      <c r="J124" s="63" t="s">
        <v>110</v>
      </c>
      <c r="K124" s="57"/>
      <c r="O124" s="39"/>
      <c r="P124" s="39"/>
    </row>
    <row r="125" spans="1:16" s="37" customFormat="1" ht="14.45" hidden="1" customHeight="1" x14ac:dyDescent="0.2">
      <c r="A125" s="62" t="s">
        <v>173</v>
      </c>
      <c r="B125" s="62" t="s">
        <v>146</v>
      </c>
      <c r="C125" s="62" t="s">
        <v>143</v>
      </c>
      <c r="D125" s="187" t="s">
        <v>189</v>
      </c>
      <c r="E125" s="188"/>
      <c r="F125" s="189"/>
      <c r="G125" s="63">
        <v>50</v>
      </c>
      <c r="H125" s="62" t="s">
        <v>192</v>
      </c>
      <c r="I125" s="63" t="s">
        <v>153</v>
      </c>
      <c r="J125" s="63" t="s">
        <v>110</v>
      </c>
      <c r="K125" s="57"/>
      <c r="O125" s="39"/>
      <c r="P125" s="39"/>
    </row>
    <row r="126" spans="1:16" s="37" customFormat="1" ht="14.45" hidden="1" customHeight="1" x14ac:dyDescent="0.2">
      <c r="A126" s="62" t="s">
        <v>173</v>
      </c>
      <c r="B126" s="62" t="s">
        <v>146</v>
      </c>
      <c r="C126" s="62" t="s">
        <v>143</v>
      </c>
      <c r="D126" s="187" t="s">
        <v>191</v>
      </c>
      <c r="E126" s="188"/>
      <c r="F126" s="189"/>
      <c r="G126" s="63">
        <v>50</v>
      </c>
      <c r="H126" s="62" t="s">
        <v>181</v>
      </c>
      <c r="I126" s="63" t="s">
        <v>153</v>
      </c>
      <c r="J126" s="63" t="s">
        <v>110</v>
      </c>
      <c r="K126" s="57"/>
      <c r="O126" s="38"/>
      <c r="P126" s="38"/>
    </row>
    <row r="127" spans="1:16" s="37" customFormat="1" ht="14.45" hidden="1" customHeight="1" x14ac:dyDescent="0.25">
      <c r="A127" s="62" t="s">
        <v>142</v>
      </c>
      <c r="B127" s="62" t="s">
        <v>146</v>
      </c>
      <c r="C127" s="62" t="s">
        <v>143</v>
      </c>
      <c r="D127" s="187" t="s">
        <v>193</v>
      </c>
      <c r="E127" s="188"/>
      <c r="F127" s="189"/>
      <c r="G127" s="63">
        <v>85</v>
      </c>
      <c r="H127" s="62" t="s">
        <v>194</v>
      </c>
      <c r="I127" s="63" t="s">
        <v>153</v>
      </c>
      <c r="J127" s="63" t="s">
        <v>110</v>
      </c>
      <c r="K127" s="57"/>
      <c r="O127" s="36"/>
      <c r="P127" s="36"/>
    </row>
    <row r="128" spans="1:16" s="37" customFormat="1" ht="14.45" hidden="1" customHeight="1" x14ac:dyDescent="0.25">
      <c r="A128" s="62" t="s">
        <v>173</v>
      </c>
      <c r="B128" s="62" t="s">
        <v>146</v>
      </c>
      <c r="C128" s="62" t="s">
        <v>195</v>
      </c>
      <c r="D128" s="187" t="s">
        <v>196</v>
      </c>
      <c r="E128" s="188"/>
      <c r="F128" s="189"/>
      <c r="G128" s="63">
        <v>0.1</v>
      </c>
      <c r="H128" s="62" t="s">
        <v>197</v>
      </c>
      <c r="I128" s="63">
        <v>150</v>
      </c>
      <c r="J128" s="63" t="s">
        <v>110</v>
      </c>
      <c r="K128" s="57"/>
      <c r="O128" s="36"/>
      <c r="P128" s="36"/>
    </row>
    <row r="129" spans="1:29" s="37" customFormat="1" ht="14.45" customHeight="1" x14ac:dyDescent="0.25">
      <c r="A129" s="62" t="s">
        <v>142</v>
      </c>
      <c r="B129" s="62" t="s">
        <v>49</v>
      </c>
      <c r="C129" s="62" t="s">
        <v>198</v>
      </c>
      <c r="D129" s="187" t="s">
        <v>199</v>
      </c>
      <c r="E129" s="188"/>
      <c r="F129" s="189"/>
      <c r="G129" s="63">
        <v>35</v>
      </c>
      <c r="H129" s="62" t="s">
        <v>181</v>
      </c>
      <c r="I129" s="63" t="s">
        <v>153</v>
      </c>
      <c r="J129" s="63" t="s">
        <v>110</v>
      </c>
      <c r="K129" s="57"/>
      <c r="O129" s="36"/>
      <c r="P129" s="36"/>
    </row>
    <row r="130" spans="1:29" s="37" customFormat="1" ht="14.45" hidden="1" customHeight="1" x14ac:dyDescent="0.25">
      <c r="A130" s="62" t="s">
        <v>142</v>
      </c>
      <c r="B130" s="62" t="s">
        <v>146</v>
      </c>
      <c r="C130" s="62" t="s">
        <v>198</v>
      </c>
      <c r="D130" s="187" t="s">
        <v>200</v>
      </c>
      <c r="E130" s="188"/>
      <c r="F130" s="189"/>
      <c r="G130" s="63">
        <v>7</v>
      </c>
      <c r="H130" s="62" t="s">
        <v>152</v>
      </c>
      <c r="I130" s="63">
        <v>7</v>
      </c>
      <c r="J130" s="63" t="s">
        <v>110</v>
      </c>
      <c r="K130" s="57"/>
      <c r="O130" s="36"/>
      <c r="P130" s="36"/>
    </row>
    <row r="131" spans="1:29" s="37" customFormat="1" ht="14.1" customHeight="1" x14ac:dyDescent="0.25">
      <c r="A131" s="62" t="s">
        <v>142</v>
      </c>
      <c r="B131" s="62" t="s">
        <v>142</v>
      </c>
      <c r="C131" s="62" t="s">
        <v>201</v>
      </c>
      <c r="D131" s="187" t="s">
        <v>202</v>
      </c>
      <c r="E131" s="188"/>
      <c r="F131" s="189"/>
      <c r="G131" s="63">
        <v>40</v>
      </c>
      <c r="H131" s="62" t="s">
        <v>203</v>
      </c>
      <c r="I131" s="63" t="s">
        <v>153</v>
      </c>
      <c r="J131" s="63" t="s">
        <v>110</v>
      </c>
      <c r="K131" s="57"/>
      <c r="O131" s="36"/>
      <c r="P131" s="36"/>
    </row>
    <row r="132" spans="1:29" s="37" customFormat="1" ht="14.1" customHeight="1" x14ac:dyDescent="0.25">
      <c r="A132" s="62" t="s">
        <v>142</v>
      </c>
      <c r="B132" s="62" t="s">
        <v>49</v>
      </c>
      <c r="C132" s="62" t="s">
        <v>143</v>
      </c>
      <c r="D132" s="187" t="s">
        <v>204</v>
      </c>
      <c r="E132" s="188"/>
      <c r="F132" s="189"/>
      <c r="G132" s="63">
        <v>50</v>
      </c>
      <c r="H132" s="62" t="s">
        <v>49</v>
      </c>
      <c r="I132" s="63" t="s">
        <v>153</v>
      </c>
      <c r="J132" s="63" t="s">
        <v>110</v>
      </c>
      <c r="K132" s="57"/>
      <c r="L132" s="38"/>
      <c r="M132" s="38"/>
      <c r="N132" s="38"/>
      <c r="O132" s="36"/>
      <c r="P132" s="36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 spans="1:29" s="39" customFormat="1" ht="14.1" customHeight="1" x14ac:dyDescent="0.25">
      <c r="A133" s="62" t="s">
        <v>142</v>
      </c>
      <c r="B133" s="62" t="s">
        <v>49</v>
      </c>
      <c r="C133" s="62" t="s">
        <v>143</v>
      </c>
      <c r="D133" s="187" t="s">
        <v>205</v>
      </c>
      <c r="E133" s="188"/>
      <c r="F133" s="189"/>
      <c r="G133" s="63">
        <v>200</v>
      </c>
      <c r="H133" s="62" t="s">
        <v>206</v>
      </c>
      <c r="I133" s="63" t="s">
        <v>153</v>
      </c>
      <c r="J133" s="63" t="s">
        <v>110</v>
      </c>
      <c r="K133" s="57"/>
      <c r="O133" s="36"/>
      <c r="P133" s="36"/>
    </row>
    <row r="134" spans="1:29" s="39" customFormat="1" ht="14.1" customHeight="1" x14ac:dyDescent="0.25">
      <c r="A134" s="62" t="s">
        <v>142</v>
      </c>
      <c r="B134" s="62" t="s">
        <v>49</v>
      </c>
      <c r="C134" s="62" t="s">
        <v>143</v>
      </c>
      <c r="D134" s="187" t="s">
        <v>207</v>
      </c>
      <c r="E134" s="188"/>
      <c r="F134" s="189"/>
      <c r="G134" s="63">
        <v>250</v>
      </c>
      <c r="H134" s="62" t="s">
        <v>208</v>
      </c>
      <c r="I134" s="63">
        <v>100</v>
      </c>
      <c r="J134" s="63" t="s">
        <v>110</v>
      </c>
      <c r="K134" s="57"/>
      <c r="L134" s="38"/>
      <c r="M134" s="38"/>
      <c r="N134" s="38"/>
      <c r="O134" s="36"/>
      <c r="P134" s="36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 spans="1:29" s="38" customFormat="1" ht="14.1" customHeight="1" x14ac:dyDescent="0.25">
      <c r="A135" s="62" t="s">
        <v>142</v>
      </c>
      <c r="B135" s="62" t="s">
        <v>49</v>
      </c>
      <c r="C135" s="62" t="s">
        <v>201</v>
      </c>
      <c r="D135" s="187" t="s">
        <v>209</v>
      </c>
      <c r="E135" s="188"/>
      <c r="F135" s="189"/>
      <c r="G135" s="63" t="s">
        <v>210</v>
      </c>
      <c r="H135" s="62"/>
      <c r="I135" s="63" t="s">
        <v>153</v>
      </c>
      <c r="J135" s="63" t="s">
        <v>110</v>
      </c>
      <c r="K135" s="57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:29" s="36" customFormat="1" x14ac:dyDescent="0.25">
      <c r="A136" s="62" t="s">
        <v>142</v>
      </c>
      <c r="B136" s="62" t="s">
        <v>49</v>
      </c>
      <c r="C136" s="62" t="s">
        <v>201</v>
      </c>
      <c r="D136" s="187" t="s">
        <v>211</v>
      </c>
      <c r="E136" s="188"/>
      <c r="F136" s="189"/>
      <c r="G136" s="63" t="s">
        <v>212</v>
      </c>
      <c r="H136" s="62"/>
      <c r="I136" s="63" t="s">
        <v>153</v>
      </c>
      <c r="J136" s="63" t="s">
        <v>110</v>
      </c>
      <c r="K136" s="72"/>
    </row>
    <row r="137" spans="1:29" s="36" customFormat="1" x14ac:dyDescent="0.25">
      <c r="A137" s="62" t="s">
        <v>213</v>
      </c>
      <c r="B137" s="62" t="s">
        <v>49</v>
      </c>
      <c r="C137" s="62" t="s">
        <v>214</v>
      </c>
      <c r="D137" s="187" t="s">
        <v>215</v>
      </c>
      <c r="E137" s="188"/>
      <c r="F137" s="189"/>
      <c r="G137" s="63">
        <v>100</v>
      </c>
      <c r="H137" s="62" t="s">
        <v>49</v>
      </c>
      <c r="I137" s="63">
        <v>100</v>
      </c>
      <c r="J137" s="63" t="s">
        <v>110</v>
      </c>
      <c r="K137" s="72"/>
    </row>
    <row r="138" spans="1:29" s="36" customFormat="1" x14ac:dyDescent="0.25">
      <c r="A138" s="62" t="s">
        <v>213</v>
      </c>
      <c r="B138" s="62" t="s">
        <v>216</v>
      </c>
      <c r="C138" s="62" t="s">
        <v>147</v>
      </c>
      <c r="D138" s="187" t="s">
        <v>217</v>
      </c>
      <c r="E138" s="188"/>
      <c r="F138" s="189"/>
      <c r="G138" s="63">
        <v>50</v>
      </c>
      <c r="H138" s="62"/>
      <c r="I138" s="63">
        <v>50</v>
      </c>
      <c r="J138" s="63" t="s">
        <v>110</v>
      </c>
      <c r="K138" s="72"/>
    </row>
    <row r="139" spans="1:29" s="36" customFormat="1" x14ac:dyDescent="0.25">
      <c r="A139" s="62" t="s">
        <v>150</v>
      </c>
      <c r="B139" s="62" t="s">
        <v>49</v>
      </c>
      <c r="C139" s="62" t="s">
        <v>218</v>
      </c>
      <c r="D139" s="187" t="s">
        <v>219</v>
      </c>
      <c r="E139" s="188"/>
      <c r="F139" s="189"/>
      <c r="G139" s="69" t="s">
        <v>220</v>
      </c>
      <c r="H139" s="67" t="s">
        <v>49</v>
      </c>
      <c r="I139" s="69" t="s">
        <v>153</v>
      </c>
      <c r="J139" s="63" t="s">
        <v>110</v>
      </c>
      <c r="K139" s="72"/>
    </row>
    <row r="140" spans="1:29" s="36" customFormat="1" x14ac:dyDescent="0.25">
      <c r="A140" s="62" t="s">
        <v>221</v>
      </c>
      <c r="B140" s="62" t="s">
        <v>49</v>
      </c>
      <c r="C140" s="62" t="s">
        <v>201</v>
      </c>
      <c r="D140" s="187" t="s">
        <v>222</v>
      </c>
      <c r="E140" s="188"/>
      <c r="F140" s="189"/>
      <c r="G140" s="69" t="s">
        <v>220</v>
      </c>
      <c r="H140" s="67" t="s">
        <v>49</v>
      </c>
      <c r="I140" s="69" t="s">
        <v>153</v>
      </c>
      <c r="J140" s="63" t="s">
        <v>110</v>
      </c>
      <c r="K140" s="72"/>
    </row>
    <row r="141" spans="1:29" s="36" customFormat="1" x14ac:dyDescent="0.25">
      <c r="A141" s="62" t="s">
        <v>142</v>
      </c>
      <c r="B141" s="62" t="s">
        <v>49</v>
      </c>
      <c r="C141" s="62" t="s">
        <v>223</v>
      </c>
      <c r="D141" s="187" t="s">
        <v>224</v>
      </c>
      <c r="E141" s="188"/>
      <c r="F141" s="189"/>
      <c r="G141" s="63" t="s">
        <v>225</v>
      </c>
      <c r="H141" s="62"/>
      <c r="I141" s="63" t="s">
        <v>153</v>
      </c>
      <c r="J141" s="63" t="s">
        <v>110</v>
      </c>
      <c r="K141" s="72"/>
    </row>
    <row r="142" spans="1:29" s="36" customFormat="1" x14ac:dyDescent="0.25">
      <c r="A142" s="62" t="s">
        <v>142</v>
      </c>
      <c r="B142" s="62" t="s">
        <v>49</v>
      </c>
      <c r="C142" s="62" t="s">
        <v>226</v>
      </c>
      <c r="D142" s="187" t="s">
        <v>227</v>
      </c>
      <c r="E142" s="188"/>
      <c r="F142" s="189"/>
      <c r="G142" s="66">
        <v>150</v>
      </c>
      <c r="H142" s="62" t="s">
        <v>49</v>
      </c>
      <c r="I142" s="66">
        <v>150</v>
      </c>
      <c r="J142" s="63" t="s">
        <v>110</v>
      </c>
      <c r="K142" s="72"/>
    </row>
    <row r="143" spans="1:29" s="36" customFormat="1" x14ac:dyDescent="0.25">
      <c r="A143" s="62" t="s">
        <v>142</v>
      </c>
      <c r="B143" s="62" t="s">
        <v>49</v>
      </c>
      <c r="C143" s="62" t="s">
        <v>228</v>
      </c>
      <c r="D143" s="187" t="s">
        <v>229</v>
      </c>
      <c r="E143" s="188"/>
      <c r="F143" s="189"/>
      <c r="G143" s="66">
        <v>25</v>
      </c>
      <c r="H143" s="62" t="s">
        <v>230</v>
      </c>
      <c r="I143" s="66">
        <v>25</v>
      </c>
      <c r="J143" s="63" t="s">
        <v>110</v>
      </c>
      <c r="K143" s="72"/>
    </row>
    <row r="144" spans="1:29" s="36" customFormat="1" hidden="1" x14ac:dyDescent="0.25">
      <c r="A144" s="62" t="s">
        <v>142</v>
      </c>
      <c r="B144" s="62" t="s">
        <v>146</v>
      </c>
      <c r="C144" s="62" t="s">
        <v>198</v>
      </c>
      <c r="D144" s="187" t="s">
        <v>231</v>
      </c>
      <c r="E144" s="188"/>
      <c r="F144" s="189"/>
      <c r="G144" s="66" t="s">
        <v>232</v>
      </c>
      <c r="H144" s="62" t="s">
        <v>149</v>
      </c>
      <c r="I144" s="66" t="s">
        <v>153</v>
      </c>
      <c r="J144" s="63" t="s">
        <v>110</v>
      </c>
      <c r="K144" s="72"/>
    </row>
    <row r="145" spans="1:11" s="36" customFormat="1" hidden="1" x14ac:dyDescent="0.25">
      <c r="A145" s="62" t="s">
        <v>173</v>
      </c>
      <c r="B145" s="62" t="s">
        <v>146</v>
      </c>
      <c r="C145" s="62" t="s">
        <v>233</v>
      </c>
      <c r="D145" s="187" t="s">
        <v>234</v>
      </c>
      <c r="E145" s="188"/>
      <c r="F145" s="189"/>
      <c r="G145" s="66">
        <v>0.5</v>
      </c>
      <c r="H145" s="62" t="s">
        <v>235</v>
      </c>
      <c r="I145" s="66">
        <v>50</v>
      </c>
      <c r="J145" s="63" t="s">
        <v>110</v>
      </c>
      <c r="K145" s="72"/>
    </row>
    <row r="146" spans="1:11" s="36" customFormat="1" hidden="1" x14ac:dyDescent="0.25">
      <c r="A146" s="62" t="s">
        <v>173</v>
      </c>
      <c r="B146" s="62" t="s">
        <v>146</v>
      </c>
      <c r="C146" s="62" t="s">
        <v>201</v>
      </c>
      <c r="D146" s="187" t="s">
        <v>237</v>
      </c>
      <c r="E146" s="188"/>
      <c r="F146" s="189"/>
      <c r="G146" s="66" t="s">
        <v>238</v>
      </c>
      <c r="H146" s="62" t="s">
        <v>235</v>
      </c>
      <c r="I146" s="66">
        <v>50</v>
      </c>
      <c r="J146" s="63" t="s">
        <v>110</v>
      </c>
      <c r="K146" s="72"/>
    </row>
    <row r="147" spans="1:11" s="36" customFormat="1" x14ac:dyDescent="0.25">
      <c r="A147" s="62" t="s">
        <v>239</v>
      </c>
      <c r="B147" s="62" t="s">
        <v>49</v>
      </c>
      <c r="C147" s="62" t="s">
        <v>143</v>
      </c>
      <c r="D147" s="187" t="s">
        <v>240</v>
      </c>
      <c r="E147" s="188"/>
      <c r="F147" s="189"/>
      <c r="G147" s="69" t="s">
        <v>220</v>
      </c>
      <c r="H147" s="67" t="s">
        <v>49</v>
      </c>
      <c r="I147" s="69" t="s">
        <v>153</v>
      </c>
      <c r="J147" s="63" t="s">
        <v>110</v>
      </c>
      <c r="K147" s="72"/>
    </row>
    <row r="148" spans="1:11" s="36" customFormat="1" x14ac:dyDescent="0.25">
      <c r="A148" s="62" t="s">
        <v>142</v>
      </c>
      <c r="B148" s="62" t="s">
        <v>142</v>
      </c>
      <c r="C148" s="62" t="s">
        <v>147</v>
      </c>
      <c r="D148" s="187" t="s">
        <v>241</v>
      </c>
      <c r="E148" s="188"/>
      <c r="F148" s="189"/>
      <c r="G148" s="66" t="s">
        <v>242</v>
      </c>
      <c r="H148" s="62"/>
      <c r="I148" s="66">
        <v>15</v>
      </c>
      <c r="J148" s="63" t="s">
        <v>110</v>
      </c>
      <c r="K148" s="72"/>
    </row>
    <row r="149" spans="1:11" s="36" customFormat="1" x14ac:dyDescent="0.25">
      <c r="A149" s="62" t="s">
        <v>243</v>
      </c>
      <c r="B149" s="62" t="s">
        <v>49</v>
      </c>
      <c r="C149" s="62" t="s">
        <v>143</v>
      </c>
      <c r="D149" s="187" t="s">
        <v>244</v>
      </c>
      <c r="E149" s="188"/>
      <c r="F149" s="189"/>
      <c r="G149" s="66">
        <v>200</v>
      </c>
      <c r="H149" s="62" t="s">
        <v>49</v>
      </c>
      <c r="I149" s="63">
        <v>200</v>
      </c>
      <c r="J149" s="63" t="s">
        <v>110</v>
      </c>
      <c r="K149" s="72"/>
    </row>
    <row r="150" spans="1:11" s="36" customFormat="1" x14ac:dyDescent="0.25">
      <c r="A150" s="62" t="s">
        <v>245</v>
      </c>
      <c r="B150" s="62" t="s">
        <v>49</v>
      </c>
      <c r="C150" s="62" t="s">
        <v>143</v>
      </c>
      <c r="D150" s="187" t="s">
        <v>246</v>
      </c>
      <c r="E150" s="188"/>
      <c r="F150" s="189"/>
      <c r="G150" s="66">
        <v>250</v>
      </c>
      <c r="H150" s="62" t="s">
        <v>49</v>
      </c>
      <c r="I150" s="63">
        <v>100</v>
      </c>
      <c r="J150" s="63" t="s">
        <v>110</v>
      </c>
      <c r="K150" s="72"/>
    </row>
    <row r="151" spans="1:11" s="36" customFormat="1" x14ac:dyDescent="0.25">
      <c r="A151" s="62" t="s">
        <v>247</v>
      </c>
      <c r="B151" s="62" t="s">
        <v>49</v>
      </c>
      <c r="C151" s="62" t="s">
        <v>143</v>
      </c>
      <c r="D151" s="187" t="s">
        <v>248</v>
      </c>
      <c r="E151" s="188"/>
      <c r="F151" s="189"/>
      <c r="G151" s="63">
        <v>250</v>
      </c>
      <c r="H151" s="62" t="s">
        <v>49</v>
      </c>
      <c r="I151" s="63">
        <v>200</v>
      </c>
      <c r="J151" s="63" t="s">
        <v>110</v>
      </c>
      <c r="K151" s="72"/>
    </row>
    <row r="152" spans="1:11" s="36" customFormat="1" x14ac:dyDescent="0.25">
      <c r="A152" s="62" t="s">
        <v>142</v>
      </c>
      <c r="B152" s="62" t="s">
        <v>49</v>
      </c>
      <c r="C152" s="62" t="s">
        <v>143</v>
      </c>
      <c r="D152" s="187" t="s">
        <v>249</v>
      </c>
      <c r="E152" s="188"/>
      <c r="F152" s="189"/>
      <c r="G152" s="63"/>
      <c r="H152" s="62" t="s">
        <v>49</v>
      </c>
      <c r="I152" s="63" t="s">
        <v>153</v>
      </c>
      <c r="J152" s="63" t="s">
        <v>110</v>
      </c>
      <c r="K152" s="72"/>
    </row>
    <row r="153" spans="1:11" s="36" customFormat="1" x14ac:dyDescent="0.25">
      <c r="A153" s="62" t="s">
        <v>250</v>
      </c>
      <c r="B153" s="62" t="s">
        <v>49</v>
      </c>
      <c r="C153" s="62" t="s">
        <v>143</v>
      </c>
      <c r="D153" s="187" t="s">
        <v>251</v>
      </c>
      <c r="E153" s="188"/>
      <c r="F153" s="189"/>
      <c r="G153" s="66">
        <v>350</v>
      </c>
      <c r="H153" s="62" t="s">
        <v>49</v>
      </c>
      <c r="I153" s="63">
        <v>350</v>
      </c>
      <c r="J153" s="63" t="s">
        <v>110</v>
      </c>
      <c r="K153" s="72"/>
    </row>
    <row r="154" spans="1:11" s="36" customFormat="1" x14ac:dyDescent="0.25">
      <c r="A154" s="118"/>
      <c r="B154" s="118"/>
      <c r="C154" s="118"/>
      <c r="D154" s="119"/>
      <c r="E154" s="119"/>
      <c r="F154" s="119"/>
      <c r="G154" s="120"/>
      <c r="H154" s="118"/>
      <c r="I154" s="121"/>
      <c r="J154" s="121"/>
      <c r="K154" s="72"/>
    </row>
    <row r="155" spans="1:11" s="36" customFormat="1" x14ac:dyDescent="0.25">
      <c r="A155" s="180" t="s">
        <v>72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72"/>
    </row>
    <row r="156" spans="1:11" s="36" customFormat="1" x14ac:dyDescent="0.25">
      <c r="A156" s="186" t="s">
        <v>67</v>
      </c>
      <c r="B156" s="186"/>
      <c r="C156" s="186"/>
      <c r="D156" s="186"/>
      <c r="E156" s="186" t="s">
        <v>68</v>
      </c>
      <c r="F156" s="186"/>
      <c r="G156" s="186"/>
      <c r="H156" s="186"/>
      <c r="I156" s="186"/>
      <c r="J156" s="186"/>
      <c r="K156" s="72"/>
    </row>
    <row r="157" spans="1:11" s="36" customFormat="1" x14ac:dyDescent="0.25">
      <c r="A157" s="185" t="s">
        <v>73</v>
      </c>
      <c r="B157" s="185"/>
      <c r="C157" s="185"/>
      <c r="D157" s="185"/>
      <c r="E157" s="185" t="s">
        <v>254</v>
      </c>
      <c r="F157" s="185"/>
      <c r="G157" s="185"/>
      <c r="H157" s="185"/>
      <c r="I157" s="185"/>
      <c r="J157" s="185"/>
      <c r="K157" s="72"/>
    </row>
    <row r="158" spans="1:11" s="36" customFormat="1" ht="15" customHeight="1" x14ac:dyDescent="0.25">
      <c r="A158" s="185" t="s">
        <v>252</v>
      </c>
      <c r="B158" s="185"/>
      <c r="C158" s="185"/>
      <c r="D158" s="185"/>
      <c r="E158" s="185" t="s">
        <v>253</v>
      </c>
      <c r="F158" s="185"/>
      <c r="G158" s="185"/>
      <c r="H158" s="185"/>
      <c r="I158" s="185"/>
      <c r="J158" s="185"/>
      <c r="K158" s="72"/>
    </row>
    <row r="159" spans="1:11" s="36" customFormat="1" ht="15" customHeight="1" x14ac:dyDescent="0.25">
      <c r="A159" s="185" t="s">
        <v>74</v>
      </c>
      <c r="B159" s="185"/>
      <c r="C159" s="185"/>
      <c r="D159" s="185"/>
      <c r="E159" s="185" t="s">
        <v>75</v>
      </c>
      <c r="F159" s="185"/>
      <c r="G159" s="185"/>
      <c r="H159" s="185"/>
      <c r="I159" s="185"/>
      <c r="J159" s="185"/>
      <c r="K159" s="72"/>
    </row>
    <row r="160" spans="1:11" s="36" customFormat="1" x14ac:dyDescent="0.25">
      <c r="A160" s="185" t="s">
        <v>76</v>
      </c>
      <c r="B160" s="185"/>
      <c r="C160" s="185"/>
      <c r="D160" s="185"/>
      <c r="E160" s="185" t="s">
        <v>77</v>
      </c>
      <c r="F160" s="185"/>
      <c r="G160" s="185"/>
      <c r="H160" s="185"/>
      <c r="I160" s="185"/>
      <c r="J160" s="185"/>
      <c r="K160" s="72"/>
    </row>
    <row r="161" spans="1:11" s="36" customFormat="1" ht="15" customHeight="1" x14ac:dyDescent="0.25">
      <c r="A161" s="185" t="s">
        <v>78</v>
      </c>
      <c r="B161" s="185"/>
      <c r="C161" s="185"/>
      <c r="D161" s="185"/>
      <c r="E161" s="185" t="s">
        <v>79</v>
      </c>
      <c r="F161" s="185"/>
      <c r="G161" s="185"/>
      <c r="H161" s="185"/>
      <c r="I161" s="185"/>
      <c r="J161" s="185"/>
      <c r="K161" s="72"/>
    </row>
    <row r="162" spans="1:11" s="36" customFormat="1" ht="15" customHeight="1" x14ac:dyDescent="0.25">
      <c r="A162" s="180" t="s">
        <v>89</v>
      </c>
      <c r="B162" s="180"/>
      <c r="C162" s="180"/>
      <c r="D162" s="180"/>
      <c r="E162" s="180"/>
      <c r="F162" s="180"/>
      <c r="G162" s="180"/>
      <c r="H162" s="180"/>
      <c r="I162" s="180"/>
      <c r="J162" s="180"/>
      <c r="K162" s="72"/>
    </row>
    <row r="163" spans="1:11" s="36" customFormat="1" x14ac:dyDescent="0.25">
      <c r="A163" s="181" t="s">
        <v>80</v>
      </c>
      <c r="B163" s="181"/>
      <c r="C163" s="181"/>
      <c r="D163" s="181"/>
      <c r="E163" s="181"/>
      <c r="F163" s="181"/>
      <c r="G163" s="181"/>
      <c r="H163" s="181"/>
      <c r="I163" s="181"/>
      <c r="J163" s="181"/>
      <c r="K163" s="72"/>
    </row>
    <row r="164" spans="1:11" s="36" customFormat="1" ht="15" customHeight="1" x14ac:dyDescent="0.25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72"/>
    </row>
    <row r="165" spans="1:11" s="36" customFormat="1" x14ac:dyDescent="0.25">
      <c r="A165" s="182" t="s">
        <v>90</v>
      </c>
      <c r="B165" s="182"/>
      <c r="C165" s="182"/>
      <c r="D165" s="182"/>
      <c r="E165" s="182"/>
      <c r="F165" s="182"/>
      <c r="G165" s="182"/>
      <c r="H165" s="182"/>
      <c r="I165" s="182"/>
      <c r="J165" s="182"/>
      <c r="K165" s="72"/>
    </row>
    <row r="166" spans="1:11" s="36" customFormat="1" ht="15" customHeight="1" x14ac:dyDescent="0.25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72"/>
    </row>
    <row r="167" spans="1:11" s="42" customFormat="1" ht="13.9" customHeight="1" x14ac:dyDescent="0.25">
      <c r="A167" s="183" t="s">
        <v>353</v>
      </c>
      <c r="B167" s="183"/>
      <c r="C167" s="183"/>
      <c r="D167" s="183"/>
      <c r="E167" s="183"/>
      <c r="F167" s="183"/>
      <c r="G167" s="183"/>
      <c r="H167" s="183"/>
      <c r="I167" s="183"/>
      <c r="J167" s="48"/>
    </row>
    <row r="168" spans="1:11" s="49" customFormat="1" ht="13.9" customHeight="1" x14ac:dyDescent="0.25">
      <c r="A168" s="184" t="s">
        <v>354</v>
      </c>
      <c r="B168" s="184"/>
      <c r="C168" s="184"/>
      <c r="D168" s="184"/>
      <c r="E168" s="184"/>
      <c r="F168" s="184"/>
      <c r="G168" s="184"/>
      <c r="H168" s="184"/>
      <c r="I168" s="184"/>
      <c r="J168" s="48"/>
    </row>
    <row r="169" spans="1:11" x14ac:dyDescent="0.25">
      <c r="J169" s="48"/>
    </row>
    <row r="170" spans="1:11" x14ac:dyDescent="0.25">
      <c r="J170" s="48"/>
    </row>
    <row r="171" spans="1:11" x14ac:dyDescent="0.25">
      <c r="J171" s="48"/>
    </row>
  </sheetData>
  <protectedRanges>
    <protectedRange algorithmName="SHA-512" hashValue="VF6HSW3Iy4xJ9rvYE/9xGHEoimGCygSu8D4FeqmdsD954MzAHwkkxLcwSP9Q5ui8KTGpWBzFAFpp2yGVfuii3Q==" saltValue="Ht0jMOW+8eakbuvlYpVr7Q==" spinCount="100000" sqref="G54:J59 G29:J31 G33:J35 G37:J42 G13:J27 G61:J69" name="Range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43:J43 G45:J48" name="Range1_1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  <protectedRange algorithmName="SHA-512" hashValue="VF6HSW3Iy4xJ9rvYE/9xGHEoimGCygSu8D4FeqmdsD954MzAHwkkxLcwSP9Q5ui8KTGpWBzFAFpp2yGVfuii3Q==" saltValue="Ht0jMOW+8eakbuvlYpVr7Q==" spinCount="100000" sqref="G50:J52" name="Range1_2" securityDescriptor="O:WDG:WDD:(A;;CC;;;S-1-5-21-436374069-261478967-839522115-1186)(A;;CC;;;S-1-5-21-436374069-261478967-839522115-13624)(A;;CC;;;S-1-5-21-436374069-261478967-839522115-15171)(A;;CC;;;S-1-5-21-436374069-261478967-839522115-15229)(A;;CC;;;S-1-5-21-436374069-261478967-839522115-2424)(A;;CC;;;S-1-5-21-436374069-261478967-839522115-2728)(A;;CC;;;S-1-5-21-436374069-261478967-839522115-2778)(A;;CC;;;S-1-5-21-436374069-261478967-839522115-3002)(A;;CC;;;S-1-5-21-436374069-261478967-839522115-3094)"/>
  </protectedRanges>
  <autoFilter ref="A89:WWE153" xr:uid="{FA694B6A-433F-4FA4-84BF-050781CB5F76}">
    <filterColumn colId="1">
      <filters>
        <filter val="ALL"/>
        <filter val="CY"/>
      </filters>
    </filterColumn>
    <filterColumn colId="3" showButton="0"/>
    <filterColumn colId="4" showButton="0"/>
  </autoFilter>
  <mergeCells count="151">
    <mergeCell ref="A165:J166"/>
    <mergeCell ref="A167:I167"/>
    <mergeCell ref="A168:I168"/>
    <mergeCell ref="A160:D160"/>
    <mergeCell ref="E160:J160"/>
    <mergeCell ref="A161:D161"/>
    <mergeCell ref="E161:J161"/>
    <mergeCell ref="A162:J162"/>
    <mergeCell ref="A163:J164"/>
    <mergeCell ref="A157:D157"/>
    <mergeCell ref="E157:J157"/>
    <mergeCell ref="A158:D158"/>
    <mergeCell ref="E158:J158"/>
    <mergeCell ref="A159:D159"/>
    <mergeCell ref="E159:J159"/>
    <mergeCell ref="D151:F151"/>
    <mergeCell ref="D152:F152"/>
    <mergeCell ref="D153:F153"/>
    <mergeCell ref="A155:J155"/>
    <mergeCell ref="A156:D156"/>
    <mergeCell ref="E156:J156"/>
    <mergeCell ref="D145:F145"/>
    <mergeCell ref="D146:F146"/>
    <mergeCell ref="D147:F147"/>
    <mergeCell ref="D148:F148"/>
    <mergeCell ref="D149:F149"/>
    <mergeCell ref="D150:F150"/>
    <mergeCell ref="D139:F139"/>
    <mergeCell ref="D140:F140"/>
    <mergeCell ref="D141:F141"/>
    <mergeCell ref="D142:F142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21:F121"/>
    <mergeCell ref="D122:F122"/>
    <mergeCell ref="D123:F123"/>
    <mergeCell ref="D124:F124"/>
    <mergeCell ref="D125:F125"/>
    <mergeCell ref="D126:F126"/>
    <mergeCell ref="D115:F115"/>
    <mergeCell ref="D116:F116"/>
    <mergeCell ref="D117:F117"/>
    <mergeCell ref="D118:F118"/>
    <mergeCell ref="D119:F119"/>
    <mergeCell ref="D120:F120"/>
    <mergeCell ref="D109:F109"/>
    <mergeCell ref="D110:F110"/>
    <mergeCell ref="D111:F111"/>
    <mergeCell ref="D112:F112"/>
    <mergeCell ref="D113:F113"/>
    <mergeCell ref="D114:F114"/>
    <mergeCell ref="D103:F103"/>
    <mergeCell ref="D104:F104"/>
    <mergeCell ref="D105:F105"/>
    <mergeCell ref="D106:F106"/>
    <mergeCell ref="D107:F107"/>
    <mergeCell ref="D108:F108"/>
    <mergeCell ref="D97:F97"/>
    <mergeCell ref="D98:F98"/>
    <mergeCell ref="D99:F99"/>
    <mergeCell ref="D100:F100"/>
    <mergeCell ref="D101:F101"/>
    <mergeCell ref="D102:F102"/>
    <mergeCell ref="D91:F91"/>
    <mergeCell ref="D92:F92"/>
    <mergeCell ref="D93:F93"/>
    <mergeCell ref="D94:F94"/>
    <mergeCell ref="D95:F95"/>
    <mergeCell ref="D96:F96"/>
    <mergeCell ref="A87:D87"/>
    <mergeCell ref="E87:J87"/>
    <mergeCell ref="L87:Q87"/>
    <mergeCell ref="A88:J88"/>
    <mergeCell ref="D89:F89"/>
    <mergeCell ref="D90:F90"/>
    <mergeCell ref="A85:D85"/>
    <mergeCell ref="G85:J85"/>
    <mergeCell ref="L85:Q85"/>
    <mergeCell ref="A86:D86"/>
    <mergeCell ref="G86:J86"/>
    <mergeCell ref="L86:Q86"/>
    <mergeCell ref="A83:D83"/>
    <mergeCell ref="F83:J83"/>
    <mergeCell ref="L83:Q83"/>
    <mergeCell ref="A84:D84"/>
    <mergeCell ref="G84:J84"/>
    <mergeCell ref="L84:Q84"/>
    <mergeCell ref="L80:Q80"/>
    <mergeCell ref="A81:D81"/>
    <mergeCell ref="F81:J81"/>
    <mergeCell ref="L81:Q81"/>
    <mergeCell ref="A82:D82"/>
    <mergeCell ref="F82:J82"/>
    <mergeCell ref="L82:Q82"/>
    <mergeCell ref="A78:D78"/>
    <mergeCell ref="F78:J78"/>
    <mergeCell ref="A79:D79"/>
    <mergeCell ref="F79:J79"/>
    <mergeCell ref="A80:D80"/>
    <mergeCell ref="F80:J80"/>
    <mergeCell ref="A75:D75"/>
    <mergeCell ref="F75:J75"/>
    <mergeCell ref="L75:Q75"/>
    <mergeCell ref="A76:D76"/>
    <mergeCell ref="F76:J76"/>
    <mergeCell ref="A77:D77"/>
    <mergeCell ref="F77:J77"/>
    <mergeCell ref="A72:J72"/>
    <mergeCell ref="A73:D73"/>
    <mergeCell ref="E73:J73"/>
    <mergeCell ref="L73:Q73"/>
    <mergeCell ref="A74:D74"/>
    <mergeCell ref="F74:J74"/>
    <mergeCell ref="L74:Q74"/>
    <mergeCell ref="E44:F44"/>
    <mergeCell ref="E49:F49"/>
    <mergeCell ref="E53:F53"/>
    <mergeCell ref="E60:F60"/>
    <mergeCell ref="A69:J69"/>
    <mergeCell ref="A71:J71"/>
    <mergeCell ref="E12:F12"/>
    <mergeCell ref="E28:F28"/>
    <mergeCell ref="E32:F32"/>
    <mergeCell ref="E36:F36"/>
    <mergeCell ref="B6:C6"/>
    <mergeCell ref="G6:I6"/>
    <mergeCell ref="E8:I8"/>
    <mergeCell ref="A10:J10"/>
    <mergeCell ref="N10:R10"/>
    <mergeCell ref="A1:B1"/>
    <mergeCell ref="C2:G2"/>
    <mergeCell ref="B3:H3"/>
    <mergeCell ref="B4:C4"/>
    <mergeCell ref="G4:I4"/>
    <mergeCell ref="B5:C5"/>
    <mergeCell ref="G5:I5"/>
    <mergeCell ref="Y10:AB10"/>
    <mergeCell ref="E11:F11"/>
    <mergeCell ref="S10:X10"/>
  </mergeCells>
  <hyperlinks>
    <hyperlink ref="G6" r:id="rId1" xr:uid="{F4B34A38-6C70-4D70-ABB0-E7D6C6DAE8B3}"/>
    <hyperlink ref="G4" r:id="rId2" display="jchang.lax@oecgroup.com" xr:uid="{C0CDE4F3-7184-4D81-985A-430D9AE3B355}"/>
  </hyperlinks>
  <pageMargins left="0.35" right="0.35" top="0.35" bottom="0.35" header="0.3" footer="0.3"/>
  <pageSetup scale="47" fitToHeight="0" orientation="portrait" r:id="rId3"/>
  <rowBreaks count="1" manualBreakCount="1">
    <brk id="87" max="9" man="1"/>
  </rowBreaks>
  <drawing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5735C12-9773-4C94-B876-97B7761BEE71}">
          <x14:formula1>
            <xm:f>'C:\Users\twang\AppData\Local\Microsoft\Windows\Temporary Internet Files\Content.Outlook\U7WJNCNV\[QUOTE TEMPLATE 05-01-21.xltx]Sheet1'!#REF!</xm:f>
          </x14:formula1>
          <xm:sqref>C13:C27 C33:C35 C29:C31 C45:C48 C37:C43 C54:C59 Q13:Q14 C61:C68</xm:sqref>
        </x14:dataValidation>
        <x14:dataValidation type="list" allowBlank="1" showInputMessage="1" showErrorMessage="1" xr:uid="{19D3EE25-1EB2-4EDC-870B-9B397D9ADE93}">
          <x14:formula1>
            <xm:f>'C:\Users\twang\AppData\Local\Microsoft\Windows\Temporary Internet Files\Content.Outlook\U7WJNCNV\[QUOTE TEMPLATE 05-01-21.xltx]Sheet1'!#REF!</xm:f>
          </x14:formula1>
          <xm:sqref>E80:E81 E54:E59 E74:E77 E33:E35 E29:E31 E83:E86 E45:E48 E37:E43 E61:E68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13A9-C5BC-4A36-A1CD-7018EC667DAD}">
  <sheetPr codeName="Sheet4">
    <tabColor rgb="FF92D050"/>
  </sheetPr>
  <dimension ref="A1:H28"/>
  <sheetViews>
    <sheetView workbookViewId="0">
      <selection activeCell="F20" sqref="F20"/>
    </sheetView>
  </sheetViews>
  <sheetFormatPr defaultRowHeight="15" x14ac:dyDescent="0.25"/>
  <cols>
    <col min="1" max="1" width="54.140625" bestFit="1" customWidth="1"/>
    <col min="5" max="5" width="12.28515625" bestFit="1" customWidth="1"/>
  </cols>
  <sheetData>
    <row r="1" spans="1:8" x14ac:dyDescent="0.25">
      <c r="A1" s="230" t="s">
        <v>23</v>
      </c>
      <c r="B1" s="230"/>
      <c r="C1" s="230"/>
      <c r="D1" s="230"/>
    </row>
    <row r="2" spans="1:8" x14ac:dyDescent="0.25">
      <c r="A2" s="13"/>
      <c r="B2" s="13" t="s">
        <v>24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</row>
    <row r="3" spans="1:8" ht="18.75" x14ac:dyDescent="0.25">
      <c r="A3" s="52" t="s">
        <v>292</v>
      </c>
      <c r="B3" s="25">
        <f>E3*0.85+F3+G3*0.5</f>
        <v>11050</v>
      </c>
      <c r="C3" s="25">
        <f>E3+F3+G3</f>
        <v>13000</v>
      </c>
      <c r="D3" s="25">
        <f>E3+F3+G3</f>
        <v>13000</v>
      </c>
      <c r="E3" s="26">
        <v>13000</v>
      </c>
      <c r="F3" s="13"/>
      <c r="G3" s="13"/>
      <c r="H3" s="13"/>
    </row>
    <row r="4" spans="1:8" ht="18.75" x14ac:dyDescent="0.25">
      <c r="A4" s="52" t="s">
        <v>293</v>
      </c>
      <c r="B4" s="25">
        <f>E4*0.85+F4+G4*0.5</f>
        <v>13600</v>
      </c>
      <c r="C4" s="25">
        <f>E4+F4+G4</f>
        <v>16000</v>
      </c>
      <c r="D4" s="25">
        <f>E4+F4+G4</f>
        <v>16000</v>
      </c>
      <c r="E4" s="26">
        <v>16000</v>
      </c>
      <c r="F4" s="13"/>
      <c r="G4" s="13"/>
      <c r="H4" s="13"/>
    </row>
    <row r="5" spans="1:8" ht="18.75" x14ac:dyDescent="0.25">
      <c r="A5" s="52" t="s">
        <v>294</v>
      </c>
      <c r="B5" s="25">
        <f>E5*0.85+F5+G5*0.5</f>
        <v>15300</v>
      </c>
      <c r="C5" s="25">
        <f>E5+F5+G5</f>
        <v>18000</v>
      </c>
      <c r="D5" s="25">
        <f>E5+F5+G5</f>
        <v>18000</v>
      </c>
      <c r="E5" s="26">
        <v>18000</v>
      </c>
      <c r="F5" s="13"/>
      <c r="G5" s="13"/>
      <c r="H5" s="13"/>
    </row>
    <row r="6" spans="1:8" ht="18.75" x14ac:dyDescent="0.25">
      <c r="A6" s="52" t="s">
        <v>295</v>
      </c>
      <c r="B6" s="25">
        <f>E6*0.85+F6+G6*0.5</f>
        <v>17000</v>
      </c>
      <c r="C6" s="25">
        <f>E6+F6+G6</f>
        <v>20000</v>
      </c>
      <c r="D6" s="25">
        <f>E6+F6+G6</f>
        <v>20000</v>
      </c>
      <c r="E6" s="26">
        <v>20000</v>
      </c>
      <c r="F6" s="13"/>
      <c r="G6" s="13"/>
      <c r="H6" s="13"/>
    </row>
    <row r="9" spans="1:8" ht="18.75" x14ac:dyDescent="0.25">
      <c r="A9" s="13"/>
      <c r="B9" s="122" t="s">
        <v>292</v>
      </c>
      <c r="C9" s="122" t="s">
        <v>293</v>
      </c>
      <c r="D9" s="122" t="s">
        <v>294</v>
      </c>
      <c r="E9" s="122" t="s">
        <v>295</v>
      </c>
    </row>
    <row r="10" spans="1:8" ht="18.75" x14ac:dyDescent="0.25">
      <c r="A10" s="51" t="s">
        <v>81</v>
      </c>
      <c r="B10" s="13">
        <v>12000</v>
      </c>
      <c r="C10" s="13">
        <v>18000</v>
      </c>
      <c r="D10" s="13">
        <v>18000</v>
      </c>
      <c r="E10" s="13">
        <v>20000</v>
      </c>
    </row>
    <row r="11" spans="1:8" ht="18.75" x14ac:dyDescent="0.25">
      <c r="A11" s="51" t="s">
        <v>55</v>
      </c>
      <c r="B11" s="13">
        <v>10500</v>
      </c>
      <c r="C11" s="13">
        <v>16000</v>
      </c>
      <c r="D11" s="13">
        <v>16000</v>
      </c>
      <c r="E11" s="13">
        <v>18000</v>
      </c>
    </row>
    <row r="12" spans="1:8" ht="18.75" x14ac:dyDescent="0.25">
      <c r="A12" s="51" t="s">
        <v>56</v>
      </c>
      <c r="B12" s="13">
        <v>16500</v>
      </c>
      <c r="C12" s="13">
        <v>18000</v>
      </c>
      <c r="D12" s="13">
        <v>20000</v>
      </c>
      <c r="E12" s="13">
        <v>22000</v>
      </c>
    </row>
    <row r="13" spans="1:8" ht="18.75" x14ac:dyDescent="0.25">
      <c r="A13" s="51" t="s">
        <v>57</v>
      </c>
      <c r="B13" s="13">
        <v>19500</v>
      </c>
      <c r="C13" s="13">
        <v>22000</v>
      </c>
      <c r="D13" s="13">
        <v>22000</v>
      </c>
      <c r="E13" s="13">
        <v>24000</v>
      </c>
    </row>
    <row r="14" spans="1:8" ht="18.75" x14ac:dyDescent="0.25">
      <c r="A14" s="51" t="s">
        <v>59</v>
      </c>
      <c r="B14" s="13">
        <v>11000</v>
      </c>
      <c r="C14" s="13">
        <v>15000</v>
      </c>
      <c r="D14" s="13">
        <v>16000</v>
      </c>
      <c r="E14" s="13">
        <v>18000</v>
      </c>
    </row>
    <row r="15" spans="1:8" ht="18.75" x14ac:dyDescent="0.25">
      <c r="A15" s="51" t="s">
        <v>60</v>
      </c>
      <c r="B15" s="13">
        <v>11000</v>
      </c>
      <c r="C15" s="13">
        <v>15500</v>
      </c>
      <c r="D15" s="13">
        <v>20000</v>
      </c>
      <c r="E15" s="13">
        <v>18500</v>
      </c>
    </row>
    <row r="16" spans="1:8" ht="18.75" x14ac:dyDescent="0.25">
      <c r="A16" s="51" t="s">
        <v>61</v>
      </c>
      <c r="B16" s="13">
        <v>12000</v>
      </c>
      <c r="C16" s="13">
        <v>18000</v>
      </c>
      <c r="D16" s="13">
        <v>18000</v>
      </c>
      <c r="E16" s="13">
        <v>20000</v>
      </c>
    </row>
    <row r="17" spans="1:5" ht="18.75" x14ac:dyDescent="0.25">
      <c r="A17" s="51" t="s">
        <v>276</v>
      </c>
      <c r="B17" s="13">
        <v>12000</v>
      </c>
      <c r="C17" s="13">
        <v>18000</v>
      </c>
      <c r="D17" s="13">
        <v>18000</v>
      </c>
      <c r="E17" s="13">
        <v>21000</v>
      </c>
    </row>
    <row r="18" spans="1:5" ht="18.75" x14ac:dyDescent="0.25">
      <c r="A18" s="51" t="s">
        <v>108</v>
      </c>
      <c r="B18" s="13">
        <v>11000</v>
      </c>
      <c r="C18" s="13">
        <v>16000</v>
      </c>
      <c r="D18" s="13">
        <v>20000</v>
      </c>
      <c r="E18" s="13">
        <v>18500</v>
      </c>
    </row>
    <row r="19" spans="1:5" ht="18.75" x14ac:dyDescent="0.25">
      <c r="A19" s="51" t="s">
        <v>62</v>
      </c>
      <c r="B19" s="13">
        <v>12000</v>
      </c>
      <c r="C19" s="13">
        <v>17000</v>
      </c>
      <c r="D19" s="13">
        <v>17000</v>
      </c>
      <c r="E19" s="13">
        <v>23000</v>
      </c>
    </row>
    <row r="20" spans="1:5" ht="18.75" x14ac:dyDescent="0.25">
      <c r="A20" s="51" t="s">
        <v>64</v>
      </c>
      <c r="B20" s="13">
        <v>19500</v>
      </c>
      <c r="C20" s="13">
        <v>22000</v>
      </c>
      <c r="D20" s="13">
        <v>22000</v>
      </c>
      <c r="E20" s="13">
        <v>24000</v>
      </c>
    </row>
    <row r="21" spans="1:5" ht="18.75" x14ac:dyDescent="0.25">
      <c r="A21" s="51" t="s">
        <v>66</v>
      </c>
      <c r="B21" s="13">
        <v>12000</v>
      </c>
      <c r="C21" s="13">
        <v>16000</v>
      </c>
      <c r="D21" s="13">
        <v>21000</v>
      </c>
      <c r="E21" s="13">
        <v>18500</v>
      </c>
    </row>
    <row r="22" spans="1:5" ht="18.75" x14ac:dyDescent="0.25">
      <c r="A22" s="51" t="s">
        <v>65</v>
      </c>
      <c r="B22" s="13">
        <v>13000</v>
      </c>
      <c r="C22" s="13">
        <v>17000</v>
      </c>
      <c r="D22" s="13">
        <v>18000</v>
      </c>
      <c r="E22" s="13">
        <v>22000</v>
      </c>
    </row>
    <row r="23" spans="1:5" ht="18.75" x14ac:dyDescent="0.25">
      <c r="A23" s="51" t="s">
        <v>63</v>
      </c>
      <c r="B23" s="13">
        <v>13000</v>
      </c>
      <c r="C23" s="13">
        <v>17000</v>
      </c>
      <c r="D23" s="13">
        <v>18000</v>
      </c>
      <c r="E23" s="13">
        <v>22000</v>
      </c>
    </row>
    <row r="24" spans="1:5" ht="18.75" x14ac:dyDescent="0.25">
      <c r="A24" s="51" t="s">
        <v>275</v>
      </c>
      <c r="B24" s="13">
        <v>13000</v>
      </c>
      <c r="C24" s="13">
        <v>17000</v>
      </c>
      <c r="D24" s="13">
        <v>18000</v>
      </c>
      <c r="E24" s="13">
        <v>22000</v>
      </c>
    </row>
    <row r="25" spans="1:5" ht="18.75" x14ac:dyDescent="0.25">
      <c r="A25" s="51" t="s">
        <v>58</v>
      </c>
      <c r="B25" s="13">
        <v>19500</v>
      </c>
      <c r="C25" s="13">
        <v>22000</v>
      </c>
      <c r="D25" s="13">
        <v>22000</v>
      </c>
      <c r="E25" s="13">
        <v>24000</v>
      </c>
    </row>
    <row r="26" spans="1:5" ht="18.75" x14ac:dyDescent="0.25">
      <c r="A26" s="51" t="s">
        <v>273</v>
      </c>
      <c r="B26" s="13">
        <v>16000</v>
      </c>
      <c r="C26" s="13">
        <v>20000</v>
      </c>
      <c r="D26" s="13">
        <v>23000</v>
      </c>
      <c r="E26" s="13">
        <v>23000</v>
      </c>
    </row>
    <row r="27" spans="1:5" ht="18.75" x14ac:dyDescent="0.25">
      <c r="A27" s="55" t="s">
        <v>297</v>
      </c>
      <c r="B27" s="13">
        <v>12000</v>
      </c>
      <c r="C27" s="13">
        <v>18000</v>
      </c>
      <c r="D27" s="13">
        <v>18000</v>
      </c>
      <c r="E27" s="13">
        <v>20000</v>
      </c>
    </row>
    <row r="28" spans="1:5" ht="18.75" x14ac:dyDescent="0.25">
      <c r="A28" s="51" t="s">
        <v>296</v>
      </c>
      <c r="B28" s="13">
        <v>11000</v>
      </c>
      <c r="C28" s="13">
        <v>16000</v>
      </c>
      <c r="D28" s="13">
        <v>16000</v>
      </c>
      <c r="E28" s="13">
        <v>18000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23</vt:i4>
      </vt:variant>
    </vt:vector>
  </HeadingPairs>
  <TitlesOfParts>
    <vt:vector size="48" baseType="lpstr">
      <vt:lpstr>020123</vt:lpstr>
      <vt:lpstr>120522</vt:lpstr>
      <vt:lpstr>DRAYAGE</vt:lpstr>
      <vt:lpstr>111422</vt:lpstr>
      <vt:lpstr>110222</vt:lpstr>
      <vt:lpstr>100122</vt:lpstr>
      <vt:lpstr>090622</vt:lpstr>
      <vt:lpstr>082522</vt:lpstr>
      <vt:lpstr>OCEAN and ARB</vt:lpstr>
      <vt:lpstr>080822</vt:lpstr>
      <vt:lpstr>071822</vt:lpstr>
      <vt:lpstr>070122</vt:lpstr>
      <vt:lpstr>063022</vt:lpstr>
      <vt:lpstr>061622</vt:lpstr>
      <vt:lpstr>052522</vt:lpstr>
      <vt:lpstr>051222</vt:lpstr>
      <vt:lpstr>042922</vt:lpstr>
      <vt:lpstr>041922</vt:lpstr>
      <vt:lpstr>040122</vt:lpstr>
      <vt:lpstr>031522</vt:lpstr>
      <vt:lpstr>030122</vt:lpstr>
      <vt:lpstr>021522</vt:lpstr>
      <vt:lpstr>020122</vt:lpstr>
      <vt:lpstr>011522</vt:lpstr>
      <vt:lpstr>010122</vt:lpstr>
      <vt:lpstr>'010122'!Print_Area</vt:lpstr>
      <vt:lpstr>'011522'!Print_Area</vt:lpstr>
      <vt:lpstr>'020122'!Print_Area</vt:lpstr>
      <vt:lpstr>'020123'!Print_Area</vt:lpstr>
      <vt:lpstr>'021522'!Print_Area</vt:lpstr>
      <vt:lpstr>'030122'!Print_Area</vt:lpstr>
      <vt:lpstr>'031522'!Print_Area</vt:lpstr>
      <vt:lpstr>'040122'!Print_Area</vt:lpstr>
      <vt:lpstr>'041922'!Print_Area</vt:lpstr>
      <vt:lpstr>'042922'!Print_Area</vt:lpstr>
      <vt:lpstr>'051222'!Print_Area</vt:lpstr>
      <vt:lpstr>'052522'!Print_Area</vt:lpstr>
      <vt:lpstr>'061622'!Print_Area</vt:lpstr>
      <vt:lpstr>'063022'!Print_Area</vt:lpstr>
      <vt:lpstr>'070122'!Print_Area</vt:lpstr>
      <vt:lpstr>'071822'!Print_Area</vt:lpstr>
      <vt:lpstr>'080822'!Print_Area</vt:lpstr>
      <vt:lpstr>'082522'!Print_Area</vt:lpstr>
      <vt:lpstr>'090622'!Print_Area</vt:lpstr>
      <vt:lpstr>'100122'!Print_Area</vt:lpstr>
      <vt:lpstr>'110222'!Print_Area</vt:lpstr>
      <vt:lpstr>'111422'!Print_Area</vt:lpstr>
      <vt:lpstr>'120522'!Print_Area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Tsai</dc:creator>
  <cp:lastModifiedBy>Alexis Monroy</cp:lastModifiedBy>
  <cp:lastPrinted>2022-12-06T23:43:00Z</cp:lastPrinted>
  <dcterms:created xsi:type="dcterms:W3CDTF">2019-07-24T21:02:33Z</dcterms:created>
  <dcterms:modified xsi:type="dcterms:W3CDTF">2023-03-09T19:58:48Z</dcterms:modified>
</cp:coreProperties>
</file>