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/"/>
    </mc:Choice>
  </mc:AlternateContent>
  <xr:revisionPtr revIDLastSave="4" documentId="8_{5F6B1E4D-D0CB-449D-96EC-2A27F3404D99}" xr6:coauthVersionLast="47" xr6:coauthVersionMax="47" xr10:uidLastSave="{D74BD1A1-F011-4987-BB82-EE3865CA35A6}"/>
  <bookViews>
    <workbookView minimized="1" xWindow="30" yWindow="1515" windowWidth="14355" windowHeight="11385" firstSheet="2" activeTab="2" xr2:uid="{756351D9-AD74-40E8-8DCA-70EF970528E2}"/>
  </bookViews>
  <sheets>
    <sheet name="calibration" sheetId="8" r:id="rId1"/>
    <sheet name="IC_101123_F" sheetId="1" r:id="rId2"/>
    <sheet name="IC_101123_Cl" sheetId="2" r:id="rId3"/>
    <sheet name="IC_101123_Nitrite" sheetId="3" r:id="rId4"/>
    <sheet name="IC_101123_Br" sheetId="4" r:id="rId5"/>
    <sheet name="IC_101123_Nitrate" sheetId="5" r:id="rId6"/>
    <sheet name="IC_101123_PO4" sheetId="6" r:id="rId7"/>
    <sheet name="IC_101123_SO4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0" i="7" l="1"/>
  <c r="AC17" i="3"/>
  <c r="AC17" i="5"/>
  <c r="AA17" i="5"/>
  <c r="Z17" i="5"/>
  <c r="Y17" i="5"/>
  <c r="W17" i="5"/>
  <c r="V17" i="5"/>
  <c r="U17" i="5"/>
  <c r="AA17" i="3"/>
  <c r="Z17" i="3"/>
  <c r="Y17" i="3"/>
  <c r="W17" i="3"/>
  <c r="V17" i="3"/>
  <c r="U17" i="3"/>
  <c r="AG52" i="7" l="1"/>
  <c r="AE52" i="7"/>
  <c r="AD52" i="7"/>
  <c r="AC52" i="7"/>
  <c r="AA52" i="7"/>
  <c r="Z52" i="7"/>
  <c r="Y52" i="7"/>
  <c r="AG50" i="7"/>
  <c r="AE50" i="7"/>
  <c r="AD50" i="7"/>
  <c r="AF50" i="7" s="1"/>
  <c r="AC50" i="7"/>
  <c r="AA50" i="7"/>
  <c r="AH50" i="7" s="1"/>
  <c r="Z50" i="7"/>
  <c r="Y50" i="7"/>
  <c r="I13" i="7" s="1"/>
  <c r="AG49" i="7"/>
  <c r="AE49" i="7"/>
  <c r="AF49" i="7" s="1"/>
  <c r="AD49" i="7"/>
  <c r="AC49" i="7"/>
  <c r="AA49" i="7"/>
  <c r="Z49" i="7"/>
  <c r="Y49" i="7"/>
  <c r="L11" i="7" s="1"/>
  <c r="AH47" i="7"/>
  <c r="AG47" i="7"/>
  <c r="AE47" i="7"/>
  <c r="AD47" i="7"/>
  <c r="AC47" i="7"/>
  <c r="AA47" i="7"/>
  <c r="Z47" i="7"/>
  <c r="Y47" i="7"/>
  <c r="I11" i="7" s="1"/>
  <c r="X32" i="7"/>
  <c r="U32" i="7"/>
  <c r="Y28" i="7"/>
  <c r="Y27" i="7"/>
  <c r="V27" i="7"/>
  <c r="AC23" i="7"/>
  <c r="AA23" i="7"/>
  <c r="Z23" i="7"/>
  <c r="Y23" i="7"/>
  <c r="W23" i="7"/>
  <c r="AD23" i="7" s="1"/>
  <c r="V23" i="7"/>
  <c r="U23" i="7"/>
  <c r="AC21" i="7"/>
  <c r="AA21" i="7"/>
  <c r="Z21" i="7"/>
  <c r="AB21" i="7" s="1"/>
  <c r="Y21" i="7"/>
  <c r="W21" i="7"/>
  <c r="V21" i="7"/>
  <c r="U21" i="7"/>
  <c r="AC20" i="7"/>
  <c r="AA20" i="7"/>
  <c r="Z20" i="7"/>
  <c r="Y20" i="7"/>
  <c r="W20" i="7"/>
  <c r="AD20" i="7" s="1"/>
  <c r="V20" i="7"/>
  <c r="U20" i="7"/>
  <c r="V28" i="7" s="1"/>
  <c r="Z28" i="7" s="1"/>
  <c r="K19" i="7"/>
  <c r="AC18" i="7"/>
  <c r="AA18" i="7"/>
  <c r="Z18" i="7"/>
  <c r="Y18" i="7"/>
  <c r="W18" i="7"/>
  <c r="AD18" i="7" s="1"/>
  <c r="V18" i="7"/>
  <c r="U18" i="7"/>
  <c r="V32" i="7" s="1"/>
  <c r="K17" i="7"/>
  <c r="O16" i="7"/>
  <c r="O15" i="7"/>
  <c r="V14" i="7"/>
  <c r="U14" i="7"/>
  <c r="O14" i="7"/>
  <c r="L13" i="7"/>
  <c r="H13" i="7"/>
  <c r="V12" i="7"/>
  <c r="U12" i="7"/>
  <c r="O12" i="7"/>
  <c r="K12" i="7"/>
  <c r="N12" i="7" s="1"/>
  <c r="H11" i="7"/>
  <c r="AA17" i="7" s="1"/>
  <c r="AA7" i="7"/>
  <c r="Z7" i="7"/>
  <c r="Y7" i="7"/>
  <c r="X7" i="7"/>
  <c r="W7" i="7"/>
  <c r="V7" i="7"/>
  <c r="U7" i="7"/>
  <c r="T7" i="7"/>
  <c r="AA6" i="7"/>
  <c r="Z6" i="7"/>
  <c r="Y6" i="7"/>
  <c r="X6" i="7"/>
  <c r="W6" i="7"/>
  <c r="V6" i="7"/>
  <c r="U6" i="7"/>
  <c r="T6" i="7"/>
  <c r="AA5" i="7"/>
  <c r="Z5" i="7"/>
  <c r="Y5" i="7"/>
  <c r="X5" i="7"/>
  <c r="W5" i="7"/>
  <c r="V5" i="7"/>
  <c r="U5" i="7"/>
  <c r="T5" i="7"/>
  <c r="AA4" i="7"/>
  <c r="Z4" i="7"/>
  <c r="Y4" i="7"/>
  <c r="X4" i="7"/>
  <c r="W4" i="7"/>
  <c r="V4" i="7"/>
  <c r="U4" i="7"/>
  <c r="T4" i="7"/>
  <c r="AA3" i="7"/>
  <c r="AG3" i="7" s="1" a="1"/>
  <c r="Z3" i="7"/>
  <c r="Y3" i="7"/>
  <c r="X3" i="7"/>
  <c r="W3" i="7"/>
  <c r="V3" i="7"/>
  <c r="U3" i="7"/>
  <c r="T3" i="7"/>
  <c r="AA2" i="7"/>
  <c r="Z2" i="7"/>
  <c r="Y2" i="7"/>
  <c r="X2" i="7"/>
  <c r="W2" i="7"/>
  <c r="V2" i="7"/>
  <c r="U2" i="7"/>
  <c r="T2" i="7"/>
  <c r="AA1" i="7"/>
  <c r="Z1" i="7"/>
  <c r="Y1" i="7"/>
  <c r="X1" i="7"/>
  <c r="W1" i="7"/>
  <c r="V1" i="7"/>
  <c r="U1" i="7"/>
  <c r="T1" i="7"/>
  <c r="AG52" i="5"/>
  <c r="AE52" i="5"/>
  <c r="AD52" i="5"/>
  <c r="AF52" i="5" s="1"/>
  <c r="AC52" i="5"/>
  <c r="AA52" i="5"/>
  <c r="Z52" i="5"/>
  <c r="Y52" i="5"/>
  <c r="AG50" i="5"/>
  <c r="AE50" i="5"/>
  <c r="AD50" i="5"/>
  <c r="AF50" i="5" s="1"/>
  <c r="AC50" i="5"/>
  <c r="AA50" i="5"/>
  <c r="AH50" i="5" s="1"/>
  <c r="Z50" i="5"/>
  <c r="Y50" i="5"/>
  <c r="I13" i="5" s="1"/>
  <c r="AG49" i="5"/>
  <c r="AE49" i="5"/>
  <c r="AF49" i="5" s="1"/>
  <c r="AD49" i="5"/>
  <c r="AC49" i="5"/>
  <c r="AA49" i="5"/>
  <c r="AH49" i="5" s="1"/>
  <c r="Z49" i="5"/>
  <c r="Y49" i="5"/>
  <c r="AH47" i="5"/>
  <c r="AG47" i="5"/>
  <c r="AE47" i="5"/>
  <c r="AD47" i="5"/>
  <c r="AF47" i="5" s="1"/>
  <c r="AC47" i="5"/>
  <c r="AA47" i="5"/>
  <c r="Z47" i="5"/>
  <c r="Y47" i="5"/>
  <c r="I11" i="5" s="1"/>
  <c r="X32" i="5"/>
  <c r="U32" i="5"/>
  <c r="Y28" i="5"/>
  <c r="Y27" i="5"/>
  <c r="V27" i="5"/>
  <c r="AC23" i="5"/>
  <c r="AA23" i="5"/>
  <c r="Z23" i="5"/>
  <c r="Y23" i="5"/>
  <c r="W23" i="5"/>
  <c r="X23" i="5" s="1"/>
  <c r="V23" i="5"/>
  <c r="U23" i="5"/>
  <c r="AC21" i="5"/>
  <c r="AA21" i="5"/>
  <c r="Z21" i="5"/>
  <c r="Y21" i="5"/>
  <c r="W21" i="5"/>
  <c r="V21" i="5"/>
  <c r="U21" i="5"/>
  <c r="AC20" i="5"/>
  <c r="AA20" i="5"/>
  <c r="Z20" i="5"/>
  <c r="Y20" i="5"/>
  <c r="W20" i="5"/>
  <c r="AD20" i="5" s="1"/>
  <c r="V20" i="5"/>
  <c r="U20" i="5"/>
  <c r="Z32" i="5" s="1"/>
  <c r="AC18" i="5"/>
  <c r="AA18" i="5"/>
  <c r="Z18" i="5"/>
  <c r="Y18" i="5"/>
  <c r="W18" i="5"/>
  <c r="V18" i="5"/>
  <c r="U18" i="5"/>
  <c r="V32" i="5" s="1"/>
  <c r="O16" i="5"/>
  <c r="O15" i="5"/>
  <c r="V14" i="5"/>
  <c r="U14" i="5"/>
  <c r="O14" i="5"/>
  <c r="L13" i="5"/>
  <c r="H13" i="5"/>
  <c r="V12" i="5"/>
  <c r="U12" i="5"/>
  <c r="O12" i="5"/>
  <c r="L11" i="5"/>
  <c r="H11" i="5"/>
  <c r="AA7" i="5"/>
  <c r="Z7" i="5"/>
  <c r="Y7" i="5"/>
  <c r="X7" i="5"/>
  <c r="W7" i="5"/>
  <c r="V7" i="5"/>
  <c r="U7" i="5"/>
  <c r="T7" i="5"/>
  <c r="AA6" i="5"/>
  <c r="Z6" i="5"/>
  <c r="Y6" i="5"/>
  <c r="X6" i="5"/>
  <c r="W6" i="5"/>
  <c r="V6" i="5"/>
  <c r="U6" i="5"/>
  <c r="T6" i="5"/>
  <c r="AA5" i="5"/>
  <c r="Z5" i="5"/>
  <c r="Y5" i="5"/>
  <c r="X5" i="5"/>
  <c r="W5" i="5"/>
  <c r="V5" i="5"/>
  <c r="U5" i="5"/>
  <c r="T5" i="5"/>
  <c r="AA4" i="5"/>
  <c r="Z4" i="5"/>
  <c r="Y4" i="5"/>
  <c r="X4" i="5"/>
  <c r="W4" i="5"/>
  <c r="V4" i="5"/>
  <c r="U4" i="5"/>
  <c r="T4" i="5"/>
  <c r="AA3" i="5"/>
  <c r="Z3" i="5"/>
  <c r="Y3" i="5"/>
  <c r="X3" i="5"/>
  <c r="W3" i="5"/>
  <c r="V3" i="5"/>
  <c r="U3" i="5"/>
  <c r="T3" i="5"/>
  <c r="AA2" i="5"/>
  <c r="Z2" i="5"/>
  <c r="Y2" i="5"/>
  <c r="X2" i="5"/>
  <c r="W2" i="5"/>
  <c r="V2" i="5"/>
  <c r="U2" i="5"/>
  <c r="T2" i="5"/>
  <c r="K2" i="5"/>
  <c r="AA1" i="5"/>
  <c r="Z1" i="5"/>
  <c r="Y1" i="5"/>
  <c r="X1" i="5"/>
  <c r="W1" i="5"/>
  <c r="V1" i="5"/>
  <c r="U1" i="5"/>
  <c r="T1" i="5"/>
  <c r="AG3" i="3" a="1"/>
  <c r="AG3" i="3" s="1"/>
  <c r="AG52" i="3"/>
  <c r="AE52" i="3"/>
  <c r="AD52" i="3"/>
  <c r="AF52" i="3" s="1"/>
  <c r="AC52" i="3"/>
  <c r="AA52" i="3"/>
  <c r="AH52" i="3" s="1"/>
  <c r="Z52" i="3"/>
  <c r="Y52" i="3"/>
  <c r="AG50" i="3"/>
  <c r="AH50" i="3" s="1"/>
  <c r="AE50" i="3"/>
  <c r="AD50" i="3"/>
  <c r="AC50" i="3"/>
  <c r="AA50" i="3"/>
  <c r="Z50" i="3"/>
  <c r="Y50" i="3"/>
  <c r="I13" i="3" s="1"/>
  <c r="AG49" i="3"/>
  <c r="AE49" i="3"/>
  <c r="AF49" i="3" s="1"/>
  <c r="AD49" i="3"/>
  <c r="AC49" i="3"/>
  <c r="AA49" i="3"/>
  <c r="AH49" i="3" s="1"/>
  <c r="Z49" i="3"/>
  <c r="Y49" i="3"/>
  <c r="L11" i="3" s="1"/>
  <c r="AG47" i="3"/>
  <c r="AE47" i="3"/>
  <c r="AD47" i="3"/>
  <c r="AC47" i="3"/>
  <c r="AA47" i="3"/>
  <c r="AH47" i="3" s="1"/>
  <c r="Z47" i="3"/>
  <c r="Y47" i="3"/>
  <c r="I11" i="3" s="1"/>
  <c r="X32" i="3"/>
  <c r="U32" i="3"/>
  <c r="Y28" i="3"/>
  <c r="Y27" i="3"/>
  <c r="V27" i="3"/>
  <c r="Z27" i="3" s="1"/>
  <c r="AC23" i="3"/>
  <c r="AA23" i="3"/>
  <c r="Z23" i="3"/>
  <c r="Y23" i="3"/>
  <c r="W23" i="3"/>
  <c r="V23" i="3"/>
  <c r="U23" i="3"/>
  <c r="AC21" i="3"/>
  <c r="AA21" i="3"/>
  <c r="Z21" i="3"/>
  <c r="Y21" i="3"/>
  <c r="W21" i="3"/>
  <c r="AD21" i="3" s="1"/>
  <c r="V21" i="3"/>
  <c r="U21" i="3"/>
  <c r="AC20" i="3"/>
  <c r="AA20" i="3"/>
  <c r="Z20" i="3"/>
  <c r="AB20" i="3" s="1"/>
  <c r="Y20" i="3"/>
  <c r="W20" i="3"/>
  <c r="V20" i="3"/>
  <c r="U20" i="3"/>
  <c r="V28" i="3" s="1"/>
  <c r="Z28" i="3" s="1"/>
  <c r="AC18" i="3"/>
  <c r="AA18" i="3"/>
  <c r="Z18" i="3"/>
  <c r="Y18" i="3"/>
  <c r="W18" i="3"/>
  <c r="V18" i="3"/>
  <c r="U18" i="3"/>
  <c r="V32" i="3" s="1"/>
  <c r="O16" i="3"/>
  <c r="O15" i="3"/>
  <c r="V14" i="3"/>
  <c r="U14" i="3"/>
  <c r="O14" i="3"/>
  <c r="L13" i="3"/>
  <c r="H13" i="3"/>
  <c r="V12" i="3"/>
  <c r="U12" i="3"/>
  <c r="O12" i="3"/>
  <c r="O11" i="3"/>
  <c r="H11" i="3"/>
  <c r="AA7" i="3"/>
  <c r="Z7" i="3"/>
  <c r="Y7" i="3"/>
  <c r="X7" i="3"/>
  <c r="W7" i="3"/>
  <c r="V7" i="3"/>
  <c r="U7" i="3"/>
  <c r="T7" i="3"/>
  <c r="AA6" i="3"/>
  <c r="Z6" i="3"/>
  <c r="Y6" i="3"/>
  <c r="X6" i="3"/>
  <c r="W6" i="3"/>
  <c r="V6" i="3"/>
  <c r="U6" i="3"/>
  <c r="T6" i="3"/>
  <c r="AA5" i="3"/>
  <c r="Z5" i="3"/>
  <c r="Y5" i="3"/>
  <c r="X5" i="3"/>
  <c r="W5" i="3"/>
  <c r="V5" i="3"/>
  <c r="U5" i="3"/>
  <c r="T5" i="3"/>
  <c r="AA4" i="3"/>
  <c r="Z4" i="3"/>
  <c r="Y4" i="3"/>
  <c r="X4" i="3"/>
  <c r="W4" i="3"/>
  <c r="V4" i="3"/>
  <c r="U4" i="3"/>
  <c r="T4" i="3"/>
  <c r="AA3" i="3"/>
  <c r="Z3" i="3"/>
  <c r="Y3" i="3"/>
  <c r="X3" i="3"/>
  <c r="W3" i="3"/>
  <c r="V3" i="3"/>
  <c r="U3" i="3"/>
  <c r="T3" i="3"/>
  <c r="AA2" i="3"/>
  <c r="Z2" i="3"/>
  <c r="Y2" i="3"/>
  <c r="X2" i="3"/>
  <c r="W2" i="3"/>
  <c r="V2" i="3"/>
  <c r="U2" i="3"/>
  <c r="T2" i="3"/>
  <c r="K2" i="3"/>
  <c r="AA1" i="3"/>
  <c r="Z1" i="3"/>
  <c r="Y1" i="3"/>
  <c r="X1" i="3"/>
  <c r="W1" i="3"/>
  <c r="V1" i="3"/>
  <c r="U1" i="3"/>
  <c r="T1" i="3"/>
  <c r="O16" i="2"/>
  <c r="N16" i="2"/>
  <c r="O15" i="2"/>
  <c r="N15" i="2"/>
  <c r="O14" i="2"/>
  <c r="N14" i="2"/>
  <c r="O13" i="2"/>
  <c r="N13" i="2"/>
  <c r="O12" i="2"/>
  <c r="N12" i="2"/>
  <c r="O11" i="2"/>
  <c r="N11" i="2"/>
  <c r="Y50" i="2"/>
  <c r="Y47" i="2"/>
  <c r="X32" i="2"/>
  <c r="W32" i="2"/>
  <c r="V32" i="2"/>
  <c r="U32" i="2"/>
  <c r="V28" i="2"/>
  <c r="V27" i="2"/>
  <c r="U28" i="2"/>
  <c r="U27" i="2"/>
  <c r="U12" i="2"/>
  <c r="AC20" i="2"/>
  <c r="AA20" i="2"/>
  <c r="Z20" i="2"/>
  <c r="Y20" i="2"/>
  <c r="W20" i="2"/>
  <c r="V20" i="2"/>
  <c r="U20" i="2"/>
  <c r="Z32" i="2" s="1"/>
  <c r="AC18" i="2"/>
  <c r="AA18" i="2"/>
  <c r="Z18" i="2"/>
  <c r="Y18" i="2"/>
  <c r="W18" i="2"/>
  <c r="V18" i="2"/>
  <c r="U18" i="2"/>
  <c r="AC17" i="2"/>
  <c r="AA17" i="2"/>
  <c r="Z17" i="2"/>
  <c r="Y17" i="2"/>
  <c r="W17" i="2"/>
  <c r="V17" i="2"/>
  <c r="U17" i="2"/>
  <c r="AC23" i="2"/>
  <c r="AA23" i="2"/>
  <c r="Z23" i="2"/>
  <c r="Y23" i="2"/>
  <c r="W23" i="2"/>
  <c r="V23" i="2"/>
  <c r="V14" i="2"/>
  <c r="U23" i="2"/>
  <c r="U14" i="2"/>
  <c r="AC21" i="2"/>
  <c r="AA21" i="2"/>
  <c r="Z21" i="2"/>
  <c r="Y21" i="2"/>
  <c r="W21" i="2"/>
  <c r="V21" i="2"/>
  <c r="V12" i="2"/>
  <c r="U21" i="2"/>
  <c r="AA2" i="2"/>
  <c r="AG3" i="2" s="1" a="1"/>
  <c r="AA3" i="2"/>
  <c r="AA4" i="2"/>
  <c r="AA5" i="2"/>
  <c r="AA6" i="2"/>
  <c r="AA7" i="2"/>
  <c r="Y2" i="2"/>
  <c r="Z2" i="2"/>
  <c r="Y3" i="2"/>
  <c r="Z3" i="2"/>
  <c r="Y4" i="2"/>
  <c r="Z4" i="2"/>
  <c r="Y5" i="2"/>
  <c r="Z5" i="2"/>
  <c r="Y6" i="2"/>
  <c r="Z6" i="2"/>
  <c r="Y7" i="2"/>
  <c r="Z7" i="2"/>
  <c r="X2" i="2"/>
  <c r="X3" i="2"/>
  <c r="X4" i="2"/>
  <c r="X5" i="2"/>
  <c r="X6" i="2"/>
  <c r="X7" i="2"/>
  <c r="W2" i="2"/>
  <c r="W3" i="2"/>
  <c r="W4" i="2"/>
  <c r="W5" i="2"/>
  <c r="W6" i="2"/>
  <c r="W7" i="2"/>
  <c r="T2" i="2"/>
  <c r="U2" i="2"/>
  <c r="T3" i="2"/>
  <c r="U3" i="2"/>
  <c r="T4" i="2"/>
  <c r="U4" i="2"/>
  <c r="T5" i="2"/>
  <c r="U5" i="2"/>
  <c r="T6" i="2"/>
  <c r="U6" i="2"/>
  <c r="T7" i="2"/>
  <c r="U7" i="2"/>
  <c r="V2" i="2"/>
  <c r="V3" i="2"/>
  <c r="V4" i="2"/>
  <c r="V5" i="2"/>
  <c r="V6" i="2"/>
  <c r="V7" i="2"/>
  <c r="L13" i="2"/>
  <c r="I13" i="2"/>
  <c r="H13" i="2"/>
  <c r="H11" i="2"/>
  <c r="AG52" i="2"/>
  <c r="AE52" i="2"/>
  <c r="AD52" i="2"/>
  <c r="AC52" i="2"/>
  <c r="AA52" i="2"/>
  <c r="Z52" i="2"/>
  <c r="Y52" i="2"/>
  <c r="AG50" i="2"/>
  <c r="AE50" i="2"/>
  <c r="AD50" i="2"/>
  <c r="AC50" i="2"/>
  <c r="AA50" i="2"/>
  <c r="Z50" i="2"/>
  <c r="AG49" i="2"/>
  <c r="AE49" i="2"/>
  <c r="AD49" i="2"/>
  <c r="AF49" i="2" s="1"/>
  <c r="AC49" i="2"/>
  <c r="AA49" i="2"/>
  <c r="AH49" i="2" s="1"/>
  <c r="Z49" i="2"/>
  <c r="Y49" i="2"/>
  <c r="L11" i="2" s="1"/>
  <c r="AG47" i="2"/>
  <c r="AE47" i="2"/>
  <c r="AD47" i="2"/>
  <c r="AF47" i="2" s="1"/>
  <c r="AC47" i="2"/>
  <c r="AA47" i="2"/>
  <c r="AB47" i="2" s="1"/>
  <c r="Z47" i="2"/>
  <c r="I11" i="2"/>
  <c r="Y28" i="2"/>
  <c r="Y27" i="2"/>
  <c r="Z27" i="2"/>
  <c r="AA1" i="2"/>
  <c r="Z1" i="2"/>
  <c r="Y1" i="2"/>
  <c r="X1" i="2"/>
  <c r="W1" i="2"/>
  <c r="V1" i="2"/>
  <c r="U1" i="2"/>
  <c r="T1" i="2"/>
  <c r="Z27" i="7" l="1"/>
  <c r="AD21" i="7"/>
  <c r="X23" i="7"/>
  <c r="AB23" i="7"/>
  <c r="AH52" i="7"/>
  <c r="AF52" i="7"/>
  <c r="O13" i="7"/>
  <c r="V17" i="7"/>
  <c r="AH49" i="7"/>
  <c r="AF47" i="7"/>
  <c r="X20" i="7"/>
  <c r="AB20" i="7"/>
  <c r="AB18" i="7"/>
  <c r="AA32" i="7"/>
  <c r="AG3" i="7"/>
  <c r="AC36" i="7"/>
  <c r="W17" i="7"/>
  <c r="AC17" i="7"/>
  <c r="X18" i="7"/>
  <c r="X21" i="7"/>
  <c r="Z32" i="7"/>
  <c r="AC32" i="7" s="1"/>
  <c r="O11" i="7"/>
  <c r="Y17" i="7"/>
  <c r="AB47" i="7"/>
  <c r="Z17" i="7"/>
  <c r="AB17" i="7" s="1"/>
  <c r="U17" i="7"/>
  <c r="AB49" i="7"/>
  <c r="AB52" i="7"/>
  <c r="Z27" i="5"/>
  <c r="AB21" i="5"/>
  <c r="AG3" i="5" a="1"/>
  <c r="AG3" i="5" s="1"/>
  <c r="X20" i="5"/>
  <c r="AB23" i="5"/>
  <c r="AD21" i="5"/>
  <c r="AD18" i="5"/>
  <c r="O13" i="5"/>
  <c r="AH52" i="5"/>
  <c r="V28" i="5"/>
  <c r="Z28" i="5" s="1"/>
  <c r="AB20" i="5"/>
  <c r="AD23" i="5"/>
  <c r="AB18" i="5"/>
  <c r="AA32" i="5"/>
  <c r="AC32" i="5"/>
  <c r="X18" i="5"/>
  <c r="X21" i="5"/>
  <c r="O11" i="5"/>
  <c r="AB47" i="5"/>
  <c r="AB50" i="5"/>
  <c r="AB49" i="5"/>
  <c r="AB52" i="5"/>
  <c r="AB21" i="3"/>
  <c r="AB49" i="3"/>
  <c r="AD20" i="3"/>
  <c r="AD18" i="3"/>
  <c r="AA32" i="3"/>
  <c r="AB18" i="3"/>
  <c r="AB52" i="3"/>
  <c r="AF50" i="3"/>
  <c r="AB17" i="3"/>
  <c r="AF47" i="3"/>
  <c r="AD23" i="3"/>
  <c r="AB23" i="3"/>
  <c r="AC41" i="3"/>
  <c r="AC37" i="3"/>
  <c r="X18" i="3"/>
  <c r="O13" i="3"/>
  <c r="X21" i="3"/>
  <c r="Z32" i="3"/>
  <c r="AC32" i="3" s="1"/>
  <c r="AB47" i="3"/>
  <c r="AB50" i="3"/>
  <c r="X20" i="3"/>
  <c r="X23" i="3"/>
  <c r="AG3" i="2"/>
  <c r="K16" i="2" s="1"/>
  <c r="K12" i="2"/>
  <c r="AB18" i="2"/>
  <c r="AD18" i="2"/>
  <c r="X21" i="2"/>
  <c r="AB20" i="2"/>
  <c r="AD20" i="2"/>
  <c r="AF52" i="2"/>
  <c r="AF50" i="2"/>
  <c r="AB50" i="2"/>
  <c r="AH52" i="2"/>
  <c r="AH50" i="2"/>
  <c r="AH47" i="2"/>
  <c r="AB23" i="2"/>
  <c r="X20" i="2"/>
  <c r="AB21" i="2"/>
  <c r="AD21" i="2"/>
  <c r="AD23" i="2"/>
  <c r="AA32" i="2"/>
  <c r="Z28" i="2"/>
  <c r="AC32" i="2"/>
  <c r="X18" i="2"/>
  <c r="X23" i="2"/>
  <c r="AB49" i="2"/>
  <c r="AB52" i="2"/>
  <c r="K5" i="7" l="1"/>
  <c r="K2" i="7"/>
  <c r="K7" i="7"/>
  <c r="K4" i="7"/>
  <c r="K3" i="7"/>
  <c r="K15" i="7"/>
  <c r="N15" i="7" s="1"/>
  <c r="K6" i="7"/>
  <c r="AC38" i="7"/>
  <c r="Z48" i="7" s="1"/>
  <c r="AC40" i="7"/>
  <c r="K8" i="7"/>
  <c r="K10" i="7"/>
  <c r="W19" i="7" s="1"/>
  <c r="K14" i="7"/>
  <c r="N14" i="7" s="1"/>
  <c r="K16" i="7"/>
  <c r="N16" i="7" s="1"/>
  <c r="K18" i="7"/>
  <c r="AC41" i="7"/>
  <c r="AC37" i="7"/>
  <c r="AC39" i="7"/>
  <c r="AG51" i="7" s="1"/>
  <c r="K9" i="7"/>
  <c r="W32" i="7"/>
  <c r="U27" i="7"/>
  <c r="AA27" i="7" s="1"/>
  <c r="AD17" i="7"/>
  <c r="X17" i="7"/>
  <c r="AC19" i="7"/>
  <c r="Z19" i="7"/>
  <c r="Y19" i="7"/>
  <c r="K12" i="5"/>
  <c r="N12" i="5" s="1"/>
  <c r="K5" i="5"/>
  <c r="K19" i="5"/>
  <c r="AC41" i="5"/>
  <c r="AC36" i="5"/>
  <c r="K14" i="5"/>
  <c r="N14" i="5" s="1"/>
  <c r="K10" i="5"/>
  <c r="AC37" i="5"/>
  <c r="Y48" i="5" s="1"/>
  <c r="K11" i="5" s="1"/>
  <c r="N11" i="5" s="1"/>
  <c r="AC40" i="5"/>
  <c r="K16" i="5"/>
  <c r="N16" i="5" s="1"/>
  <c r="K17" i="5"/>
  <c r="AC38" i="5"/>
  <c r="K8" i="5"/>
  <c r="K6" i="5"/>
  <c r="U27" i="5" s="1"/>
  <c r="AA27" i="5" s="1"/>
  <c r="AC39" i="5"/>
  <c r="AA51" i="5" s="1"/>
  <c r="K9" i="5"/>
  <c r="W22" i="5" s="1"/>
  <c r="K4" i="5"/>
  <c r="K18" i="5"/>
  <c r="Z19" i="5" s="1"/>
  <c r="K3" i="5"/>
  <c r="AB17" i="5"/>
  <c r="K7" i="5"/>
  <c r="K15" i="5"/>
  <c r="N15" i="5" s="1"/>
  <c r="AE48" i="5"/>
  <c r="AD48" i="5"/>
  <c r="AC48" i="5"/>
  <c r="AG48" i="5"/>
  <c r="AA22" i="5"/>
  <c r="W32" i="5"/>
  <c r="AD17" i="5"/>
  <c r="X17" i="5"/>
  <c r="AC19" i="5"/>
  <c r="W19" i="5"/>
  <c r="V19" i="5"/>
  <c r="U19" i="5"/>
  <c r="Y19" i="5"/>
  <c r="AC38" i="3"/>
  <c r="K12" i="3"/>
  <c r="N12" i="3" s="1"/>
  <c r="K4" i="3"/>
  <c r="AC36" i="3"/>
  <c r="AC39" i="3"/>
  <c r="K17" i="3"/>
  <c r="K10" i="3"/>
  <c r="K15" i="3"/>
  <c r="N15" i="3" s="1"/>
  <c r="K6" i="3"/>
  <c r="K3" i="3"/>
  <c r="K18" i="3"/>
  <c r="AC40" i="3"/>
  <c r="K8" i="3"/>
  <c r="K9" i="3"/>
  <c r="K5" i="3"/>
  <c r="K14" i="3"/>
  <c r="N14" i="3" s="1"/>
  <c r="AD17" i="3"/>
  <c r="X17" i="3"/>
  <c r="K16" i="3"/>
  <c r="N16" i="3" s="1"/>
  <c r="K19" i="3"/>
  <c r="K7" i="3"/>
  <c r="AC36" i="2"/>
  <c r="K19" i="2"/>
  <c r="W22" i="2" s="1"/>
  <c r="K3" i="2"/>
  <c r="K9" i="2"/>
  <c r="K15" i="2"/>
  <c r="K7" i="2"/>
  <c r="K4" i="2"/>
  <c r="K10" i="2"/>
  <c r="K17" i="2"/>
  <c r="K18" i="2"/>
  <c r="K6" i="2"/>
  <c r="K8" i="2"/>
  <c r="K5" i="2"/>
  <c r="K14" i="2"/>
  <c r="AC41" i="2"/>
  <c r="AC40" i="2"/>
  <c r="AB17" i="2"/>
  <c r="AC38" i="2"/>
  <c r="K2" i="2"/>
  <c r="AD17" i="2"/>
  <c r="X17" i="2"/>
  <c r="AC37" i="2"/>
  <c r="AC39" i="2"/>
  <c r="AD51" i="7" l="1"/>
  <c r="Y51" i="7"/>
  <c r="K13" i="7" s="1"/>
  <c r="N13" i="7" s="1"/>
  <c r="AA48" i="7"/>
  <c r="AH48" i="7" s="1"/>
  <c r="Y48" i="7"/>
  <c r="K11" i="7" s="1"/>
  <c r="N11" i="7" s="1"/>
  <c r="AE48" i="7"/>
  <c r="AF48" i="7" s="1"/>
  <c r="AD48" i="7"/>
  <c r="U19" i="7"/>
  <c r="X19" i="7" s="1"/>
  <c r="AC22" i="7"/>
  <c r="V13" i="7"/>
  <c r="V22" i="7"/>
  <c r="Z22" i="7"/>
  <c r="AA22" i="7"/>
  <c r="U13" i="7"/>
  <c r="Y22" i="7"/>
  <c r="U22" i="7"/>
  <c r="W22" i="7"/>
  <c r="AE51" i="7"/>
  <c r="AC48" i="7"/>
  <c r="AA51" i="7"/>
  <c r="AH51" i="7" s="1"/>
  <c r="Z51" i="7"/>
  <c r="AA19" i="7"/>
  <c r="AB19" i="7" s="1"/>
  <c r="AG48" i="7"/>
  <c r="AC51" i="7"/>
  <c r="V19" i="7"/>
  <c r="U28" i="7"/>
  <c r="AA28" i="7" s="1"/>
  <c r="Y32" i="7"/>
  <c r="AB32" i="7" s="1"/>
  <c r="AD19" i="7"/>
  <c r="V13" i="5"/>
  <c r="AG51" i="5"/>
  <c r="AH51" i="5" s="1"/>
  <c r="Z51" i="5"/>
  <c r="AD51" i="5"/>
  <c r="AF51" i="5" s="1"/>
  <c r="U13" i="5"/>
  <c r="AC22" i="5"/>
  <c r="AD22" i="5" s="1"/>
  <c r="AA19" i="5"/>
  <c r="Y51" i="5"/>
  <c r="K13" i="5" s="1"/>
  <c r="N13" i="5" s="1"/>
  <c r="U22" i="5"/>
  <c r="AA48" i="5"/>
  <c r="AB48" i="5" s="1"/>
  <c r="Z48" i="5"/>
  <c r="AE51" i="5"/>
  <c r="AC51" i="5"/>
  <c r="Y22" i="5"/>
  <c r="V22" i="5"/>
  <c r="Z22" i="5"/>
  <c r="AF48" i="5"/>
  <c r="AD19" i="5"/>
  <c r="X19" i="5"/>
  <c r="AB19" i="5"/>
  <c r="AB51" i="5"/>
  <c r="AB22" i="5"/>
  <c r="X22" i="5"/>
  <c r="AH48" i="5"/>
  <c r="U28" i="5"/>
  <c r="AA28" i="5" s="1"/>
  <c r="Y32" i="5"/>
  <c r="AB32" i="5" s="1"/>
  <c r="AC22" i="3"/>
  <c r="W22" i="3"/>
  <c r="V22" i="3"/>
  <c r="V13" i="3"/>
  <c r="U22" i="3"/>
  <c r="AA22" i="3"/>
  <c r="U13" i="3"/>
  <c r="Z22" i="3"/>
  <c r="Y22" i="3"/>
  <c r="AC19" i="3"/>
  <c r="W19" i="3"/>
  <c r="V19" i="3"/>
  <c r="AA19" i="3"/>
  <c r="U19" i="3"/>
  <c r="Z19" i="3"/>
  <c r="Y19" i="3"/>
  <c r="Z51" i="3"/>
  <c r="AE51" i="3"/>
  <c r="Y51" i="3"/>
  <c r="K13" i="3" s="1"/>
  <c r="N13" i="3" s="1"/>
  <c r="AD51" i="3"/>
  <c r="AC51" i="3"/>
  <c r="AG51" i="3"/>
  <c r="AA51" i="3"/>
  <c r="Z48" i="3"/>
  <c r="AE48" i="3"/>
  <c r="Y48" i="3"/>
  <c r="K11" i="3" s="1"/>
  <c r="N11" i="3" s="1"/>
  <c r="AD48" i="3"/>
  <c r="AC48" i="3"/>
  <c r="AG48" i="3"/>
  <c r="AA48" i="3"/>
  <c r="W32" i="3"/>
  <c r="U27" i="3"/>
  <c r="AA27" i="3" s="1"/>
  <c r="W19" i="2"/>
  <c r="AA19" i="2"/>
  <c r="Z19" i="2"/>
  <c r="V19" i="2"/>
  <c r="AC19" i="2"/>
  <c r="U19" i="2"/>
  <c r="Y19" i="2"/>
  <c r="AC22" i="2"/>
  <c r="U13" i="2"/>
  <c r="V22" i="2"/>
  <c r="Z22" i="2"/>
  <c r="Y22" i="2"/>
  <c r="V13" i="2"/>
  <c r="AA22" i="2"/>
  <c r="U22" i="2"/>
  <c r="Z51" i="2"/>
  <c r="AE51" i="2"/>
  <c r="Y51" i="2"/>
  <c r="K13" i="2" s="1"/>
  <c r="AD51" i="2"/>
  <c r="AC51" i="2"/>
  <c r="AG51" i="2"/>
  <c r="AA51" i="2"/>
  <c r="Z48" i="2"/>
  <c r="AE48" i="2"/>
  <c r="Y48" i="2"/>
  <c r="K11" i="2" s="1"/>
  <c r="AD48" i="2"/>
  <c r="AC48" i="2"/>
  <c r="AG48" i="2"/>
  <c r="AA48" i="2"/>
  <c r="AA27" i="2"/>
  <c r="AB22" i="7" l="1"/>
  <c r="AF51" i="7"/>
  <c r="AB51" i="7"/>
  <c r="AB48" i="7"/>
  <c r="X22" i="7"/>
  <c r="AD22" i="7"/>
  <c r="AB19" i="3"/>
  <c r="AF48" i="3"/>
  <c r="AH51" i="3"/>
  <c r="AB51" i="3"/>
  <c r="AD19" i="3"/>
  <c r="X19" i="3"/>
  <c r="AH48" i="3"/>
  <c r="AB48" i="3"/>
  <c r="U28" i="3"/>
  <c r="AA28" i="3" s="1"/>
  <c r="Y32" i="3"/>
  <c r="AB32" i="3" s="1"/>
  <c r="AD22" i="3"/>
  <c r="X22" i="3"/>
  <c r="AF51" i="3"/>
  <c r="AB22" i="3"/>
  <c r="AB22" i="2"/>
  <c r="AB19" i="2"/>
  <c r="Y32" i="2"/>
  <c r="AB32" i="2" s="1"/>
  <c r="AA28" i="2"/>
  <c r="AH51" i="2"/>
  <c r="AB51" i="2"/>
  <c r="AD22" i="2"/>
  <c r="X22" i="2"/>
  <c r="AH48" i="2"/>
  <c r="AB48" i="2"/>
  <c r="AD19" i="2"/>
  <c r="X19" i="2"/>
  <c r="AF48" i="2"/>
  <c r="AF51" i="2"/>
  <c r="O14" i="4" l="1"/>
  <c r="L22" i="6"/>
  <c r="M22" i="6" s="1"/>
  <c r="L21" i="6"/>
  <c r="M21" i="6" s="1"/>
  <c r="L20" i="6"/>
  <c r="M20" i="6" s="1"/>
  <c r="L19" i="6"/>
  <c r="M19" i="6" s="1"/>
  <c r="L18" i="6"/>
  <c r="M18" i="6" s="1"/>
  <c r="L17" i="6"/>
  <c r="M17" i="6" s="1"/>
  <c r="L16" i="6"/>
  <c r="M16" i="6" s="1"/>
  <c r="L15" i="6"/>
  <c r="M15" i="6" s="1"/>
  <c r="L14" i="6"/>
  <c r="M14" i="6" s="1"/>
  <c r="L13" i="6"/>
  <c r="M13" i="6" s="1"/>
  <c r="L12" i="6"/>
  <c r="M12" i="6" s="1"/>
  <c r="L11" i="6"/>
  <c r="M11" i="6" s="1"/>
  <c r="L10" i="6"/>
  <c r="M10" i="6" s="1"/>
  <c r="L9" i="6"/>
  <c r="M9" i="6" s="1"/>
  <c r="L8" i="6"/>
  <c r="M8" i="6" s="1"/>
  <c r="L7" i="6"/>
  <c r="M7" i="6" s="1"/>
  <c r="L6" i="6"/>
  <c r="M6" i="6" s="1"/>
  <c r="L5" i="6"/>
  <c r="M5" i="6" s="1"/>
  <c r="L4" i="6"/>
  <c r="M4" i="6" s="1"/>
  <c r="L3" i="6"/>
  <c r="M3" i="6" s="1"/>
  <c r="L2" i="6"/>
  <c r="M2" i="6" s="1"/>
  <c r="L3" i="4"/>
  <c r="L22" i="4"/>
  <c r="M22" i="4" s="1"/>
  <c r="L21" i="4"/>
  <c r="M21" i="4" s="1"/>
  <c r="L20" i="4"/>
  <c r="M20" i="4" s="1"/>
  <c r="L19" i="4"/>
  <c r="M19" i="4" s="1"/>
  <c r="L18" i="4"/>
  <c r="M18" i="4" s="1"/>
  <c r="L17" i="4"/>
  <c r="M17" i="4" s="1"/>
  <c r="L16" i="4"/>
  <c r="M16" i="4" s="1"/>
  <c r="L15" i="4"/>
  <c r="M15" i="4" s="1"/>
  <c r="L14" i="4"/>
  <c r="M14" i="4" s="1"/>
  <c r="L13" i="4"/>
  <c r="M13" i="4" s="1"/>
  <c r="L12" i="4"/>
  <c r="M12" i="4" s="1"/>
  <c r="L11" i="4"/>
  <c r="M11" i="4" s="1"/>
  <c r="L10" i="4"/>
  <c r="M10" i="4" s="1"/>
  <c r="L9" i="4"/>
  <c r="M9" i="4" s="1"/>
  <c r="L8" i="4"/>
  <c r="M8" i="4" s="1"/>
  <c r="L7" i="4"/>
  <c r="M7" i="4" s="1"/>
  <c r="L6" i="4"/>
  <c r="M6" i="4" s="1"/>
  <c r="L5" i="4"/>
  <c r="M5" i="4" s="1"/>
  <c r="L4" i="4"/>
  <c r="M4" i="4" s="1"/>
  <c r="M3" i="4"/>
  <c r="L2" i="4"/>
  <c r="M2" i="4" s="1"/>
  <c r="F8" i="8"/>
  <c r="E8" i="8"/>
  <c r="D8" i="8"/>
  <c r="C8" i="8"/>
  <c r="B8" i="8"/>
  <c r="F7" i="8"/>
  <c r="E7" i="8"/>
  <c r="D7" i="8"/>
  <c r="B7" i="8"/>
  <c r="C7" i="8" s="1"/>
  <c r="F6" i="8"/>
  <c r="E6" i="8"/>
  <c r="D6" i="8"/>
  <c r="B6" i="8"/>
  <c r="C6" i="8" s="1"/>
  <c r="F5" i="8"/>
  <c r="E5" i="8"/>
  <c r="D5" i="8"/>
  <c r="B5" i="8"/>
  <c r="C5" i="8" s="1"/>
  <c r="F4" i="8"/>
  <c r="E4" i="8"/>
  <c r="D4" i="8"/>
  <c r="C4" i="8"/>
  <c r="B4" i="8"/>
  <c r="F3" i="8"/>
  <c r="E3" i="8"/>
  <c r="D3" i="8"/>
  <c r="B3" i="8"/>
  <c r="C3" i="8" s="1"/>
  <c r="F2" i="8"/>
  <c r="E2" i="8"/>
  <c r="D2" i="8"/>
  <c r="B2" i="8"/>
  <c r="C2" i="8" s="1"/>
  <c r="O10" i="6" l="1"/>
  <c r="O14" i="6"/>
  <c r="O1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5" authorId="0" shapeId="0" xr:uid="{334D2A6F-12DD-4F07-8253-E19ADCEB7F4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6" authorId="0" shapeId="0" xr:uid="{2BAF80CF-F704-4003-9E97-8A43A99836A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7" authorId="0" shapeId="0" xr:uid="{8609A9B4-1EEC-4A56-9686-E9B6B8ED149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9" authorId="0" shapeId="0" xr:uid="{A84341FD-64DC-46BA-9F96-76788EB5802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10" authorId="0" shapeId="0" xr:uid="{7F321926-2BD2-4838-8689-4B5626F5104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U11" authorId="0" shapeId="0" xr:uid="{B8618EFE-6461-4516-867F-9066B30A3BA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444D01C1-5C44-4EA0-8E55-23906290728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2" authorId="0" shapeId="0" xr:uid="{3759E20D-4981-424D-A410-548EC509E47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Beyond Calibration range, use diluted peak from 231123</t>
        </r>
      </text>
    </comment>
    <comment ref="B13" authorId="0" shapeId="0" xr:uid="{7EFF6E4F-8B54-4441-B47A-2F260DEB470F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4" authorId="0" shapeId="0" xr:uid="{A26491BA-49B3-4CD3-A4C4-ACE73088178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17" authorId="0" shapeId="0" xr:uid="{367915B0-D19A-42C3-BEA7-C4DFF4027659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18" authorId="0" shapeId="0" xr:uid="{80667236-F69D-4A48-854F-D7D5795503F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9" authorId="0" shapeId="0" xr:uid="{27245FCE-F6B9-4398-A59F-0982AECA778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Z26" authorId="0" shapeId="0" xr:uid="{FC805475-52D2-43AE-8FBE-1A4D22EE395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U28" authorId="0" shapeId="0" xr:uid="{2957AA6A-60BB-47B8-AAAA-6610EB5FC48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AB31" authorId="0" shapeId="0" xr:uid="{0ABB2AC5-EB59-454D-A58F-E9F8D87050B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T32" authorId="0" shapeId="0" xr:uid="{6193A1A2-6CBB-4C7E-AD44-F382DDD509E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  <comment ref="U38" authorId="0" shapeId="0" xr:uid="{AACF1015-B695-4454-AE64-E665FF96446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5" authorId="0" shapeId="0" xr:uid="{EFBA0709-E6AC-4AEC-8E3B-8A7094AF9BC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6" authorId="0" shapeId="0" xr:uid="{A44F821C-F4AE-435D-A3CF-3A11327E0A4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7" authorId="0" shapeId="0" xr:uid="{9EBE15F2-AF84-48A1-8AEC-3118415196B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9" authorId="0" shapeId="0" xr:uid="{B6D9A510-AAEA-43E7-9FD1-D00F7A4C124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10" authorId="0" shapeId="0" xr:uid="{7500FCD9-FE01-40BE-85A1-73FCD095082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U11" authorId="0" shapeId="0" xr:uid="{8D9FCE39-0EAD-40DD-99C8-8CE6DD4D320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DE9FD0FD-2E0D-4721-87CF-B2F3108C2FF9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3" authorId="0" shapeId="0" xr:uid="{B90FC4DD-467A-408E-A148-84351DA0DCE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5" authorId="0" shapeId="0" xr:uid="{DFF65522-2BCF-4FAD-980E-9FE79B0D5FB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17" authorId="0" shapeId="0" xr:uid="{86EF6D42-8109-47E7-A0BA-F459A1FAAE0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18" authorId="0" shapeId="0" xr:uid="{DDF4999D-C61D-4F0E-AC1C-755650C9B5E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9" authorId="0" shapeId="0" xr:uid="{6675B0D3-0316-4E60-80CC-6A264490F30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Z26" authorId="0" shapeId="0" xr:uid="{8F831FA7-29C7-4422-963E-B0D9DB7D8439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U28" authorId="0" shapeId="0" xr:uid="{7C133106-B3D4-42A5-9940-6CAFA4929E4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AB31" authorId="0" shapeId="0" xr:uid="{3EBA4E18-DB30-4246-A332-65DF82CF963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T32" authorId="0" shapeId="0" xr:uid="{B5F062DB-B8FD-40F9-9F83-FDE75F616BA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  <comment ref="U38" authorId="0" shapeId="0" xr:uid="{0A5A2C31-39EB-4B50-B111-F288D0675CC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5" authorId="0" shapeId="0" xr:uid="{3BED75D6-DAF5-447D-A7E1-0639DC1ACA9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6" authorId="0" shapeId="0" xr:uid="{9C798559-9BFE-4920-ADB5-CC856702ECE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7" authorId="0" shapeId="0" xr:uid="{9021C66D-2DE8-4813-BC94-68DDEA9FAC8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10" authorId="0" shapeId="0" xr:uid="{13E74784-5605-44BD-9CDE-A82FC279C09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U11" authorId="0" shapeId="0" xr:uid="{11DBFA79-CD26-4394-B31A-B53CC0AB57F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43C17287-B98E-49E1-A884-88C77EB2454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2" authorId="0" shapeId="0" xr:uid="{20273D35-E2B2-48BE-B954-A16CD33FB7A9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Beyond Calibration range, use diluted peak from 231123</t>
        </r>
      </text>
    </comment>
    <comment ref="B13" authorId="0" shapeId="0" xr:uid="{A9D2C479-DABF-4EEF-82F2-3617727E7D0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Z26" authorId="0" shapeId="0" xr:uid="{8B574C79-0F08-4CE3-AD64-21D3EF9F591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U28" authorId="0" shapeId="0" xr:uid="{C7708891-BCC5-4A08-B5F0-09D28A478DE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AB31" authorId="0" shapeId="0" xr:uid="{8C7135EF-48E7-4A7D-8CFA-86899C00FBC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T32" authorId="0" shapeId="0" xr:uid="{F1B7C13E-F8C2-40A7-A827-1FD106217C1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  <comment ref="U38" authorId="0" shapeId="0" xr:uid="{F6517A75-677A-45C8-8CDB-4E70C77F9AF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3" authorId="0" shapeId="0" xr:uid="{0A5BCAEB-C62C-418E-B928-A1030E76602F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7" authorId="0" shapeId="0" xr:uid="{DF7130E1-D489-4949-B068-FDB462EF064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Peak area overestimated</t>
        </r>
      </text>
    </comment>
    <comment ref="B8" authorId="0" shapeId="0" xr:uid="{293AFF30-05D7-4499-99FD-70D8FFDE4339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U11" authorId="0" shapeId="0" xr:uid="{FC2873F1-047F-4D51-9EE9-83029F9D9E6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EEC773A1-5778-4A6A-AC47-61B88542B2C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Z26" authorId="0" shapeId="0" xr:uid="{F5ED7B42-CB20-4221-BD8A-6EB6FE6FB99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U28" authorId="0" shapeId="0" xr:uid="{260501F0-79A4-4775-9898-D8F80EACFCF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AB31" authorId="0" shapeId="0" xr:uid="{1551D2D1-91AF-4804-9F19-AEAB52DC7E4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T32" authorId="0" shapeId="0" xr:uid="{6F4636A3-875B-4B19-A341-4B8FF7D12BA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<sst xmlns="http://schemas.openxmlformats.org/spreadsheetml/2006/main" count="1227" uniqueCount="174">
  <si>
    <t>x100</t>
  </si>
  <si>
    <t>x50</t>
  </si>
  <si>
    <t>x20</t>
  </si>
  <si>
    <t>x10</t>
  </si>
  <si>
    <t>x5</t>
  </si>
  <si>
    <t>x0</t>
  </si>
  <si>
    <t>Fluoride</t>
  </si>
  <si>
    <t>Chloride</t>
  </si>
  <si>
    <t>Nitrite</t>
  </si>
  <si>
    <t>Bromide</t>
  </si>
  <si>
    <t>Nitrate</t>
  </si>
  <si>
    <t>Phosphate</t>
  </si>
  <si>
    <t>Sulfate</t>
  </si>
  <si>
    <t>sample_no</t>
  </si>
  <si>
    <t>sample_id</t>
  </si>
  <si>
    <t>X</t>
  </si>
  <si>
    <t>Y</t>
  </si>
  <si>
    <t>B_T</t>
  </si>
  <si>
    <t>IC_date</t>
  </si>
  <si>
    <t>V_sample_ml</t>
  </si>
  <si>
    <t>dilution_factor</t>
  </si>
  <si>
    <t>ret_time_min</t>
  </si>
  <si>
    <t>peak_area_usmin</t>
  </si>
  <si>
    <t>c_F_ calib_ppm</t>
  </si>
  <si>
    <t>c_F_sample_ppm</t>
  </si>
  <si>
    <t>c_F_og_ppm</t>
  </si>
  <si>
    <t>IC_notes</t>
  </si>
  <si>
    <t>Cal 1</t>
  </si>
  <si>
    <t>Blank</t>
  </si>
  <si>
    <t>10.11.2023</t>
  </si>
  <si>
    <t>DI Water</t>
  </si>
  <si>
    <t>Cal 2</t>
  </si>
  <si>
    <t>x 5</t>
  </si>
  <si>
    <t>1 mL in 5</t>
  </si>
  <si>
    <t>Cal 3</t>
  </si>
  <si>
    <t>x 10</t>
  </si>
  <si>
    <t>0.5 mL in 5</t>
  </si>
  <si>
    <t>Cal 4</t>
  </si>
  <si>
    <t>x 20</t>
  </si>
  <si>
    <t>0.5 mL in 10</t>
  </si>
  <si>
    <t>Cal 5</t>
  </si>
  <si>
    <t>x 50</t>
  </si>
  <si>
    <t>0.2 mL in 10</t>
  </si>
  <si>
    <t>Cal 6</t>
  </si>
  <si>
    <t>x 100</t>
  </si>
  <si>
    <t>0.1 mL in 10</t>
  </si>
  <si>
    <t xml:space="preserve">Blank </t>
  </si>
  <si>
    <t>Cal Check</t>
  </si>
  <si>
    <t>x20 dil</t>
  </si>
  <si>
    <t>0-50-T-a</t>
  </si>
  <si>
    <t>Ta</t>
  </si>
  <si>
    <t>0 50 Top Triplicate a</t>
  </si>
  <si>
    <t>0-50-T-b</t>
  </si>
  <si>
    <t>Tb</t>
  </si>
  <si>
    <t>0 50 Top Triplicate b</t>
  </si>
  <si>
    <t>0-50-T-c</t>
  </si>
  <si>
    <t>Tc</t>
  </si>
  <si>
    <t>0 50 Top Triplicate c</t>
  </si>
  <si>
    <t>0-70-B</t>
  </si>
  <si>
    <t>B</t>
  </si>
  <si>
    <t>0 70 Bottom</t>
  </si>
  <si>
    <t>20-60-B-a</t>
  </si>
  <si>
    <t>Ba</t>
  </si>
  <si>
    <t>20 60 Bottom Triplicate a</t>
  </si>
  <si>
    <t>20-60-B-b</t>
  </si>
  <si>
    <t>Bb</t>
  </si>
  <si>
    <t>20 60 Bottom Triplicate b</t>
  </si>
  <si>
    <t>20-60-B-c</t>
  </si>
  <si>
    <t>Bc</t>
  </si>
  <si>
    <t>20 60 Bottom Triplicate c</t>
  </si>
  <si>
    <t>20-70-B</t>
  </si>
  <si>
    <t>20 80 Bottom</t>
  </si>
  <si>
    <t>20-80-B</t>
  </si>
  <si>
    <t>20 70 Bottom</t>
  </si>
  <si>
    <t>20-90-T</t>
  </si>
  <si>
    <t>T</t>
  </si>
  <si>
    <t>20 90 Top</t>
  </si>
  <si>
    <t>PB</t>
  </si>
  <si>
    <t>Procedural Blank</t>
  </si>
  <si>
    <t>c_Cl_ calib_ppm</t>
  </si>
  <si>
    <t>n.a.</t>
  </si>
  <si>
    <t>Slope</t>
  </si>
  <si>
    <t>y-axis</t>
  </si>
  <si>
    <t>c_Br_ calib_ppm</t>
  </si>
  <si>
    <t>c_Br_sample_ppm</t>
  </si>
  <si>
    <t>c_Br_og_ppm</t>
  </si>
  <si>
    <t>c_PO4_ calib_ppm</t>
  </si>
  <si>
    <t>c_PO4_sample_ppm</t>
  </si>
  <si>
    <t>c_PO4_og_ppm</t>
  </si>
  <si>
    <t>c_Cl_calc_ppm</t>
  </si>
  <si>
    <t>c_Cl_measure_ppm</t>
  </si>
  <si>
    <t>c_Cl_calc_undil_ppm</t>
  </si>
  <si>
    <t>c_Cl_measure_undil_ppm</t>
  </si>
  <si>
    <t>Calibration</t>
  </si>
  <si>
    <t>Linear Model of Cl Calibration</t>
  </si>
  <si>
    <t>17.11.2023</t>
  </si>
  <si>
    <t>m</t>
  </si>
  <si>
    <t>c</t>
  </si>
  <si>
    <t xml:space="preserve">m </t>
  </si>
  <si>
    <t>intercept</t>
  </si>
  <si>
    <t>Std error of X</t>
  </si>
  <si>
    <t>Std error of intercept</t>
  </si>
  <si>
    <t>R^2</t>
  </si>
  <si>
    <t>Std error of Y estimate</t>
  </si>
  <si>
    <t>F-statistic</t>
  </si>
  <si>
    <t>Degrees of freedom</t>
  </si>
  <si>
    <t>Regression Sum of Squares</t>
  </si>
  <si>
    <t>Residual sum of Squares</t>
  </si>
  <si>
    <t>LOD &amp; LOQ</t>
  </si>
  <si>
    <t>LOD</t>
  </si>
  <si>
    <t>LOQ</t>
  </si>
  <si>
    <t>Peak Area</t>
  </si>
  <si>
    <t>Calc Conc ppm</t>
  </si>
  <si>
    <t>Measure conc ppm</t>
  </si>
  <si>
    <t>Quality Stats</t>
  </si>
  <si>
    <t>Mean</t>
  </si>
  <si>
    <t>Median</t>
  </si>
  <si>
    <t>Stdev</t>
  </si>
  <si>
    <t>RelStdev</t>
  </si>
  <si>
    <t>Var</t>
  </si>
  <si>
    <t>Max</t>
  </si>
  <si>
    <t>Min</t>
  </si>
  <si>
    <t>Range</t>
  </si>
  <si>
    <t>Number</t>
  </si>
  <si>
    <t>Std Error</t>
  </si>
  <si>
    <t>Retention time</t>
  </si>
  <si>
    <t>Peak Area Cal Checks</t>
  </si>
  <si>
    <t>Calc Conc Cal Checks</t>
  </si>
  <si>
    <t>Measure Conc Cal Checks</t>
  </si>
  <si>
    <t>Peak Area Blanks</t>
  </si>
  <si>
    <t>Calc Conc Blanks</t>
  </si>
  <si>
    <t>Measure Conc Blanks</t>
  </si>
  <si>
    <t>Calc Conc</t>
  </si>
  <si>
    <t>Measure Conc</t>
  </si>
  <si>
    <t>Certificate</t>
  </si>
  <si>
    <t>Certificate Uncertainty</t>
  </si>
  <si>
    <t>Certificate Diluted</t>
  </si>
  <si>
    <t>% Accuracy Measure</t>
  </si>
  <si>
    <t>% Accuracy Calc</t>
  </si>
  <si>
    <t>20 Cal Std (Dionex Seven Anion Standard II LOT 18-29JKS)x20</t>
  </si>
  <si>
    <t>20 Cal Check (Dionex Seven Anion Standard II LOT 43-23AJ)x20</t>
  </si>
  <si>
    <t>Peak Area 20 Calib</t>
  </si>
  <si>
    <t>Peak Area 20 Cal Checks</t>
  </si>
  <si>
    <t>Calc Conc 20 Calib</t>
  </si>
  <si>
    <t>Measure Conc 20 Calib</t>
  </si>
  <si>
    <t>Calc Conc 20 Cal Checks</t>
  </si>
  <si>
    <t>Measure Conc 20 Cal Checks</t>
  </si>
  <si>
    <t>% Accuracy Peak</t>
  </si>
  <si>
    <t>Internal accuracy</t>
  </si>
  <si>
    <t>Triplicates</t>
  </si>
  <si>
    <t>NA</t>
  </si>
  <si>
    <t>0-50-T</t>
  </si>
  <si>
    <t>20-60-B</t>
  </si>
  <si>
    <t>Instrument Issues</t>
  </si>
  <si>
    <t>0 50 Top Replicate</t>
  </si>
  <si>
    <t>20 60 Bottom Replicate</t>
  </si>
  <si>
    <t>c_Nitrite_ calib_ppm</t>
  </si>
  <si>
    <t>c_Nitrite_calc_ppm</t>
  </si>
  <si>
    <t>c_Nitrite_measure_ppm</t>
  </si>
  <si>
    <t>c_Nitrite_calc_undil_ppm</t>
  </si>
  <si>
    <t>c_Nitrite_measure_undil_ppm</t>
  </si>
  <si>
    <t>Linear Model of Nitrite Calibration</t>
  </si>
  <si>
    <t>c_Nitrate_ calib_ppm</t>
  </si>
  <si>
    <t>c_Nitrate_calc_ppm</t>
  </si>
  <si>
    <t>c_Nitrate_measure_ppm</t>
  </si>
  <si>
    <t>c_Nitrate_calc_undil_ppm</t>
  </si>
  <si>
    <t>c_Nitrate_measure_undil_ppm</t>
  </si>
  <si>
    <t>Linear Model of Nitrate Calibration</t>
  </si>
  <si>
    <t>Linear Model of Sulfate Calibration</t>
  </si>
  <si>
    <t>c_Sulfate_ calib_ppm</t>
  </si>
  <si>
    <t>c_Sulfate_calc_ppm</t>
  </si>
  <si>
    <t>c_Sulfate_measure_ppm</t>
  </si>
  <si>
    <t>c_Sulfate_calc_undil_ppm</t>
  </si>
  <si>
    <t>c_Sulfate_measure_undil_ppm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</si>
</sst>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0.0000"/>
    <numFmt numFmtId="166" formatCode="[$-F400]h:mm:ss\ AM/PM"/>
    <numFmt numFmtId="167" formatCode="0.0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4" fillId="4" borderId="1" xfId="0" applyFont="1" applyFill="1" applyBorder="1"/>
    <xf numFmtId="165" fontId="4" fillId="5" borderId="1" xfId="0" applyNumberFormat="1" applyFont="1" applyFill="1" applyBorder="1"/>
    <xf numFmtId="165" fontId="4" fillId="4" borderId="1" xfId="0" applyNumberFormat="1" applyFont="1" applyFill="1" applyBorder="1"/>
    <xf numFmtId="0" fontId="4" fillId="0" borderId="0" xfId="0" applyFont="1"/>
    <xf numFmtId="166" fontId="4" fillId="4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2" fontId="0" fillId="0" borderId="0" xfId="0" applyNumberFormat="1"/>
    <xf numFmtId="0" fontId="4" fillId="0" borderId="1" xfId="0" applyFont="1" applyBorder="1"/>
    <xf numFmtId="0" fontId="5" fillId="2" borderId="1" xfId="1" applyFont="1" applyBorder="1"/>
    <xf numFmtId="0" fontId="6" fillId="3" borderId="1" xfId="2" applyFont="1" applyBorder="1"/>
    <xf numFmtId="0" fontId="0" fillId="6" borderId="1" xfId="0" applyFill="1" applyBorder="1"/>
    <xf numFmtId="164" fontId="0" fillId="6" borderId="1" xfId="0" applyNumberFormat="1" applyFill="1" applyBorder="1"/>
    <xf numFmtId="165" fontId="0" fillId="6" borderId="1" xfId="0" applyNumberFormat="1" applyFill="1" applyBorder="1"/>
    <xf numFmtId="166" fontId="4" fillId="5" borderId="1" xfId="0" applyNumberFormat="1" applyFont="1" applyFill="1" applyBorder="1"/>
    <xf numFmtId="166" fontId="0" fillId="0" borderId="0" xfId="0" applyNumberFormat="1"/>
    <xf numFmtId="166" fontId="4" fillId="5" borderId="1" xfId="0" applyNumberFormat="1" applyFont="1" applyFill="1" applyBorder="1" applyAlignment="1">
      <alignment wrapText="1"/>
    </xf>
    <xf numFmtId="2" fontId="0" fillId="0" borderId="1" xfId="0" applyNumberFormat="1" applyBorder="1"/>
    <xf numFmtId="1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7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0B6F7A2-AD4F-4A18-92AC-85E5F76664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Cl calibration calc &amp; measure 10.11.2023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IC_101123_Cl!$AG$1</c:f>
              <c:strCache>
                <c:ptCount val="1"/>
                <c:pt idx="0">
                  <c:v>Linear Model of Cl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IC_101123_Cl!$AA$2:$AA$7</c:f>
              <c:numCache>
                <c:formatCode>0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IC_101123_Cl!$Z$2:$Z$7</c:f>
              <c:numCache>
                <c:formatCode>0.0000</c:formatCode>
                <c:ptCount val="6"/>
                <c:pt idx="0">
                  <c:v>2.1100000000000001E-2</c:v>
                </c:pt>
                <c:pt idx="1">
                  <c:v>3.7856000000000001</c:v>
                </c:pt>
                <c:pt idx="2">
                  <c:v>1.8789</c:v>
                </c:pt>
                <c:pt idx="3">
                  <c:v>0.97430000000000005</c:v>
                </c:pt>
                <c:pt idx="4">
                  <c:v>0.42480000000000001</c:v>
                </c:pt>
                <c:pt idx="5">
                  <c:v>0.19919999999999999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15-49BB-8A34-0973457D600E}"/>
            </c:ext>
          </c:extLst>
        </c:ser>
        <c:ser>
          <c:idx val="1"/>
          <c:order val="1"/>
          <c:tx>
            <c:strRef>
              <c:f>IC_101123_Cl!$L$1</c:f>
              <c:strCache>
                <c:ptCount val="1"/>
                <c:pt idx="0">
                  <c:v>c_Cl_measure_ppm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IC_101123_Cl!$L$3:$L$8</c:f>
              <c:numCache>
                <c:formatCode>0.0000</c:formatCode>
                <c:ptCount val="6"/>
                <c:pt idx="0">
                  <c:v>-3.4500000000000003E-2</c:v>
                </c:pt>
                <c:pt idx="1">
                  <c:v>20.043099999999999</c:v>
                </c:pt>
                <c:pt idx="2">
                  <c:v>9.8740000000000006</c:v>
                </c:pt>
                <c:pt idx="3">
                  <c:v>5.0491999999999999</c:v>
                </c:pt>
                <c:pt idx="4">
                  <c:v>2.1185</c:v>
                </c:pt>
                <c:pt idx="5">
                  <c:v>0.91520000000000001</c:v>
                </c:pt>
              </c:numCache>
            </c:numRef>
          </c:xVal>
          <c:yVal>
            <c:numRef>
              <c:f>IC_101123_Cl!$I$3:$I$8</c:f>
              <c:numCache>
                <c:formatCode>0.0000</c:formatCode>
                <c:ptCount val="6"/>
                <c:pt idx="0">
                  <c:v>2.1100000000000001E-2</c:v>
                </c:pt>
                <c:pt idx="1">
                  <c:v>3.7856000000000001</c:v>
                </c:pt>
                <c:pt idx="2">
                  <c:v>1.8789</c:v>
                </c:pt>
                <c:pt idx="3">
                  <c:v>0.97430000000000005</c:v>
                </c:pt>
                <c:pt idx="4">
                  <c:v>0.42480000000000001</c:v>
                </c:pt>
                <c:pt idx="5">
                  <c:v>0.19919999999999999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315-49BB-8A34-0973457D6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Nitrite</a:t>
            </a:r>
            <a:r>
              <a:rPr lang="en-US" sz="1600" baseline="0"/>
              <a:t> </a:t>
            </a:r>
            <a:r>
              <a:rPr lang="en-US" sz="1600"/>
              <a:t>calibration calc &amp; measure 10.11.2023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IC_101123_Nitrite!$AG$1</c:f>
              <c:strCache>
                <c:ptCount val="1"/>
                <c:pt idx="0">
                  <c:v>Linear Model of Nitrite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IC_101123_Nitrite!$AA$2:$AA$7</c:f>
              <c:numCache>
                <c:formatCode>0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IC_101123_Nitrite!$Z$2:$Z$7</c:f>
              <c:numCache>
                <c:formatCode>0.0000</c:formatCode>
                <c:ptCount val="6"/>
                <c:pt idx="0">
                  <c:v>0</c:v>
                </c:pt>
                <c:pt idx="1">
                  <c:v>2.0341</c:v>
                </c:pt>
                <c:pt idx="2">
                  <c:v>0.96020000000000005</c:v>
                </c:pt>
                <c:pt idx="3">
                  <c:v>0.4708</c:v>
                </c:pt>
                <c:pt idx="4">
                  <c:v>0.18360000000000001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FF-4BF5-AE38-8C77C685F5A1}"/>
            </c:ext>
          </c:extLst>
        </c:ser>
        <c:ser>
          <c:idx val="1"/>
          <c:order val="1"/>
          <c:tx>
            <c:strRef>
              <c:f>IC_101123_Nitrite!$L$1</c:f>
              <c:strCache>
                <c:ptCount val="1"/>
                <c:pt idx="0">
                  <c:v>c_Nitrite_measure_ppm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IC_101123_Nitrite!$L$3:$L$8</c:f>
              <c:numCache>
                <c:formatCode>0.0000</c:formatCode>
                <c:ptCount val="6"/>
                <c:pt idx="0">
                  <c:v>0</c:v>
                </c:pt>
                <c:pt idx="1">
                  <c:v>20.131399999999999</c:v>
                </c:pt>
                <c:pt idx="2">
                  <c:v>9.7161000000000008</c:v>
                </c:pt>
                <c:pt idx="3">
                  <c:v>4.9687999999999999</c:v>
                </c:pt>
                <c:pt idx="4">
                  <c:v>2.1838000000000002</c:v>
                </c:pt>
                <c:pt idx="5">
                  <c:v>0</c:v>
                </c:pt>
              </c:numCache>
            </c:numRef>
          </c:xVal>
          <c:yVal>
            <c:numRef>
              <c:f>IC_101123_Nitrite!$I$3:$I$8</c:f>
              <c:numCache>
                <c:formatCode>0.0000</c:formatCode>
                <c:ptCount val="6"/>
                <c:pt idx="0">
                  <c:v>0</c:v>
                </c:pt>
                <c:pt idx="1">
                  <c:v>2.0341</c:v>
                </c:pt>
                <c:pt idx="2">
                  <c:v>0.96020000000000005</c:v>
                </c:pt>
                <c:pt idx="3">
                  <c:v>0.4708</c:v>
                </c:pt>
                <c:pt idx="4">
                  <c:v>0.18360000000000001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FF-4BF5-AE38-8C77C685F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 calib 101123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093263342082239"/>
                  <c:y val="-4.16703120443277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IC_101123_Br!$K$2:$K$7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IC_101123_Br!$J$2:$J$7</c:f>
              <c:numCache>
                <c:formatCode>General</c:formatCode>
                <c:ptCount val="6"/>
                <c:pt idx="0">
                  <c:v>0</c:v>
                </c:pt>
                <c:pt idx="1">
                  <c:v>1.4892000000000001</c:v>
                </c:pt>
                <c:pt idx="2">
                  <c:v>0.75570000000000004</c:v>
                </c:pt>
                <c:pt idx="3">
                  <c:v>0.37880000000000003</c:v>
                </c:pt>
                <c:pt idx="4">
                  <c:v>0.1749</c:v>
                </c:pt>
                <c:pt idx="5">
                  <c:v>6.6100000000000006E-2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34-4D70-AE2E-03F87B8CB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(μS*min)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Nitrate calibration calc &amp; measure 10.11.2023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IC_101123_Nitrate!$AG$1</c:f>
              <c:strCache>
                <c:ptCount val="1"/>
                <c:pt idx="0">
                  <c:v>Linear Model of Nitrate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IC_101123_Nitrate!$AA$2:$AA$7</c:f>
              <c:numCache>
                <c:formatCode>0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IC_101123_Nitrate!$Z$2:$Z$7</c:f>
              <c:numCache>
                <c:formatCode>0.0000</c:formatCode>
                <c:ptCount val="6"/>
                <c:pt idx="0">
                  <c:v>0</c:v>
                </c:pt>
                <c:pt idx="1">
                  <c:v>2.0447000000000002</c:v>
                </c:pt>
                <c:pt idx="2">
                  <c:v>1.0593999999999999</c:v>
                </c:pt>
                <c:pt idx="3">
                  <c:v>0.58109999999999995</c:v>
                </c:pt>
                <c:pt idx="4">
                  <c:v>0.2601</c:v>
                </c:pt>
                <c:pt idx="5">
                  <c:v>5.11E-2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7F-4F7E-8DB3-CD19F8FDA0DB}"/>
            </c:ext>
          </c:extLst>
        </c:ser>
        <c:ser>
          <c:idx val="1"/>
          <c:order val="1"/>
          <c:tx>
            <c:strRef>
              <c:f>IC_101123_Nitrate!$L$1</c:f>
              <c:strCache>
                <c:ptCount val="1"/>
                <c:pt idx="0">
                  <c:v>c_Nitrate_measure_ppm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IC_101123_Nitrate!$L$3:$L$8</c:f>
              <c:strCache>
                <c:ptCount val="6"/>
                <c:pt idx="0">
                  <c:v>NA</c:v>
                </c:pt>
                <c:pt idx="1">
                  <c:v>19.8150</c:v>
                </c:pt>
                <c:pt idx="2">
                  <c:v>10.1513</c:v>
                </c:pt>
                <c:pt idx="3">
                  <c:v>5.4605</c:v>
                </c:pt>
                <c:pt idx="4">
                  <c:v>2.3119</c:v>
                </c:pt>
                <c:pt idx="5">
                  <c:v>0.2614</c:v>
                </c:pt>
              </c:strCache>
            </c:strRef>
          </c:xVal>
          <c:yVal>
            <c:numRef>
              <c:f>IC_101123_Nitrate!$I$3:$I$8</c:f>
              <c:numCache>
                <c:formatCode>0.0000</c:formatCode>
                <c:ptCount val="6"/>
                <c:pt idx="0">
                  <c:v>0</c:v>
                </c:pt>
                <c:pt idx="1">
                  <c:v>2.0447000000000002</c:v>
                </c:pt>
                <c:pt idx="2">
                  <c:v>1.0593999999999999</c:v>
                </c:pt>
                <c:pt idx="3">
                  <c:v>0.58109999999999995</c:v>
                </c:pt>
                <c:pt idx="4">
                  <c:v>0.2601</c:v>
                </c:pt>
                <c:pt idx="5">
                  <c:v>5.11E-2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97F-4F7E-8DB3-CD19F8FDA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Phosphate calib 101123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093263342082239"/>
                  <c:y val="-4.16703120443277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IC_101123_PO4!$K$2:$K$7</c:f>
              <c:numCache>
                <c:formatCode>General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</c:v>
                </c:pt>
                <c:pt idx="5">
                  <c:v>2</c:v>
                </c:pt>
              </c:numCache>
            </c:numRef>
          </c:xVal>
          <c:yVal>
            <c:numRef>
              <c:f>IC_101123_PO4!$J$2:$J$7</c:f>
              <c:numCache>
                <c:formatCode>General</c:formatCode>
                <c:ptCount val="6"/>
                <c:pt idx="0">
                  <c:v>0</c:v>
                </c:pt>
                <c:pt idx="1">
                  <c:v>1.7072000000000001</c:v>
                </c:pt>
                <c:pt idx="2">
                  <c:v>0.87749999999999995</c:v>
                </c:pt>
                <c:pt idx="3">
                  <c:v>0.42720000000000002</c:v>
                </c:pt>
                <c:pt idx="4">
                  <c:v>0.1799</c:v>
                </c:pt>
                <c:pt idx="5">
                  <c:v>8.5400000000000004E-2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2F-4FEE-8807-B9EFF7940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(μS*min)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Sulfate calibration calc &amp; measure 10.11.2023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IC_101123_SO4!$AG$1</c:f>
              <c:strCache>
                <c:ptCount val="1"/>
                <c:pt idx="0">
                  <c:v>Linear Model of Sulfate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IC_101123_SO4!$AA$2:$AA$7</c:f>
              <c:numCache>
                <c:formatCode>0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IC_101123_SO4!$Z$2:$Z$7</c:f>
              <c:numCache>
                <c:formatCode>0.0000</c:formatCode>
                <c:ptCount val="6"/>
                <c:pt idx="0">
                  <c:v>2.7099999999999999E-2</c:v>
                </c:pt>
                <c:pt idx="1">
                  <c:v>2.5909</c:v>
                </c:pt>
                <c:pt idx="2">
                  <c:v>1.3312999999999999</c:v>
                </c:pt>
                <c:pt idx="3">
                  <c:v>0.67510000000000003</c:v>
                </c:pt>
                <c:pt idx="4">
                  <c:v>0.27600000000000002</c:v>
                </c:pt>
                <c:pt idx="5">
                  <c:v>0.1241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125-4A9F-9F05-794363B40365}"/>
            </c:ext>
          </c:extLst>
        </c:ser>
        <c:ser>
          <c:idx val="1"/>
          <c:order val="1"/>
          <c:tx>
            <c:strRef>
              <c:f>IC_101123_SO4!$L$1</c:f>
              <c:strCache>
                <c:ptCount val="1"/>
                <c:pt idx="0">
                  <c:v>c_Sulfate_measure_ppm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IC_101123_SO4!$L$3:$L$8</c:f>
              <c:numCache>
                <c:formatCode>0.0000</c:formatCode>
                <c:ptCount val="6"/>
                <c:pt idx="0">
                  <c:v>5.8099999999999999E-2</c:v>
                </c:pt>
                <c:pt idx="1">
                  <c:v>19.912800000000001</c:v>
                </c:pt>
                <c:pt idx="2">
                  <c:v>10.1584</c:v>
                </c:pt>
                <c:pt idx="3">
                  <c:v>5.0762</c:v>
                </c:pt>
                <c:pt idx="4">
                  <c:v>1.9855</c:v>
                </c:pt>
                <c:pt idx="5">
                  <c:v>0.80910000000000004</c:v>
                </c:pt>
              </c:numCache>
            </c:numRef>
          </c:xVal>
          <c:yVal>
            <c:numRef>
              <c:f>IC_101123_SO4!$I$3:$I$8</c:f>
              <c:numCache>
                <c:formatCode>0.0000</c:formatCode>
                <c:ptCount val="6"/>
                <c:pt idx="0">
                  <c:v>2.7099999999999999E-2</c:v>
                </c:pt>
                <c:pt idx="1">
                  <c:v>2.5909</c:v>
                </c:pt>
                <c:pt idx="2">
                  <c:v>1.3312999999999999</c:v>
                </c:pt>
                <c:pt idx="3">
                  <c:v>0.67510000000000003</c:v>
                </c:pt>
                <c:pt idx="4">
                  <c:v>0.27600000000000002</c:v>
                </c:pt>
                <c:pt idx="5">
                  <c:v>0.1241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125-4A9F-9F05-794363B40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448235</xdr:colOff>
      <xdr:row>9</xdr:row>
      <xdr:rowOff>145677</xdr:rowOff>
    </xdr:from>
    <xdr:to>
      <xdr:col>45</xdr:col>
      <xdr:colOff>153279</xdr:colOff>
      <xdr:row>50</xdr:row>
      <xdr:rowOff>135471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BBFA8-EE34-4AE5-988E-8C0E4CEF6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448235</xdr:colOff>
      <xdr:row>9</xdr:row>
      <xdr:rowOff>145677</xdr:rowOff>
    </xdr:from>
    <xdr:to>
      <xdr:col>45</xdr:col>
      <xdr:colOff>153279</xdr:colOff>
      <xdr:row>50</xdr:row>
      <xdr:rowOff>135471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100BEB-6688-4E8F-83C5-5A8665CDC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25</xdr:row>
      <xdr:rowOff>0</xdr:rowOff>
    </xdr:from>
    <xdr:to>
      <xdr:col>12</xdr:col>
      <xdr:colOff>304800</xdr:colOff>
      <xdr:row>39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14E2D-AA05-411D-BF24-5EE60D341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448235</xdr:colOff>
      <xdr:row>9</xdr:row>
      <xdr:rowOff>145677</xdr:rowOff>
    </xdr:from>
    <xdr:to>
      <xdr:col>45</xdr:col>
      <xdr:colOff>153279</xdr:colOff>
      <xdr:row>50</xdr:row>
      <xdr:rowOff>135471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F4A8F7-6D0C-4916-AB01-D02B586D77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27</xdr:row>
      <xdr:rowOff>0</xdr:rowOff>
    </xdr:from>
    <xdr:to>
      <xdr:col>12</xdr:col>
      <xdr:colOff>304800</xdr:colOff>
      <xdr:row>41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CB82A-C660-4131-B636-61BE983DF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448235</xdr:colOff>
      <xdr:row>9</xdr:row>
      <xdr:rowOff>145677</xdr:rowOff>
    </xdr:from>
    <xdr:to>
      <xdr:col>45</xdr:col>
      <xdr:colOff>153279</xdr:colOff>
      <xdr:row>50</xdr:row>
      <xdr:rowOff>135471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741924-208F-44EE-81F8-9DD9E8FA46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38A3-F633-4EE7-8CC8-71A33BC8D54D}">
  <dimension ref="A1:G8"/>
  <sheetViews>
    <sheetView workbookViewId="0">
      <selection activeCell="E17" sqref="E1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f t="shared" ref="B2:B8" si="0">G2/100</f>
        <v>0.2</v>
      </c>
      <c r="C2">
        <f>B2*2</f>
        <v>0.4</v>
      </c>
      <c r="D2">
        <f t="shared" ref="D2:D8" si="1">G2/20</f>
        <v>1</v>
      </c>
      <c r="E2">
        <f t="shared" ref="E2:E8" si="2">G2/10</f>
        <v>2</v>
      </c>
      <c r="F2">
        <f t="shared" ref="F2:F8" si="3">G2/5</f>
        <v>4</v>
      </c>
      <c r="G2">
        <v>20</v>
      </c>
    </row>
    <row r="3" spans="1:7" x14ac:dyDescent="0.25">
      <c r="A3" t="s">
        <v>7</v>
      </c>
      <c r="B3">
        <f t="shared" si="0"/>
        <v>1</v>
      </c>
      <c r="C3">
        <f t="shared" ref="C3:C8" si="4">B3*2</f>
        <v>2</v>
      </c>
      <c r="D3">
        <f t="shared" si="1"/>
        <v>5</v>
      </c>
      <c r="E3">
        <f t="shared" si="2"/>
        <v>10</v>
      </c>
      <c r="F3">
        <f t="shared" si="3"/>
        <v>20</v>
      </c>
      <c r="G3">
        <v>100</v>
      </c>
    </row>
    <row r="4" spans="1:7" x14ac:dyDescent="0.25">
      <c r="A4" t="s">
        <v>8</v>
      </c>
      <c r="B4">
        <f t="shared" si="0"/>
        <v>1</v>
      </c>
      <c r="C4">
        <f t="shared" si="4"/>
        <v>2</v>
      </c>
      <c r="D4">
        <f t="shared" si="1"/>
        <v>5</v>
      </c>
      <c r="E4">
        <f t="shared" si="2"/>
        <v>10</v>
      </c>
      <c r="F4">
        <f t="shared" si="3"/>
        <v>20</v>
      </c>
      <c r="G4">
        <v>100</v>
      </c>
    </row>
    <row r="5" spans="1:7" x14ac:dyDescent="0.25">
      <c r="A5" t="s">
        <v>9</v>
      </c>
      <c r="B5">
        <f t="shared" si="0"/>
        <v>1</v>
      </c>
      <c r="C5">
        <f t="shared" si="4"/>
        <v>2</v>
      </c>
      <c r="D5">
        <f t="shared" si="1"/>
        <v>5</v>
      </c>
      <c r="E5">
        <f t="shared" si="2"/>
        <v>10</v>
      </c>
      <c r="F5">
        <f t="shared" si="3"/>
        <v>20</v>
      </c>
      <c r="G5">
        <v>100</v>
      </c>
    </row>
    <row r="6" spans="1:7" x14ac:dyDescent="0.25">
      <c r="A6" t="s">
        <v>10</v>
      </c>
      <c r="B6">
        <f t="shared" si="0"/>
        <v>1</v>
      </c>
      <c r="C6">
        <f t="shared" si="4"/>
        <v>2</v>
      </c>
      <c r="D6">
        <f t="shared" si="1"/>
        <v>5</v>
      </c>
      <c r="E6">
        <f t="shared" si="2"/>
        <v>10</v>
      </c>
      <c r="F6">
        <f t="shared" si="3"/>
        <v>20</v>
      </c>
      <c r="G6">
        <v>100</v>
      </c>
    </row>
    <row r="7" spans="1:7" x14ac:dyDescent="0.25">
      <c r="A7" t="s">
        <v>11</v>
      </c>
      <c r="B7">
        <f t="shared" si="0"/>
        <v>2</v>
      </c>
      <c r="C7">
        <f t="shared" si="4"/>
        <v>4</v>
      </c>
      <c r="D7">
        <f t="shared" si="1"/>
        <v>10</v>
      </c>
      <c r="E7">
        <f t="shared" si="2"/>
        <v>20</v>
      </c>
      <c r="F7">
        <f t="shared" si="3"/>
        <v>40</v>
      </c>
      <c r="G7">
        <v>200</v>
      </c>
    </row>
    <row r="8" spans="1:7" x14ac:dyDescent="0.25">
      <c r="A8" t="s">
        <v>12</v>
      </c>
      <c r="B8">
        <f t="shared" si="0"/>
        <v>1</v>
      </c>
      <c r="C8">
        <f t="shared" si="4"/>
        <v>2</v>
      </c>
      <c r="D8">
        <f t="shared" si="1"/>
        <v>5</v>
      </c>
      <c r="E8">
        <f t="shared" si="2"/>
        <v>10</v>
      </c>
      <c r="F8">
        <f t="shared" si="3"/>
        <v>20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474D-01B3-4ED3-8192-47E907B41812}">
  <dimension ref="A1:N23"/>
  <sheetViews>
    <sheetView workbookViewId="0">
      <selection activeCell="J12" sqref="J12"/>
    </sheetView>
  </sheetViews>
  <sheetFormatPr defaultRowHeight="15" x14ac:dyDescent="0.25"/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 t="s">
        <v>27</v>
      </c>
      <c r="B2" t="s">
        <v>28</v>
      </c>
      <c r="F2" t="s">
        <v>29</v>
      </c>
      <c r="G2">
        <v>1</v>
      </c>
      <c r="H2">
        <v>0</v>
      </c>
      <c r="K2">
        <v>0</v>
      </c>
      <c r="N2" t="s">
        <v>30</v>
      </c>
    </row>
    <row r="3" spans="1:14" x14ac:dyDescent="0.25">
      <c r="A3" t="s">
        <v>31</v>
      </c>
      <c r="B3" t="s">
        <v>32</v>
      </c>
      <c r="F3" t="s">
        <v>29</v>
      </c>
      <c r="G3">
        <v>1</v>
      </c>
      <c r="H3">
        <v>5</v>
      </c>
      <c r="K3">
        <v>4</v>
      </c>
      <c r="N3" t="s">
        <v>33</v>
      </c>
    </row>
    <row r="4" spans="1:14" x14ac:dyDescent="0.25">
      <c r="A4" t="s">
        <v>34</v>
      </c>
      <c r="B4" t="s">
        <v>35</v>
      </c>
      <c r="F4" t="s">
        <v>29</v>
      </c>
      <c r="G4">
        <v>1</v>
      </c>
      <c r="H4">
        <v>10</v>
      </c>
      <c r="K4">
        <v>2</v>
      </c>
      <c r="N4" t="s">
        <v>36</v>
      </c>
    </row>
    <row r="5" spans="1:14" x14ac:dyDescent="0.25">
      <c r="A5" t="s">
        <v>37</v>
      </c>
      <c r="B5" t="s">
        <v>38</v>
      </c>
      <c r="F5" t="s">
        <v>29</v>
      </c>
      <c r="G5">
        <v>1</v>
      </c>
      <c r="H5">
        <v>20</v>
      </c>
      <c r="K5">
        <v>1</v>
      </c>
      <c r="N5" t="s">
        <v>39</v>
      </c>
    </row>
    <row r="6" spans="1:14" x14ac:dyDescent="0.25">
      <c r="A6" t="s">
        <v>40</v>
      </c>
      <c r="B6" t="s">
        <v>41</v>
      </c>
      <c r="F6" t="s">
        <v>29</v>
      </c>
      <c r="G6">
        <v>1</v>
      </c>
      <c r="H6">
        <v>50</v>
      </c>
      <c r="K6">
        <v>0.4</v>
      </c>
      <c r="N6" t="s">
        <v>42</v>
      </c>
    </row>
    <row r="7" spans="1:14" x14ac:dyDescent="0.25">
      <c r="A7" t="s">
        <v>43</v>
      </c>
      <c r="B7" t="s">
        <v>44</v>
      </c>
      <c r="F7" t="s">
        <v>29</v>
      </c>
      <c r="G7">
        <v>1</v>
      </c>
      <c r="H7">
        <v>100</v>
      </c>
      <c r="K7">
        <v>0.2</v>
      </c>
      <c r="N7" t="s">
        <v>45</v>
      </c>
    </row>
    <row r="8" spans="1:14" x14ac:dyDescent="0.25">
      <c r="A8">
        <v>1</v>
      </c>
      <c r="B8" t="s">
        <v>46</v>
      </c>
      <c r="F8" t="s">
        <v>29</v>
      </c>
      <c r="G8">
        <v>1</v>
      </c>
      <c r="H8">
        <v>0</v>
      </c>
      <c r="K8">
        <v>0</v>
      </c>
      <c r="N8" t="s">
        <v>30</v>
      </c>
    </row>
    <row r="9" spans="1:14" x14ac:dyDescent="0.25">
      <c r="A9">
        <v>2</v>
      </c>
      <c r="B9" t="s">
        <v>47</v>
      </c>
      <c r="F9" t="s">
        <v>29</v>
      </c>
      <c r="G9">
        <v>1</v>
      </c>
      <c r="H9">
        <v>20</v>
      </c>
      <c r="K9">
        <v>1</v>
      </c>
      <c r="N9" t="s">
        <v>48</v>
      </c>
    </row>
    <row r="10" spans="1:14" x14ac:dyDescent="0.25">
      <c r="A10">
        <v>3</v>
      </c>
      <c r="B10" t="s">
        <v>49</v>
      </c>
      <c r="C10">
        <v>0</v>
      </c>
      <c r="D10">
        <v>50</v>
      </c>
      <c r="E10" t="s">
        <v>50</v>
      </c>
      <c r="F10" t="s">
        <v>29</v>
      </c>
      <c r="G10">
        <v>1</v>
      </c>
      <c r="H10">
        <v>10</v>
      </c>
      <c r="N10" t="s">
        <v>51</v>
      </c>
    </row>
    <row r="11" spans="1:14" x14ac:dyDescent="0.25">
      <c r="A11">
        <v>4</v>
      </c>
      <c r="B11" t="s">
        <v>52</v>
      </c>
      <c r="C11">
        <v>0</v>
      </c>
      <c r="D11">
        <v>50</v>
      </c>
      <c r="E11" t="s">
        <v>53</v>
      </c>
      <c r="F11" t="s">
        <v>29</v>
      </c>
      <c r="G11">
        <v>1</v>
      </c>
      <c r="H11">
        <v>10</v>
      </c>
      <c r="N11" t="s">
        <v>54</v>
      </c>
    </row>
    <row r="12" spans="1:14" x14ac:dyDescent="0.25">
      <c r="A12">
        <v>5</v>
      </c>
      <c r="B12" t="s">
        <v>55</v>
      </c>
      <c r="C12">
        <v>0</v>
      </c>
      <c r="D12">
        <v>50</v>
      </c>
      <c r="E12" t="s">
        <v>56</v>
      </c>
      <c r="F12" t="s">
        <v>29</v>
      </c>
      <c r="G12">
        <v>1</v>
      </c>
      <c r="H12">
        <v>10</v>
      </c>
      <c r="N12" t="s">
        <v>57</v>
      </c>
    </row>
    <row r="13" spans="1:14" x14ac:dyDescent="0.25">
      <c r="A13">
        <v>6</v>
      </c>
      <c r="B13" t="s">
        <v>58</v>
      </c>
      <c r="C13">
        <v>0</v>
      </c>
      <c r="D13">
        <v>70</v>
      </c>
      <c r="E13" t="s">
        <v>59</v>
      </c>
      <c r="F13" t="s">
        <v>29</v>
      </c>
      <c r="G13">
        <v>1</v>
      </c>
      <c r="H13">
        <v>10</v>
      </c>
      <c r="N13" t="s">
        <v>60</v>
      </c>
    </row>
    <row r="14" spans="1:14" x14ac:dyDescent="0.25">
      <c r="A14">
        <v>7</v>
      </c>
      <c r="B14" t="s">
        <v>61</v>
      </c>
      <c r="C14">
        <v>20</v>
      </c>
      <c r="D14">
        <v>60</v>
      </c>
      <c r="E14" t="s">
        <v>62</v>
      </c>
      <c r="F14" t="s">
        <v>29</v>
      </c>
      <c r="G14">
        <v>1</v>
      </c>
      <c r="H14">
        <v>10</v>
      </c>
      <c r="N14" t="s">
        <v>63</v>
      </c>
    </row>
    <row r="15" spans="1:14" x14ac:dyDescent="0.25">
      <c r="A15">
        <v>8</v>
      </c>
      <c r="B15" t="s">
        <v>64</v>
      </c>
      <c r="C15">
        <v>20</v>
      </c>
      <c r="D15">
        <v>60</v>
      </c>
      <c r="E15" t="s">
        <v>65</v>
      </c>
      <c r="F15" t="s">
        <v>29</v>
      </c>
      <c r="G15">
        <v>1</v>
      </c>
      <c r="H15">
        <v>10</v>
      </c>
      <c r="N15" t="s">
        <v>66</v>
      </c>
    </row>
    <row r="16" spans="1:14" x14ac:dyDescent="0.25">
      <c r="A16">
        <v>9</v>
      </c>
      <c r="B16" t="s">
        <v>67</v>
      </c>
      <c r="C16">
        <v>20</v>
      </c>
      <c r="D16">
        <v>60</v>
      </c>
      <c r="E16" t="s">
        <v>68</v>
      </c>
      <c r="F16" t="s">
        <v>29</v>
      </c>
      <c r="G16">
        <v>1</v>
      </c>
      <c r="H16">
        <v>10</v>
      </c>
      <c r="N16" t="s">
        <v>69</v>
      </c>
    </row>
    <row r="17" spans="1:14" x14ac:dyDescent="0.25">
      <c r="A17">
        <v>10</v>
      </c>
      <c r="B17" t="s">
        <v>70</v>
      </c>
      <c r="C17">
        <v>20</v>
      </c>
      <c r="D17">
        <v>70</v>
      </c>
      <c r="E17" t="s">
        <v>59</v>
      </c>
      <c r="F17" t="s">
        <v>29</v>
      </c>
      <c r="G17">
        <v>1</v>
      </c>
      <c r="H17">
        <v>10</v>
      </c>
      <c r="N17" t="s">
        <v>71</v>
      </c>
    </row>
    <row r="18" spans="1:14" x14ac:dyDescent="0.25">
      <c r="A18">
        <v>11</v>
      </c>
      <c r="B18" t="s">
        <v>72</v>
      </c>
      <c r="C18">
        <v>20</v>
      </c>
      <c r="D18">
        <v>80</v>
      </c>
      <c r="E18" t="s">
        <v>59</v>
      </c>
      <c r="F18" t="s">
        <v>29</v>
      </c>
      <c r="G18">
        <v>1</v>
      </c>
      <c r="H18">
        <v>10</v>
      </c>
      <c r="N18" t="s">
        <v>73</v>
      </c>
    </row>
    <row r="19" spans="1:14" x14ac:dyDescent="0.25">
      <c r="A19">
        <v>12</v>
      </c>
      <c r="B19" t="s">
        <v>74</v>
      </c>
      <c r="C19">
        <v>20</v>
      </c>
      <c r="D19">
        <v>90</v>
      </c>
      <c r="E19" t="s">
        <v>75</v>
      </c>
      <c r="F19" t="s">
        <v>29</v>
      </c>
      <c r="G19">
        <v>1</v>
      </c>
      <c r="H19">
        <v>10</v>
      </c>
      <c r="N19" t="s">
        <v>76</v>
      </c>
    </row>
    <row r="20" spans="1:14" x14ac:dyDescent="0.25">
      <c r="A20">
        <v>13</v>
      </c>
      <c r="B20" t="s">
        <v>77</v>
      </c>
      <c r="F20" t="s">
        <v>29</v>
      </c>
      <c r="G20">
        <v>1</v>
      </c>
      <c r="H20">
        <v>0</v>
      </c>
      <c r="N20" t="s">
        <v>78</v>
      </c>
    </row>
    <row r="21" spans="1:14" x14ac:dyDescent="0.25">
      <c r="A21">
        <v>14</v>
      </c>
      <c r="B21" t="s">
        <v>47</v>
      </c>
      <c r="F21" t="s">
        <v>29</v>
      </c>
      <c r="G21">
        <v>1</v>
      </c>
      <c r="H21">
        <v>20</v>
      </c>
      <c r="K21">
        <v>1</v>
      </c>
      <c r="N21" t="s">
        <v>48</v>
      </c>
    </row>
    <row r="22" spans="1:14" x14ac:dyDescent="0.25">
      <c r="A22">
        <v>15</v>
      </c>
      <c r="B22" t="s">
        <v>28</v>
      </c>
      <c r="F22" t="s">
        <v>29</v>
      </c>
      <c r="G22">
        <v>1</v>
      </c>
      <c r="H22">
        <v>0</v>
      </c>
      <c r="K22">
        <v>0</v>
      </c>
      <c r="N22" t="s">
        <v>30</v>
      </c>
    </row>
    <row r="23" spans="1:14" x14ac:dyDescent="0.25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BA4E-52CB-46A8-B76D-F1CBA7C2A5C3}">
  <dimension ref="A1:AI52"/>
  <sheetViews>
    <sheetView tabSelected="1" topLeftCell="S22" zoomScale="85" zoomScaleNormal="85" workbookViewId="0">
      <selection activeCell="AD56" sqref="AD56"/>
    </sheetView>
  </sheetViews>
  <sheetFormatPr defaultRowHeight="15" x14ac:dyDescent="0.25"/>
  <cols>
    <col min="8" max="8" width="9.140625" style="24"/>
    <col min="9" max="9" width="9.140625" style="25"/>
    <col min="10" max="10" width="9.140625" style="26"/>
    <col min="11" max="11" width="11.7109375" style="25" customWidth="1"/>
    <col min="12" max="12" width="14.85546875" style="25" customWidth="1"/>
    <col min="14" max="14" width="17.28515625" style="25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</cols>
  <sheetData>
    <row r="1" spans="1:35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3" t="s">
        <v>21</v>
      </c>
      <c r="I1" s="3" t="s">
        <v>22</v>
      </c>
      <c r="J1" s="4" t="s">
        <v>79</v>
      </c>
      <c r="K1" s="3" t="s">
        <v>89</v>
      </c>
      <c r="L1" s="3" t="s">
        <v>90</v>
      </c>
      <c r="M1" s="2" t="s">
        <v>20</v>
      </c>
      <c r="N1" s="3" t="s">
        <v>91</v>
      </c>
      <c r="O1" s="3" t="s">
        <v>92</v>
      </c>
      <c r="P1" s="2" t="s">
        <v>26</v>
      </c>
      <c r="S1" s="5" t="s">
        <v>93</v>
      </c>
      <c r="T1" s="6" t="str">
        <f t="shared" ref="T1:U1" si="0">A1</f>
        <v>sample_no</v>
      </c>
      <c r="U1" s="2" t="str">
        <f t="shared" si="0"/>
        <v>sample_id</v>
      </c>
      <c r="V1" s="2" t="str">
        <f t="shared" ref="V1:W1" si="1">F1</f>
        <v>IC_date</v>
      </c>
      <c r="W1" s="2" t="str">
        <f t="shared" si="1"/>
        <v>V_sample_ml</v>
      </c>
      <c r="X1" s="6" t="str">
        <f t="shared" ref="X1" si="2">M1</f>
        <v>dilution_factor</v>
      </c>
      <c r="Y1" s="2" t="str">
        <f t="shared" ref="Y1:AA1" si="3">H1</f>
        <v>ret_time_min</v>
      </c>
      <c r="Z1" s="2" t="str">
        <f t="shared" si="3"/>
        <v>peak_area_usmin</v>
      </c>
      <c r="AA1" s="2" t="str">
        <f t="shared" si="3"/>
        <v>c_Cl_ calib_ppm</v>
      </c>
      <c r="AG1" s="5" t="s">
        <v>94</v>
      </c>
    </row>
    <row r="2" spans="1:35" x14ac:dyDescent="0.25">
      <c r="A2" s="16" t="s">
        <v>27</v>
      </c>
      <c r="B2" s="16" t="s">
        <v>150</v>
      </c>
      <c r="C2" s="16"/>
      <c r="D2" s="16"/>
      <c r="E2" s="16"/>
      <c r="F2" s="16" t="s">
        <v>29</v>
      </c>
      <c r="G2" s="16">
        <v>1</v>
      </c>
      <c r="H2" s="17" t="s">
        <v>150</v>
      </c>
      <c r="I2" s="18" t="s">
        <v>150</v>
      </c>
      <c r="J2" s="18">
        <v>0</v>
      </c>
      <c r="K2" s="18" t="str">
        <f t="shared" ref="K2" si="4">IF(H2="NA", "NA", ((I2-($AH$3))/$AG$3))</f>
        <v>NA</v>
      </c>
      <c r="L2" s="18" t="s">
        <v>150</v>
      </c>
      <c r="M2" s="16">
        <v>0</v>
      </c>
      <c r="N2" s="18"/>
      <c r="O2" s="18"/>
      <c r="P2" s="16" t="s">
        <v>153</v>
      </c>
      <c r="T2" s="10" t="str">
        <f t="shared" ref="T2:U7" si="5">A3</f>
        <v>Cal 2</v>
      </c>
      <c r="U2" s="7" t="str">
        <f t="shared" si="5"/>
        <v>Blank</v>
      </c>
      <c r="V2" s="7" t="str">
        <f t="shared" ref="V2:V7" si="6">F3</f>
        <v>10.11.2023</v>
      </c>
      <c r="W2" s="7">
        <f t="shared" ref="W2:W7" si="7">G3</f>
        <v>1</v>
      </c>
      <c r="X2" s="7">
        <f t="shared" ref="X2:X7" si="8">M3</f>
        <v>0</v>
      </c>
      <c r="Y2" s="9">
        <f t="shared" ref="Y2:Z7" si="9">H3</f>
        <v>3.67</v>
      </c>
      <c r="Z2" s="9">
        <f t="shared" si="9"/>
        <v>2.1100000000000001E-2</v>
      </c>
      <c r="AA2" s="23">
        <f t="shared" ref="AA2:AA7" si="10">J3</f>
        <v>0</v>
      </c>
      <c r="AG2" s="2" t="s">
        <v>96</v>
      </c>
      <c r="AH2" s="2" t="s">
        <v>97</v>
      </c>
    </row>
    <row r="3" spans="1:35" x14ac:dyDescent="0.25">
      <c r="A3" s="7" t="s">
        <v>31</v>
      </c>
      <c r="B3" s="7" t="s">
        <v>28</v>
      </c>
      <c r="C3" s="7"/>
      <c r="D3" s="7"/>
      <c r="E3" s="7"/>
      <c r="F3" s="7" t="s">
        <v>29</v>
      </c>
      <c r="G3" s="7">
        <v>1</v>
      </c>
      <c r="H3" s="8">
        <v>3.67</v>
      </c>
      <c r="I3" s="9">
        <v>2.1100000000000001E-2</v>
      </c>
      <c r="J3" s="9">
        <v>0</v>
      </c>
      <c r="K3" s="9">
        <f>IF(H3="NA", "NA", ((I3-($AH$3))/$AG$3))</f>
        <v>-2.403146562468832E-2</v>
      </c>
      <c r="L3" s="9">
        <v>-3.4500000000000003E-2</v>
      </c>
      <c r="M3" s="7">
        <v>0</v>
      </c>
      <c r="N3" s="9"/>
      <c r="O3" s="9"/>
      <c r="P3" s="7" t="s">
        <v>30</v>
      </c>
      <c r="T3" s="11" t="str">
        <f t="shared" si="5"/>
        <v>Cal 3</v>
      </c>
      <c r="U3" s="7" t="str">
        <f t="shared" si="5"/>
        <v>x 5</v>
      </c>
      <c r="V3" s="7" t="str">
        <f t="shared" si="6"/>
        <v>10.11.2023</v>
      </c>
      <c r="W3" s="7">
        <f t="shared" si="7"/>
        <v>1</v>
      </c>
      <c r="X3" s="7">
        <f t="shared" si="8"/>
        <v>5</v>
      </c>
      <c r="Y3" s="9">
        <f t="shared" si="9"/>
        <v>3.673</v>
      </c>
      <c r="Z3" s="9">
        <f t="shared" si="9"/>
        <v>3.7856000000000001</v>
      </c>
      <c r="AA3" s="23">
        <f t="shared" si="10"/>
        <v>20</v>
      </c>
      <c r="AF3" t="s">
        <v>98</v>
      </c>
      <c r="AG3" s="9" cm="1">
        <f t="array" ref="AG3:AH7">LINEST(Z2:Z7,AA2:AA7, TRUE, TRUE)</f>
        <v>0.18763801843317979</v>
      </c>
      <c r="AH3" s="9">
        <v>2.5609216589861594E-2</v>
      </c>
      <c r="AI3" s="12" t="s">
        <v>99</v>
      </c>
    </row>
    <row r="4" spans="1:35" x14ac:dyDescent="0.25">
      <c r="A4" s="7" t="s">
        <v>34</v>
      </c>
      <c r="B4" s="7" t="s">
        <v>32</v>
      </c>
      <c r="C4" s="7"/>
      <c r="D4" s="7"/>
      <c r="E4" s="7"/>
      <c r="F4" s="7" t="s">
        <v>29</v>
      </c>
      <c r="G4" s="7">
        <v>1</v>
      </c>
      <c r="H4" s="8">
        <v>3.673</v>
      </c>
      <c r="I4" s="9">
        <v>3.7856000000000001</v>
      </c>
      <c r="J4" s="9">
        <v>20</v>
      </c>
      <c r="K4" s="9">
        <f t="shared" ref="K4:K10" si="11">IF(H4="NA", "NA", ((I4-($AH$3))/$AG$3))</f>
        <v>20.038533847281688</v>
      </c>
      <c r="L4" s="9">
        <v>20.043099999999999</v>
      </c>
      <c r="M4" s="7">
        <v>5</v>
      </c>
      <c r="N4" s="9"/>
      <c r="O4" s="9"/>
      <c r="P4" s="7" t="s">
        <v>33</v>
      </c>
      <c r="T4" s="11" t="str">
        <f t="shared" si="5"/>
        <v>Cal 4</v>
      </c>
      <c r="U4" s="7" t="str">
        <f t="shared" si="5"/>
        <v>x 10</v>
      </c>
      <c r="V4" s="7" t="str">
        <f t="shared" si="6"/>
        <v>10.11.2023</v>
      </c>
      <c r="W4" s="7">
        <f t="shared" si="7"/>
        <v>1</v>
      </c>
      <c r="X4" s="7">
        <f t="shared" si="8"/>
        <v>10</v>
      </c>
      <c r="Y4" s="9">
        <f t="shared" si="9"/>
        <v>3.67</v>
      </c>
      <c r="Z4" s="9">
        <f t="shared" si="9"/>
        <v>1.8789</v>
      </c>
      <c r="AA4" s="23">
        <f t="shared" si="10"/>
        <v>10</v>
      </c>
      <c r="AF4" t="s">
        <v>100</v>
      </c>
      <c r="AG4" s="9">
        <v>1.1328401148094618E-3</v>
      </c>
      <c r="AH4" s="9">
        <v>1.0647090092543304E-2</v>
      </c>
      <c r="AI4" t="s">
        <v>101</v>
      </c>
    </row>
    <row r="5" spans="1:35" x14ac:dyDescent="0.25">
      <c r="A5" s="7" t="s">
        <v>37</v>
      </c>
      <c r="B5" s="7" t="s">
        <v>35</v>
      </c>
      <c r="C5" s="7"/>
      <c r="D5" s="7"/>
      <c r="E5" s="7"/>
      <c r="F5" s="7" t="s">
        <v>29</v>
      </c>
      <c r="G5" s="7">
        <v>1</v>
      </c>
      <c r="H5" s="8">
        <v>3.67</v>
      </c>
      <c r="I5" s="9">
        <v>1.8789</v>
      </c>
      <c r="J5" s="9">
        <v>10</v>
      </c>
      <c r="K5" s="9">
        <f t="shared" si="11"/>
        <v>9.8769471074441029</v>
      </c>
      <c r="L5" s="9">
        <v>9.8740000000000006</v>
      </c>
      <c r="M5" s="7">
        <v>10</v>
      </c>
      <c r="N5" s="9"/>
      <c r="O5" s="9"/>
      <c r="P5" s="7" t="s">
        <v>36</v>
      </c>
      <c r="T5" s="11" t="str">
        <f t="shared" si="5"/>
        <v>Cal 5</v>
      </c>
      <c r="U5" s="7" t="str">
        <f t="shared" si="5"/>
        <v>x 20</v>
      </c>
      <c r="V5" s="7" t="str">
        <f t="shared" si="6"/>
        <v>10.11.2023</v>
      </c>
      <c r="W5" s="7">
        <f t="shared" si="7"/>
        <v>1</v>
      </c>
      <c r="X5" s="7">
        <f t="shared" si="8"/>
        <v>20</v>
      </c>
      <c r="Y5" s="9">
        <f t="shared" si="9"/>
        <v>3.67</v>
      </c>
      <c r="Z5" s="9">
        <f t="shared" si="9"/>
        <v>0.97430000000000005</v>
      </c>
      <c r="AA5" s="23">
        <f t="shared" si="10"/>
        <v>5</v>
      </c>
      <c r="AF5" t="s">
        <v>102</v>
      </c>
      <c r="AG5" s="9">
        <v>0.99985422191562667</v>
      </c>
      <c r="AH5" s="9">
        <v>1.9269385026740166E-2</v>
      </c>
      <c r="AI5" t="s">
        <v>103</v>
      </c>
    </row>
    <row r="6" spans="1:35" x14ac:dyDescent="0.25">
      <c r="A6" s="7" t="s">
        <v>40</v>
      </c>
      <c r="B6" s="7" t="s">
        <v>38</v>
      </c>
      <c r="C6" s="7"/>
      <c r="D6" s="7"/>
      <c r="E6" s="7"/>
      <c r="F6" s="7" t="s">
        <v>29</v>
      </c>
      <c r="G6" s="7">
        <v>1</v>
      </c>
      <c r="H6" s="8">
        <v>3.67</v>
      </c>
      <c r="I6" s="9">
        <v>0.97430000000000005</v>
      </c>
      <c r="J6" s="9">
        <v>5</v>
      </c>
      <c r="K6" s="9">
        <f t="shared" si="11"/>
        <v>5.0559624927395985</v>
      </c>
      <c r="L6" s="9">
        <v>5.0491999999999999</v>
      </c>
      <c r="M6" s="7">
        <v>20</v>
      </c>
      <c r="N6" s="9"/>
      <c r="O6" s="9"/>
      <c r="P6" s="7" t="s">
        <v>39</v>
      </c>
      <c r="T6" s="11" t="str">
        <f t="shared" si="5"/>
        <v>Cal 6</v>
      </c>
      <c r="U6" s="7" t="str">
        <f t="shared" si="5"/>
        <v>x 50</v>
      </c>
      <c r="V6" s="7" t="str">
        <f t="shared" si="6"/>
        <v>10.11.2023</v>
      </c>
      <c r="W6" s="7">
        <f t="shared" si="7"/>
        <v>1</v>
      </c>
      <c r="X6" s="7">
        <f t="shared" si="8"/>
        <v>50</v>
      </c>
      <c r="Y6" s="9">
        <f t="shared" si="9"/>
        <v>3.67</v>
      </c>
      <c r="Z6" s="9">
        <f t="shared" si="9"/>
        <v>0.42480000000000001</v>
      </c>
      <c r="AA6" s="23">
        <f t="shared" si="10"/>
        <v>2</v>
      </c>
      <c r="AF6" t="s">
        <v>104</v>
      </c>
      <c r="AG6" s="9">
        <v>27434.966681408099</v>
      </c>
      <c r="AH6" s="9">
        <v>4</v>
      </c>
      <c r="AI6" t="s">
        <v>105</v>
      </c>
    </row>
    <row r="7" spans="1:35" x14ac:dyDescent="0.25">
      <c r="A7" s="7" t="s">
        <v>43</v>
      </c>
      <c r="B7" s="7" t="s">
        <v>41</v>
      </c>
      <c r="C7" s="7"/>
      <c r="D7" s="7"/>
      <c r="E7" s="7"/>
      <c r="F7" s="7" t="s">
        <v>29</v>
      </c>
      <c r="G7" s="7">
        <v>1</v>
      </c>
      <c r="H7" s="8">
        <v>3.67</v>
      </c>
      <c r="I7" s="9">
        <v>0.42480000000000001</v>
      </c>
      <c r="J7" s="9">
        <v>2</v>
      </c>
      <c r="K7" s="9">
        <f t="shared" si="11"/>
        <v>2.1274514980677819</v>
      </c>
      <c r="L7" s="9">
        <v>2.1185</v>
      </c>
      <c r="M7" s="7">
        <v>50</v>
      </c>
      <c r="N7" s="9"/>
      <c r="O7" s="9"/>
      <c r="P7" s="7" t="s">
        <v>42</v>
      </c>
      <c r="T7" s="23">
        <f t="shared" si="5"/>
        <v>1</v>
      </c>
      <c r="U7" s="7" t="str">
        <f t="shared" si="5"/>
        <v>x 100</v>
      </c>
      <c r="V7" s="7" t="str">
        <f t="shared" si="6"/>
        <v>10.11.2023</v>
      </c>
      <c r="W7" s="7">
        <f t="shared" si="7"/>
        <v>1</v>
      </c>
      <c r="X7" s="7">
        <f t="shared" si="8"/>
        <v>100</v>
      </c>
      <c r="Y7" s="9">
        <f t="shared" si="9"/>
        <v>3.67</v>
      </c>
      <c r="Z7" s="9">
        <f t="shared" si="9"/>
        <v>0.19919999999999999</v>
      </c>
      <c r="AA7" s="23">
        <f t="shared" si="10"/>
        <v>1</v>
      </c>
      <c r="AF7" t="s">
        <v>106</v>
      </c>
      <c r="AG7" s="9">
        <v>10.186855511536098</v>
      </c>
      <c r="AH7" s="9">
        <v>1.4852367972350326E-3</v>
      </c>
      <c r="AI7" t="s">
        <v>107</v>
      </c>
    </row>
    <row r="8" spans="1:35" x14ac:dyDescent="0.25">
      <c r="A8" s="7">
        <v>1</v>
      </c>
      <c r="B8" s="7" t="s">
        <v>44</v>
      </c>
      <c r="C8" s="7"/>
      <c r="D8" s="7"/>
      <c r="E8" s="7"/>
      <c r="F8" s="7" t="s">
        <v>29</v>
      </c>
      <c r="G8" s="7">
        <v>1</v>
      </c>
      <c r="H8" s="8">
        <v>3.67</v>
      </c>
      <c r="I8" s="9">
        <v>0.19919999999999999</v>
      </c>
      <c r="J8" s="9">
        <v>1</v>
      </c>
      <c r="K8" s="9">
        <f t="shared" si="11"/>
        <v>0.92513652009150915</v>
      </c>
      <c r="L8" s="9">
        <v>0.91520000000000001</v>
      </c>
      <c r="M8" s="7">
        <v>100</v>
      </c>
      <c r="N8" s="9"/>
      <c r="O8" s="9"/>
      <c r="P8" s="7" t="s">
        <v>45</v>
      </c>
      <c r="S8" s="5"/>
    </row>
    <row r="9" spans="1:35" x14ac:dyDescent="0.25">
      <c r="A9" s="7">
        <v>2</v>
      </c>
      <c r="B9" s="7" t="s">
        <v>46</v>
      </c>
      <c r="C9" s="7"/>
      <c r="D9" s="7"/>
      <c r="E9" s="7"/>
      <c r="F9" s="7" t="s">
        <v>29</v>
      </c>
      <c r="G9" s="7">
        <v>1</v>
      </c>
      <c r="H9" s="8">
        <v>3.67</v>
      </c>
      <c r="I9" s="9">
        <v>0.13439999999999999</v>
      </c>
      <c r="J9" s="9"/>
      <c r="K9" s="9">
        <f t="shared" si="11"/>
        <v>0.57979072854513292</v>
      </c>
      <c r="L9" s="9">
        <v>0.5696</v>
      </c>
      <c r="M9" s="7">
        <v>0</v>
      </c>
      <c r="N9" s="9"/>
      <c r="O9" s="9"/>
      <c r="P9" s="7" t="s">
        <v>30</v>
      </c>
    </row>
    <row r="10" spans="1:35" x14ac:dyDescent="0.25">
      <c r="A10" s="7">
        <v>3</v>
      </c>
      <c r="B10" s="7" t="s">
        <v>47</v>
      </c>
      <c r="C10" s="7"/>
      <c r="D10" s="7"/>
      <c r="E10" s="7"/>
      <c r="F10" s="7" t="s">
        <v>29</v>
      </c>
      <c r="G10" s="7">
        <v>1</v>
      </c>
      <c r="H10" s="8">
        <v>3.67</v>
      </c>
      <c r="I10" s="9">
        <v>1.0947</v>
      </c>
      <c r="J10" s="9"/>
      <c r="K10" s="9">
        <f t="shared" si="11"/>
        <v>5.697623500489347</v>
      </c>
      <c r="L10" s="9">
        <v>5.6913999999999998</v>
      </c>
      <c r="M10" s="7">
        <v>20</v>
      </c>
      <c r="N10" s="9"/>
      <c r="O10" s="9"/>
      <c r="P10" s="7" t="s">
        <v>48</v>
      </c>
    </row>
    <row r="11" spans="1:35" x14ac:dyDescent="0.25">
      <c r="A11" s="7">
        <v>4</v>
      </c>
      <c r="B11" s="7" t="s">
        <v>151</v>
      </c>
      <c r="C11" s="7">
        <v>0</v>
      </c>
      <c r="D11" s="7">
        <v>50</v>
      </c>
      <c r="E11" s="7" t="s">
        <v>75</v>
      </c>
      <c r="F11" s="7" t="s">
        <v>29</v>
      </c>
      <c r="G11" s="7">
        <v>1</v>
      </c>
      <c r="H11" s="8">
        <f>IFERROR(AVERAGE(AA36:AA38), "NA")</f>
        <v>3.669</v>
      </c>
      <c r="I11" s="9">
        <f>IFERROR(Y47, "NA")</f>
        <v>0.1744</v>
      </c>
      <c r="J11" s="9"/>
      <c r="K11" s="9">
        <f>IFERROR(Y48, "NA")</f>
        <v>0.7929671430799331</v>
      </c>
      <c r="L11" s="9">
        <f>IFERROR(Y49, "NA")</f>
        <v>0.7831999999999999</v>
      </c>
      <c r="M11" s="7">
        <v>10</v>
      </c>
      <c r="N11" s="9">
        <f>IF(H11="NA", "NA",M11*K11)</f>
        <v>7.9296714307993312</v>
      </c>
      <c r="O11" s="9">
        <f>IF(H11="NA", "NA",M11*L11)</f>
        <v>7.831999999999999</v>
      </c>
      <c r="P11" s="7" t="s">
        <v>154</v>
      </c>
      <c r="S11" s="5" t="s">
        <v>108</v>
      </c>
      <c r="T11" s="13"/>
      <c r="U11" s="14" t="s">
        <v>109</v>
      </c>
      <c r="V11" s="15" t="s">
        <v>110</v>
      </c>
    </row>
    <row r="12" spans="1:35" x14ac:dyDescent="0.25">
      <c r="A12" s="7">
        <v>7</v>
      </c>
      <c r="B12" s="7" t="s">
        <v>58</v>
      </c>
      <c r="C12" s="7">
        <v>0</v>
      </c>
      <c r="D12" s="7">
        <v>70</v>
      </c>
      <c r="E12" s="7" t="s">
        <v>59</v>
      </c>
      <c r="F12" s="7" t="s">
        <v>29</v>
      </c>
      <c r="G12" s="7">
        <v>1</v>
      </c>
      <c r="H12" s="8">
        <v>3.6629999999999998</v>
      </c>
      <c r="I12" s="9">
        <v>0.10630000000000001</v>
      </c>
      <c r="J12" s="9"/>
      <c r="K12" s="9">
        <f>IF(H12="NA", "NA", ((I12-($AH$3))/$AG$3))</f>
        <v>0.43003429733443593</v>
      </c>
      <c r="L12" s="9">
        <v>0.41980000000000001</v>
      </c>
      <c r="M12" s="7">
        <v>10</v>
      </c>
      <c r="N12" s="9">
        <f t="shared" ref="N12:N16" si="12">IF(H12="NA", "NA",M12*K12)</f>
        <v>4.3003429733443594</v>
      </c>
      <c r="O12" s="9">
        <f t="shared" ref="O12:O15" si="13">IF(H12="NA", "NA",M12*L12)</f>
        <v>4.1980000000000004</v>
      </c>
      <c r="P12" s="7" t="s">
        <v>60</v>
      </c>
      <c r="T12" s="19" t="s">
        <v>111</v>
      </c>
      <c r="U12" s="9">
        <f xml:space="preserve"> AVERAGE(I9,I19)+3*STDEV(I9,I19)</f>
        <v>0.15956467529817256</v>
      </c>
      <c r="V12" s="9">
        <f xml:space="preserve"> AVERAGE((I9,I19))+10*STDEV(I9,I19)</f>
        <v>0.20708225099390853</v>
      </c>
    </row>
    <row r="13" spans="1:35" x14ac:dyDescent="0.25">
      <c r="A13" s="7">
        <v>8</v>
      </c>
      <c r="B13" s="7" t="s">
        <v>152</v>
      </c>
      <c r="C13" s="7">
        <v>20</v>
      </c>
      <c r="D13" s="7">
        <v>60</v>
      </c>
      <c r="E13" s="7" t="s">
        <v>59</v>
      </c>
      <c r="F13" s="7" t="s">
        <v>29</v>
      </c>
      <c r="G13" s="7">
        <v>1</v>
      </c>
      <c r="H13" s="8">
        <f>IFERROR(AVERAGE(AA39:AA41), "NA")</f>
        <v>3.6656666666666666</v>
      </c>
      <c r="I13" s="9">
        <f>IFERROR(Y50, "NA")</f>
        <v>9.74E-2</v>
      </c>
      <c r="J13" s="9"/>
      <c r="K13" s="9">
        <f>IFERROR(Y51, "NA")</f>
        <v>0.38260254510044289</v>
      </c>
      <c r="L13" s="9">
        <f>IFERROR(Y52, "NA")</f>
        <v>0.37240000000000001</v>
      </c>
      <c r="M13" s="7">
        <v>10</v>
      </c>
      <c r="N13" s="9">
        <f t="shared" si="12"/>
        <v>3.8260254510044289</v>
      </c>
      <c r="O13" s="9">
        <f t="shared" si="13"/>
        <v>3.7240000000000002</v>
      </c>
      <c r="P13" s="7" t="s">
        <v>155</v>
      </c>
      <c r="T13" s="19" t="s">
        <v>112</v>
      </c>
      <c r="U13" s="9">
        <f xml:space="preserve"> AVERAGE(K9,K19)+3*STDEV(K9,K19)</f>
        <v>0.71390360987005497</v>
      </c>
      <c r="V13" s="9">
        <f xml:space="preserve"> AVERAGE(K9,K19)+10*STDEV(K9,K19)</f>
        <v>0.96714427022512894</v>
      </c>
    </row>
    <row r="14" spans="1:35" x14ac:dyDescent="0.25">
      <c r="A14" s="7">
        <v>11</v>
      </c>
      <c r="B14" s="7" t="s">
        <v>70</v>
      </c>
      <c r="C14" s="7">
        <v>20</v>
      </c>
      <c r="D14" s="7">
        <v>70</v>
      </c>
      <c r="E14" s="7" t="s">
        <v>59</v>
      </c>
      <c r="F14" s="7" t="s">
        <v>29</v>
      </c>
      <c r="G14" s="7">
        <v>1</v>
      </c>
      <c r="H14" s="8">
        <v>3.67</v>
      </c>
      <c r="I14" s="9">
        <v>0.16400000000000001</v>
      </c>
      <c r="J14" s="9"/>
      <c r="K14" s="9">
        <f t="shared" ref="K14:K19" si="14">IF(H14="NA", "NA", ((I14-($AH$3))/$AG$3))</f>
        <v>0.73754127530088509</v>
      </c>
      <c r="L14" s="9">
        <v>0.72599999999999998</v>
      </c>
      <c r="M14" s="7">
        <v>10</v>
      </c>
      <c r="N14" s="9">
        <f t="shared" si="12"/>
        <v>7.3754127530088507</v>
      </c>
      <c r="O14" s="9">
        <f t="shared" si="13"/>
        <v>7.26</v>
      </c>
      <c r="P14" s="7" t="s">
        <v>71</v>
      </c>
      <c r="T14" s="19" t="s">
        <v>113</v>
      </c>
      <c r="U14" s="9">
        <f xml:space="preserve"> AVERAGE(L9,L19)+3*STDEV(L9,L19)</f>
        <v>0.701714545315406</v>
      </c>
      <c r="V14" s="9">
        <f xml:space="preserve"> AVERAGE(L9,L19)+10*STDEV(L9,L19)</f>
        <v>0.95118181771802002</v>
      </c>
    </row>
    <row r="15" spans="1:35" x14ac:dyDescent="0.25">
      <c r="A15" s="7">
        <v>12</v>
      </c>
      <c r="B15" s="7" t="s">
        <v>72</v>
      </c>
      <c r="C15" s="7">
        <v>20</v>
      </c>
      <c r="D15" s="7">
        <v>80</v>
      </c>
      <c r="E15" s="7" t="s">
        <v>59</v>
      </c>
      <c r="F15" s="7" t="s">
        <v>29</v>
      </c>
      <c r="G15" s="7">
        <v>1</v>
      </c>
      <c r="H15" s="8">
        <v>3.67</v>
      </c>
      <c r="I15" s="9">
        <v>8.4000000000000005E-2</v>
      </c>
      <c r="J15" s="9"/>
      <c r="K15" s="9">
        <f t="shared" si="14"/>
        <v>0.31118844623128489</v>
      </c>
      <c r="L15" s="9">
        <v>0.30199999999999999</v>
      </c>
      <c r="M15" s="7">
        <v>10</v>
      </c>
      <c r="N15" s="9">
        <f t="shared" si="12"/>
        <v>3.1118844623128488</v>
      </c>
      <c r="O15" s="9">
        <f t="shared" si="13"/>
        <v>3.02</v>
      </c>
      <c r="P15" s="7" t="s">
        <v>73</v>
      </c>
    </row>
    <row r="16" spans="1:35" x14ac:dyDescent="0.25">
      <c r="A16" s="7">
        <v>13</v>
      </c>
      <c r="B16" s="7" t="s">
        <v>74</v>
      </c>
      <c r="C16" s="7">
        <v>20</v>
      </c>
      <c r="D16" s="7">
        <v>90</v>
      </c>
      <c r="E16" s="7" t="s">
        <v>75</v>
      </c>
      <c r="F16" s="7" t="s">
        <v>29</v>
      </c>
      <c r="G16" s="7">
        <v>1</v>
      </c>
      <c r="H16" s="8">
        <v>3.67</v>
      </c>
      <c r="I16" s="9">
        <v>0.11</v>
      </c>
      <c r="J16" s="9"/>
      <c r="K16" s="9">
        <f t="shared" si="14"/>
        <v>0.44975311567890491</v>
      </c>
      <c r="L16" s="9">
        <v>0.44</v>
      </c>
      <c r="M16" s="7">
        <v>10</v>
      </c>
      <c r="N16" s="9">
        <f t="shared" si="12"/>
        <v>4.4975311567890488</v>
      </c>
      <c r="O16" s="9">
        <f>IF(H16="NA", "NA",M16*L16)</f>
        <v>4.4000000000000004</v>
      </c>
      <c r="P16" s="7" t="s">
        <v>76</v>
      </c>
      <c r="S16" s="5" t="s">
        <v>114</v>
      </c>
      <c r="T16" s="6"/>
      <c r="U16" s="2" t="s">
        <v>115</v>
      </c>
      <c r="V16" s="2" t="s">
        <v>116</v>
      </c>
      <c r="W16" s="2" t="s">
        <v>117</v>
      </c>
      <c r="X16" s="2" t="s">
        <v>118</v>
      </c>
      <c r="Y16" s="6" t="s">
        <v>119</v>
      </c>
      <c r="Z16" s="2" t="s">
        <v>120</v>
      </c>
      <c r="AA16" s="2" t="s">
        <v>121</v>
      </c>
      <c r="AB16" s="2" t="s">
        <v>122</v>
      </c>
      <c r="AC16" s="2" t="s">
        <v>123</v>
      </c>
      <c r="AD16" s="2" t="s">
        <v>124</v>
      </c>
    </row>
    <row r="17" spans="1:30" x14ac:dyDescent="0.25">
      <c r="A17" s="7">
        <v>14</v>
      </c>
      <c r="B17" s="7" t="s">
        <v>77</v>
      </c>
      <c r="C17" s="7"/>
      <c r="D17" s="7"/>
      <c r="E17" s="7"/>
      <c r="F17" s="7" t="s">
        <v>29</v>
      </c>
      <c r="G17" s="7">
        <v>1</v>
      </c>
      <c r="H17" s="8">
        <v>3.66</v>
      </c>
      <c r="I17" s="9">
        <v>9.7000000000000003E-2</v>
      </c>
      <c r="J17" s="9"/>
      <c r="K17" s="9">
        <f t="shared" si="14"/>
        <v>0.3804707809550949</v>
      </c>
      <c r="L17" s="9">
        <v>0.36799999999999999</v>
      </c>
      <c r="M17" s="7">
        <v>0</v>
      </c>
      <c r="N17" s="9"/>
      <c r="O17" s="9"/>
      <c r="P17" s="7" t="s">
        <v>78</v>
      </c>
      <c r="T17" s="19" t="s">
        <v>125</v>
      </c>
      <c r="U17" s="8">
        <f>AVERAGE(H2:H19)</f>
        <v>3.66886274509804</v>
      </c>
      <c r="V17" s="8">
        <f>MEDIAN(H2:H19)</f>
        <v>3.67</v>
      </c>
      <c r="W17" s="8">
        <f>STDEV(H2:H19)</f>
        <v>3.1204051186624884E-3</v>
      </c>
      <c r="X17" s="8">
        <f>W17/U17*100</f>
        <v>8.5051018134479281E-2</v>
      </c>
      <c r="Y17" s="8">
        <f>VAR(H2:H19)</f>
        <v>9.7369281045750585E-6</v>
      </c>
      <c r="Z17" s="8">
        <f>MAX(H2:H19)</f>
        <v>3.673</v>
      </c>
      <c r="AA17" s="8">
        <f>MIN(H2:H19)</f>
        <v>3.66</v>
      </c>
      <c r="AB17" s="8">
        <f>Z17-AA17</f>
        <v>1.2999999999999901E-2</v>
      </c>
      <c r="AC17" s="8">
        <f>COUNT(H2:H19)</f>
        <v>17</v>
      </c>
      <c r="AD17" s="8">
        <f>W17/SQRT(AC17)</f>
        <v>7.5680940582137943E-4</v>
      </c>
    </row>
    <row r="18" spans="1:30" x14ac:dyDescent="0.25">
      <c r="A18" s="7">
        <v>15</v>
      </c>
      <c r="B18" s="7" t="s">
        <v>47</v>
      </c>
      <c r="C18" s="7"/>
      <c r="D18" s="7"/>
      <c r="E18" s="7"/>
      <c r="F18" s="7" t="s">
        <v>29</v>
      </c>
      <c r="G18" s="7">
        <v>1</v>
      </c>
      <c r="H18" s="8">
        <v>3.67</v>
      </c>
      <c r="I18" s="9">
        <v>1.113</v>
      </c>
      <c r="J18" s="9"/>
      <c r="K18" s="9">
        <f t="shared" si="14"/>
        <v>5.7951517101390175</v>
      </c>
      <c r="L18" s="9">
        <v>5.7889999999999997</v>
      </c>
      <c r="M18" s="7">
        <v>20</v>
      </c>
      <c r="N18" s="9"/>
      <c r="O18" s="9"/>
      <c r="P18" s="7" t="s">
        <v>48</v>
      </c>
      <c r="T18" s="19" t="s">
        <v>126</v>
      </c>
      <c r="U18" s="9">
        <f>AVERAGE(I10,I18)</f>
        <v>1.10385</v>
      </c>
      <c r="V18" s="9">
        <f>MEDIAN(I10,I18)</f>
        <v>1.10385</v>
      </c>
      <c r="W18" s="9">
        <f>STDEV(I10,I18)</f>
        <v>1.2940054095713808E-2</v>
      </c>
      <c r="X18" s="9">
        <f>W18/U18*100</f>
        <v>1.1722656244701553</v>
      </c>
      <c r="Y18" s="9">
        <f>VAR(I10,I18)</f>
        <v>1.6744499999999968E-4</v>
      </c>
      <c r="Z18" s="9">
        <f>MAX(I10,I18)</f>
        <v>1.113</v>
      </c>
      <c r="AA18" s="9">
        <f>MIN(I10,I18)</f>
        <v>1.0947</v>
      </c>
      <c r="AB18" s="9">
        <f>Z18-AA18</f>
        <v>1.8299999999999983E-2</v>
      </c>
      <c r="AC18" s="9">
        <f>COUNT(I10,I18)</f>
        <v>2</v>
      </c>
      <c r="AD18" s="9">
        <f>W18/SQRT(AC18)</f>
        <v>9.1499999999999915E-3</v>
      </c>
    </row>
    <row r="19" spans="1:30" x14ac:dyDescent="0.25">
      <c r="A19" s="7">
        <v>16</v>
      </c>
      <c r="B19" s="7" t="s">
        <v>28</v>
      </c>
      <c r="C19" s="7"/>
      <c r="D19" s="7"/>
      <c r="E19" s="7"/>
      <c r="F19" s="7" t="s">
        <v>29</v>
      </c>
      <c r="G19" s="7">
        <v>1</v>
      </c>
      <c r="H19" s="8">
        <v>3.67</v>
      </c>
      <c r="I19" s="9">
        <v>0.14399999999999999</v>
      </c>
      <c r="J19" s="9"/>
      <c r="K19" s="9">
        <f t="shared" si="14"/>
        <v>0.63095306803348494</v>
      </c>
      <c r="L19" s="9">
        <v>0.62</v>
      </c>
      <c r="M19" s="7">
        <v>0</v>
      </c>
      <c r="N19" s="9"/>
      <c r="O19" s="9"/>
      <c r="P19" s="7" t="s">
        <v>30</v>
      </c>
      <c r="T19" s="19" t="s">
        <v>127</v>
      </c>
      <c r="U19" s="9">
        <f>AVERAGE(K10,K18)</f>
        <v>5.7463876053141822</v>
      </c>
      <c r="V19" s="9">
        <f>MEDIAN(K10,K18)</f>
        <v>5.7463876053141822</v>
      </c>
      <c r="W19" s="9">
        <f>STDEV(K10,K18)</f>
        <v>6.8962858400265337E-2</v>
      </c>
      <c r="X19" s="9">
        <f>W19/U19*100</f>
        <v>1.2001080180614585</v>
      </c>
      <c r="Y19" s="9">
        <f>VAR(K10,K18)</f>
        <v>4.7558758387350481E-3</v>
      </c>
      <c r="Z19" s="9">
        <f>MAX(K10,K18)</f>
        <v>5.7951517101390175</v>
      </c>
      <c r="AA19" s="9">
        <f>MIN(K10,K18)</f>
        <v>5.697623500489347</v>
      </c>
      <c r="AB19" s="9">
        <f>Z19-AA19</f>
        <v>9.7528209649670572E-2</v>
      </c>
      <c r="AC19" s="9">
        <f>COUNT(K10,K18)</f>
        <v>2</v>
      </c>
      <c r="AD19" s="9">
        <f>W19/SQRT(AC19)</f>
        <v>4.8764104824835279E-2</v>
      </c>
    </row>
    <row r="20" spans="1:30" x14ac:dyDescent="0.25">
      <c r="H20"/>
      <c r="I20"/>
      <c r="K20"/>
      <c r="L20"/>
      <c r="N20"/>
      <c r="T20" s="19" t="s">
        <v>128</v>
      </c>
      <c r="U20" s="9">
        <f>AVERAGE(L10,L18)</f>
        <v>5.7401999999999997</v>
      </c>
      <c r="V20" s="9">
        <f>MEDIAN(L10,L18)</f>
        <v>5.7401999999999997</v>
      </c>
      <c r="W20" s="9">
        <f>STDEV(L10,L18)</f>
        <v>6.901362184380698E-2</v>
      </c>
      <c r="X20" s="9">
        <f>W20/U20*100</f>
        <v>1.2022860151877459</v>
      </c>
      <c r="Y20" s="9">
        <f>VAR(L10,L18)</f>
        <v>4.762879999999991E-3</v>
      </c>
      <c r="Z20" s="9">
        <f>MAX(L10,L18)</f>
        <v>5.7889999999999997</v>
      </c>
      <c r="AA20" s="9">
        <f>MIN(L10,L18)</f>
        <v>5.6913999999999998</v>
      </c>
      <c r="AB20" s="9">
        <f>Z20-AA20</f>
        <v>9.7599999999999909E-2</v>
      </c>
      <c r="AC20" s="9">
        <f>COUNT(L10,L18)</f>
        <v>2</v>
      </c>
      <c r="AD20" s="9">
        <f>W20/SQRT(AC20)</f>
        <v>4.8799999999999955E-2</v>
      </c>
    </row>
    <row r="21" spans="1:30" x14ac:dyDescent="0.25">
      <c r="H21"/>
      <c r="I21"/>
      <c r="K21"/>
      <c r="L21"/>
      <c r="N21"/>
      <c r="T21" s="19" t="s">
        <v>129</v>
      </c>
      <c r="U21" s="9">
        <f>AVERAGE(I9,I19)</f>
        <v>0.13919999999999999</v>
      </c>
      <c r="V21" s="9">
        <f>MEDIAN(I9,I19)</f>
        <v>0.13919999999999999</v>
      </c>
      <c r="W21" s="9">
        <f>STDEV(I9,I19)</f>
        <v>6.7882250993908542E-3</v>
      </c>
      <c r="X21" s="9">
        <f t="shared" ref="X21:X23" si="15">W21/U21*100</f>
        <v>4.8765984909417064</v>
      </c>
      <c r="Y21" s="9">
        <f>VAR(I9,I19)</f>
        <v>4.6079999999999972E-5</v>
      </c>
      <c r="Z21" s="9">
        <f>MAX(I9,I19)</f>
        <v>0.14399999999999999</v>
      </c>
      <c r="AA21" s="9">
        <f>MIN(I9,I19)</f>
        <v>0.13439999999999999</v>
      </c>
      <c r="AB21" s="9">
        <f t="shared" ref="AB21:AB23" si="16">Z21-AA21</f>
        <v>9.5999999999999974E-3</v>
      </c>
      <c r="AC21" s="9">
        <f>COUNT(I9,I19)</f>
        <v>2</v>
      </c>
      <c r="AD21" s="9">
        <f t="shared" ref="AD21:AD23" si="17">W21/SQRT(AC21)</f>
        <v>4.7999999999999978E-3</v>
      </c>
    </row>
    <row r="22" spans="1:30" x14ac:dyDescent="0.25">
      <c r="H22"/>
      <c r="I22"/>
      <c r="K22"/>
      <c r="L22"/>
      <c r="N22"/>
      <c r="T22" s="19" t="s">
        <v>130</v>
      </c>
      <c r="U22" s="9">
        <f>AVERAGE(K9,K19)</f>
        <v>0.60537189828930893</v>
      </c>
      <c r="V22" s="9">
        <f>MEDIAN(K9,K19)</f>
        <v>0.60537189828930893</v>
      </c>
      <c r="W22" s="9">
        <f>STDEV(K9,K19)</f>
        <v>3.6177237193581999E-2</v>
      </c>
      <c r="X22" s="9">
        <f t="shared" si="15"/>
        <v>5.9760351109480796</v>
      </c>
      <c r="Y22" s="9">
        <f>VAR(K9,K19)</f>
        <v>1.3087924909606925E-3</v>
      </c>
      <c r="Z22" s="9">
        <f>MAX(K9,K19)</f>
        <v>0.63095306803348494</v>
      </c>
      <c r="AA22" s="9">
        <f>MIN(K9,K19)</f>
        <v>0.57979072854513292</v>
      </c>
      <c r="AB22" s="9">
        <f t="shared" si="16"/>
        <v>5.1162339488352027E-2</v>
      </c>
      <c r="AC22" s="9">
        <f>COUNT(K9,K19)</f>
        <v>2</v>
      </c>
      <c r="AD22" s="9">
        <f t="shared" si="17"/>
        <v>2.5581169744176013E-2</v>
      </c>
    </row>
    <row r="23" spans="1:30" x14ac:dyDescent="0.25">
      <c r="H23"/>
      <c r="I23"/>
      <c r="K23"/>
      <c r="L23"/>
      <c r="N23"/>
      <c r="T23" s="19" t="s">
        <v>131</v>
      </c>
      <c r="U23" s="9">
        <f>AVERAGE(L9,L19)</f>
        <v>0.5948</v>
      </c>
      <c r="V23" s="9">
        <f>MEDIAN(L9,L19)</f>
        <v>0.5948</v>
      </c>
      <c r="W23" s="9">
        <f>STDEV(L9,L19)</f>
        <v>3.5638181771801995E-2</v>
      </c>
      <c r="X23" s="9">
        <f t="shared" si="15"/>
        <v>5.9916243732014118</v>
      </c>
      <c r="Y23" s="9">
        <f>VAR(L9,L19)</f>
        <v>1.27008E-3</v>
      </c>
      <c r="Z23" s="9">
        <f>MAX(L9,L19)</f>
        <v>0.62</v>
      </c>
      <c r="AA23" s="9">
        <f>MIN(L9,L19)</f>
        <v>0.5696</v>
      </c>
      <c r="AB23" s="9">
        <f t="shared" si="16"/>
        <v>5.04E-2</v>
      </c>
      <c r="AC23" s="9">
        <f>COUNT(L9,L19)</f>
        <v>2</v>
      </c>
      <c r="AD23" s="9">
        <f t="shared" si="17"/>
        <v>2.5199999999999997E-2</v>
      </c>
    </row>
    <row r="24" spans="1:30" x14ac:dyDescent="0.25">
      <c r="H24"/>
      <c r="I24"/>
      <c r="K24"/>
      <c r="L24"/>
      <c r="N24"/>
    </row>
    <row r="25" spans="1:30" x14ac:dyDescent="0.25">
      <c r="H25"/>
      <c r="I25"/>
      <c r="K25"/>
      <c r="L25"/>
      <c r="N25"/>
      <c r="T25" s="20"/>
    </row>
    <row r="26" spans="1:30" x14ac:dyDescent="0.25">
      <c r="H26"/>
      <c r="I26"/>
      <c r="K26"/>
      <c r="L26"/>
      <c r="N26"/>
      <c r="T26" s="10"/>
      <c r="U26" s="2" t="s">
        <v>132</v>
      </c>
      <c r="V26" s="2" t="s">
        <v>133</v>
      </c>
      <c r="W26" s="2" t="s">
        <v>134</v>
      </c>
      <c r="X26" s="2" t="s">
        <v>135</v>
      </c>
      <c r="Y26" s="2" t="s">
        <v>136</v>
      </c>
      <c r="Z26" s="2" t="s">
        <v>137</v>
      </c>
      <c r="AA26" s="2" t="s">
        <v>138</v>
      </c>
    </row>
    <row r="27" spans="1:30" ht="45" x14ac:dyDescent="0.25">
      <c r="H27"/>
      <c r="I27"/>
      <c r="K27"/>
      <c r="L27"/>
      <c r="N27"/>
      <c r="T27" s="21" t="s">
        <v>139</v>
      </c>
      <c r="U27" s="22">
        <f>K6</f>
        <v>5.0559624927395985</v>
      </c>
      <c r="V27" s="22">
        <f>L6</f>
        <v>5.0491999999999999</v>
      </c>
      <c r="W27" s="23">
        <v>100</v>
      </c>
      <c r="X27" s="23">
        <v>1</v>
      </c>
      <c r="Y27" s="22">
        <f>W27/(20)</f>
        <v>5</v>
      </c>
      <c r="Z27" s="22">
        <f>V27/Y27 *100</f>
        <v>100.98400000000001</v>
      </c>
      <c r="AA27" s="22">
        <f>U27/Y27 *100</f>
        <v>101.11924985479197</v>
      </c>
    </row>
    <row r="28" spans="1:30" ht="45" x14ac:dyDescent="0.25">
      <c r="H28"/>
      <c r="I28"/>
      <c r="K28"/>
      <c r="L28"/>
      <c r="N28"/>
      <c r="T28" s="21" t="s">
        <v>140</v>
      </c>
      <c r="U28" s="22">
        <f>U19</f>
        <v>5.7463876053141822</v>
      </c>
      <c r="V28" s="22">
        <f>U20</f>
        <v>5.7401999999999997</v>
      </c>
      <c r="W28" s="23">
        <v>100</v>
      </c>
      <c r="X28" s="23">
        <v>1</v>
      </c>
      <c r="Y28" s="22">
        <f>W28/(20)</f>
        <v>5</v>
      </c>
      <c r="Z28" s="22">
        <f>V28/Y28 *100</f>
        <v>114.804</v>
      </c>
      <c r="AA28" s="22">
        <f>U28/Y28 *100</f>
        <v>114.92775210628365</v>
      </c>
    </row>
    <row r="29" spans="1:30" x14ac:dyDescent="0.25">
      <c r="H29"/>
      <c r="I29"/>
      <c r="K29"/>
      <c r="L29"/>
      <c r="N29"/>
    </row>
    <row r="30" spans="1:30" x14ac:dyDescent="0.25">
      <c r="H30"/>
      <c r="I30"/>
      <c r="K30"/>
      <c r="L30"/>
      <c r="N30"/>
    </row>
    <row r="31" spans="1:30" x14ac:dyDescent="0.25">
      <c r="H31"/>
      <c r="I31"/>
      <c r="K31"/>
      <c r="L31"/>
      <c r="N31"/>
      <c r="T31" s="7"/>
      <c r="U31" s="2" t="s">
        <v>141</v>
      </c>
      <c r="V31" s="2" t="s">
        <v>142</v>
      </c>
      <c r="W31" s="2" t="s">
        <v>143</v>
      </c>
      <c r="X31" s="2" t="s">
        <v>144</v>
      </c>
      <c r="Y31" s="2" t="s">
        <v>145</v>
      </c>
      <c r="Z31" s="2" t="s">
        <v>146</v>
      </c>
      <c r="AA31" s="2" t="s">
        <v>147</v>
      </c>
      <c r="AB31" s="2" t="s">
        <v>137</v>
      </c>
      <c r="AC31" s="2" t="s">
        <v>138</v>
      </c>
    </row>
    <row r="32" spans="1:30" x14ac:dyDescent="0.25">
      <c r="H32"/>
      <c r="I32"/>
      <c r="K32"/>
      <c r="L32"/>
      <c r="N32"/>
      <c r="T32" s="19" t="s">
        <v>148</v>
      </c>
      <c r="U32" s="9">
        <f>I6</f>
        <v>0.97430000000000005</v>
      </c>
      <c r="V32" s="9">
        <f>U18</f>
        <v>1.10385</v>
      </c>
      <c r="W32" s="9">
        <f>K6</f>
        <v>5.0559624927395985</v>
      </c>
      <c r="X32" s="9">
        <f>L6</f>
        <v>5.0491999999999999</v>
      </c>
      <c r="Y32" s="9">
        <f>U19</f>
        <v>5.7463876053141822</v>
      </c>
      <c r="Z32" s="9">
        <f>U20</f>
        <v>5.7401999999999997</v>
      </c>
      <c r="AA32" s="9">
        <f>U32/V32 *100</f>
        <v>88.263803958871222</v>
      </c>
      <c r="AB32" s="9">
        <f>W32/Y32 *100</f>
        <v>87.985058440261014</v>
      </c>
      <c r="AC32" s="9">
        <f>X32/Z32 *100</f>
        <v>87.962091913173751</v>
      </c>
    </row>
    <row r="35" spans="19:34" x14ac:dyDescent="0.25">
      <c r="S35" s="5" t="s">
        <v>149</v>
      </c>
      <c r="T35" s="2" t="s">
        <v>13</v>
      </c>
      <c r="U35" s="2" t="s">
        <v>14</v>
      </c>
      <c r="V35" s="2" t="s">
        <v>15</v>
      </c>
      <c r="W35" s="2" t="s">
        <v>16</v>
      </c>
      <c r="X35" s="2" t="s">
        <v>17</v>
      </c>
      <c r="Y35" s="2" t="s">
        <v>18</v>
      </c>
      <c r="Z35" s="2" t="s">
        <v>19</v>
      </c>
      <c r="AA35" s="3" t="s">
        <v>21</v>
      </c>
      <c r="AB35" s="3" t="s">
        <v>22</v>
      </c>
      <c r="AC35" s="3" t="s">
        <v>89</v>
      </c>
      <c r="AD35" s="3" t="s">
        <v>90</v>
      </c>
    </row>
    <row r="36" spans="19:34" x14ac:dyDescent="0.25">
      <c r="T36" s="7">
        <v>4</v>
      </c>
      <c r="U36" s="7" t="s">
        <v>49</v>
      </c>
      <c r="V36" s="7">
        <v>0</v>
      </c>
      <c r="W36" s="7">
        <v>50</v>
      </c>
      <c r="X36" s="7" t="s">
        <v>50</v>
      </c>
      <c r="Y36" s="7" t="s">
        <v>29</v>
      </c>
      <c r="Z36" s="7">
        <v>1</v>
      </c>
      <c r="AA36" s="7">
        <v>3.67</v>
      </c>
      <c r="AB36" s="7">
        <v>0.13750000000000001</v>
      </c>
      <c r="AC36" s="9">
        <f>IF(AA36="NA", "NA", ((AB36-($AH$3))/$AG$3))</f>
        <v>0.59631190067158013</v>
      </c>
      <c r="AD36" s="7">
        <v>0.58660000000000001</v>
      </c>
    </row>
    <row r="37" spans="19:34" x14ac:dyDescent="0.25">
      <c r="T37" s="7">
        <v>5</v>
      </c>
      <c r="U37" s="7" t="s">
        <v>52</v>
      </c>
      <c r="V37" s="7">
        <v>0</v>
      </c>
      <c r="W37" s="7">
        <v>50</v>
      </c>
      <c r="X37" s="7" t="s">
        <v>53</v>
      </c>
      <c r="Y37" s="7" t="s">
        <v>29</v>
      </c>
      <c r="Z37" s="7">
        <v>1</v>
      </c>
      <c r="AA37" s="7">
        <v>3.67</v>
      </c>
      <c r="AB37" s="7">
        <v>0.152</v>
      </c>
      <c r="AC37" s="9">
        <f t="shared" ref="AC37:AC41" si="18">IF(AA37="NA", "NA", ((AB37-($AH$3))/$AG$3))</f>
        <v>0.673588350940445</v>
      </c>
      <c r="AD37" s="7">
        <v>0.66369999999999996</v>
      </c>
    </row>
    <row r="38" spans="19:34" x14ac:dyDescent="0.25">
      <c r="T38" s="7">
        <v>6</v>
      </c>
      <c r="U38" s="7" t="s">
        <v>55</v>
      </c>
      <c r="V38" s="7">
        <v>0</v>
      </c>
      <c r="W38" s="7">
        <v>50</v>
      </c>
      <c r="X38" s="7" t="s">
        <v>56</v>
      </c>
      <c r="Y38" s="7" t="s">
        <v>29</v>
      </c>
      <c r="Z38" s="7">
        <v>1</v>
      </c>
      <c r="AA38" s="7">
        <v>3.6669999999999998</v>
      </c>
      <c r="AB38" s="7">
        <v>0.23369999999999999</v>
      </c>
      <c r="AC38" s="9">
        <f t="shared" si="18"/>
        <v>1.1090011776277742</v>
      </c>
      <c r="AD38" s="7">
        <v>1.0992999999999999</v>
      </c>
    </row>
    <row r="39" spans="19:34" x14ac:dyDescent="0.25">
      <c r="T39" s="7">
        <v>8</v>
      </c>
      <c r="U39" s="7" t="s">
        <v>61</v>
      </c>
      <c r="V39" s="7">
        <v>20</v>
      </c>
      <c r="W39" s="7">
        <v>60</v>
      </c>
      <c r="X39" s="7" t="s">
        <v>62</v>
      </c>
      <c r="Y39" s="7" t="s">
        <v>29</v>
      </c>
      <c r="Z39" s="7">
        <v>1</v>
      </c>
      <c r="AA39" s="7">
        <v>3.6629999999999998</v>
      </c>
      <c r="AB39" s="7">
        <v>9.4299999999999995E-2</v>
      </c>
      <c r="AC39" s="9">
        <f t="shared" si="18"/>
        <v>0.36608137297399584</v>
      </c>
      <c r="AD39" s="7">
        <v>0.35580000000000001</v>
      </c>
    </row>
    <row r="40" spans="19:34" x14ac:dyDescent="0.25">
      <c r="T40" s="7">
        <v>9</v>
      </c>
      <c r="U40" s="7" t="s">
        <v>64</v>
      </c>
      <c r="V40" s="7">
        <v>20</v>
      </c>
      <c r="W40" s="7">
        <v>60</v>
      </c>
      <c r="X40" s="7" t="s">
        <v>65</v>
      </c>
      <c r="Y40" s="7" t="s">
        <v>29</v>
      </c>
      <c r="Z40" s="7">
        <v>1</v>
      </c>
      <c r="AA40" s="7">
        <v>3.6669999999999998</v>
      </c>
      <c r="AB40" s="7">
        <v>9.5200000000000007E-2</v>
      </c>
      <c r="AC40" s="9">
        <f t="shared" si="18"/>
        <v>0.37087784230102894</v>
      </c>
      <c r="AD40" s="7">
        <v>0.36080000000000001</v>
      </c>
    </row>
    <row r="41" spans="19:34" x14ac:dyDescent="0.25">
      <c r="T41" s="7">
        <v>10</v>
      </c>
      <c r="U41" s="7" t="s">
        <v>67</v>
      </c>
      <c r="V41" s="7">
        <v>20</v>
      </c>
      <c r="W41" s="7">
        <v>60</v>
      </c>
      <c r="X41" s="7" t="s">
        <v>68</v>
      </c>
      <c r="Y41" s="7" t="s">
        <v>29</v>
      </c>
      <c r="Z41" s="7">
        <v>1</v>
      </c>
      <c r="AA41" s="7">
        <v>3.6669999999999998</v>
      </c>
      <c r="AB41" s="7">
        <v>0.1027</v>
      </c>
      <c r="AC41" s="9">
        <f t="shared" si="18"/>
        <v>0.4108484200263039</v>
      </c>
      <c r="AD41" s="7">
        <v>0.40060000000000001</v>
      </c>
    </row>
    <row r="46" spans="19:34" x14ac:dyDescent="0.25">
      <c r="T46" s="6"/>
      <c r="U46" s="2" t="s">
        <v>14</v>
      </c>
      <c r="V46" s="2" t="s">
        <v>15</v>
      </c>
      <c r="W46" s="2" t="s">
        <v>16</v>
      </c>
      <c r="X46" s="2" t="s">
        <v>17</v>
      </c>
      <c r="Y46" s="2" t="s">
        <v>115</v>
      </c>
      <c r="Z46" s="2" t="s">
        <v>116</v>
      </c>
      <c r="AA46" s="2" t="s">
        <v>117</v>
      </c>
      <c r="AB46" s="2" t="s">
        <v>118</v>
      </c>
      <c r="AC46" s="6" t="s">
        <v>119</v>
      </c>
      <c r="AD46" s="2" t="s">
        <v>120</v>
      </c>
      <c r="AE46" s="2" t="s">
        <v>121</v>
      </c>
      <c r="AF46" s="2" t="s">
        <v>122</v>
      </c>
      <c r="AG46" s="2" t="s">
        <v>123</v>
      </c>
      <c r="AH46" s="2" t="s">
        <v>124</v>
      </c>
    </row>
    <row r="47" spans="19:34" x14ac:dyDescent="0.25">
      <c r="T47" s="3" t="s">
        <v>22</v>
      </c>
      <c r="U47" s="7" t="s">
        <v>49</v>
      </c>
      <c r="V47" s="7">
        <v>0</v>
      </c>
      <c r="W47" s="7">
        <v>50</v>
      </c>
      <c r="X47" s="7" t="s">
        <v>50</v>
      </c>
      <c r="Y47" s="8">
        <f>AVERAGE(AB36:AB38)</f>
        <v>0.1744</v>
      </c>
      <c r="Z47" s="8">
        <f>MEDIAN(AB36:AB38)</f>
        <v>0.152</v>
      </c>
      <c r="AA47" s="8">
        <f>STDEV(AB36:AB38)</f>
        <v>5.1864535089018136E-2</v>
      </c>
      <c r="AB47" s="8">
        <f t="shared" ref="AB47:AB52" si="19">AA47/Y47*100</f>
        <v>29.738838927189299</v>
      </c>
      <c r="AC47" s="8">
        <f>VAR(AB36:AB38)</f>
        <v>2.6899299999999932E-3</v>
      </c>
      <c r="AD47" s="8">
        <f>MAX(AB36:AB38)</f>
        <v>0.23369999999999999</v>
      </c>
      <c r="AE47" s="8">
        <f>MIN(AB36:AB38)</f>
        <v>0.13750000000000001</v>
      </c>
      <c r="AF47" s="8">
        <f t="shared" ref="AF47:AF52" si="20">AD47-AE47</f>
        <v>9.619999999999998E-2</v>
      </c>
      <c r="AG47" s="8">
        <f>COUNT(AB36:AB38)</f>
        <v>3</v>
      </c>
      <c r="AH47" s="8">
        <f t="shared" ref="AH47:AH52" si="21">AA47/SQRT(AG47)</f>
        <v>2.9944003295039413E-2</v>
      </c>
    </row>
    <row r="48" spans="19:34" x14ac:dyDescent="0.25">
      <c r="T48" s="3" t="s">
        <v>89</v>
      </c>
      <c r="U48" s="7" t="s">
        <v>52</v>
      </c>
      <c r="V48" s="7">
        <v>0</v>
      </c>
      <c r="W48" s="7">
        <v>50</v>
      </c>
      <c r="X48" s="7" t="s">
        <v>53</v>
      </c>
      <c r="Y48" s="9">
        <f>AVERAGE(AC36:AC38)</f>
        <v>0.7929671430799331</v>
      </c>
      <c r="Z48" s="9">
        <f>MEDIAN(AC36:AC38)</f>
        <v>0.673588350940445</v>
      </c>
      <c r="AA48" s="9">
        <f>STDEV(AC36:AC38)</f>
        <v>0.27640739079478066</v>
      </c>
      <c r="AB48" s="9">
        <f t="shared" si="19"/>
        <v>34.857357357985528</v>
      </c>
      <c r="AC48" s="9">
        <f>VAR(AC36:AC38)</f>
        <v>7.6401045685978608E-2</v>
      </c>
      <c r="AD48" s="9">
        <f>MAX(AC36:AC38)</f>
        <v>1.1090011776277742</v>
      </c>
      <c r="AE48" s="9">
        <f>MIN(AC36:AC38)</f>
        <v>0.59631190067158013</v>
      </c>
      <c r="AF48" s="9">
        <f t="shared" si="20"/>
        <v>0.51268927695619404</v>
      </c>
      <c r="AG48" s="9">
        <f>COUNT(AC36:AC38)</f>
        <v>3</v>
      </c>
      <c r="AH48" s="9">
        <f t="shared" si="21"/>
        <v>0.15958388148136871</v>
      </c>
    </row>
    <row r="49" spans="20:34" x14ac:dyDescent="0.25">
      <c r="T49" s="3" t="s">
        <v>90</v>
      </c>
      <c r="U49" s="7" t="s">
        <v>55</v>
      </c>
      <c r="V49" s="7">
        <v>0</v>
      </c>
      <c r="W49" s="7">
        <v>50</v>
      </c>
      <c r="X49" s="7" t="s">
        <v>56</v>
      </c>
      <c r="Y49" s="9">
        <f>AVERAGE(AD36:AD38)</f>
        <v>0.7831999999999999</v>
      </c>
      <c r="Z49" s="9">
        <f>MEDIAN(AD36:AD38)</f>
        <v>0.66369999999999996</v>
      </c>
      <c r="AA49" s="9">
        <f>STDEV(AD36:AD38)</f>
        <v>0.27645164134076</v>
      </c>
      <c r="AB49" s="9">
        <f t="shared" si="19"/>
        <v>35.297707014908077</v>
      </c>
      <c r="AC49" s="9">
        <f>VAR(AD36:AD38)</f>
        <v>7.6425510000000196E-2</v>
      </c>
      <c r="AD49" s="9">
        <f>MAX(AD36:AD38)</f>
        <v>1.0992999999999999</v>
      </c>
      <c r="AE49" s="9">
        <f>MIN(AD36:AD38)</f>
        <v>0.58660000000000001</v>
      </c>
      <c r="AF49" s="9">
        <f t="shared" si="20"/>
        <v>0.51269999999999993</v>
      </c>
      <c r="AG49" s="9">
        <f>COUNT(AD36:AD38)</f>
        <v>3</v>
      </c>
      <c r="AH49" s="9">
        <f t="shared" si="21"/>
        <v>0.15960942954600166</v>
      </c>
    </row>
    <row r="50" spans="20:34" x14ac:dyDescent="0.25">
      <c r="T50" s="3" t="s">
        <v>22</v>
      </c>
      <c r="U50" s="7" t="s">
        <v>61</v>
      </c>
      <c r="V50" s="7">
        <v>20</v>
      </c>
      <c r="W50" s="7">
        <v>60</v>
      </c>
      <c r="X50" s="7" t="s">
        <v>62</v>
      </c>
      <c r="Y50" s="8">
        <f>AVERAGE(AB39:AB41)</f>
        <v>9.74E-2</v>
      </c>
      <c r="Z50" s="8">
        <f>MEDIAN(AB39:AB41)</f>
        <v>9.5200000000000007E-2</v>
      </c>
      <c r="AA50" s="8">
        <f>STDEV(AB39:AB41)</f>
        <v>4.6119410230400816E-3</v>
      </c>
      <c r="AB50" s="8">
        <f t="shared" si="19"/>
        <v>4.7350523850514188</v>
      </c>
      <c r="AC50" s="8">
        <f>VAR(AB39:AB41)</f>
        <v>2.1269999999999998E-5</v>
      </c>
      <c r="AD50" s="8">
        <f>MAX(AB39:AB41)</f>
        <v>0.1027</v>
      </c>
      <c r="AE50" s="8">
        <f>MIN(AB39:AB41)</f>
        <v>9.4299999999999995E-2</v>
      </c>
      <c r="AF50" s="8">
        <f t="shared" si="20"/>
        <v>8.4000000000000047E-3</v>
      </c>
      <c r="AG50" s="8">
        <f>COUNT(AB39:AB41)</f>
        <v>3</v>
      </c>
      <c r="AH50" s="8">
        <f t="shared" si="21"/>
        <v>2.6627053911388691E-3</v>
      </c>
    </row>
    <row r="51" spans="20:34" x14ac:dyDescent="0.25">
      <c r="T51" s="3" t="s">
        <v>89</v>
      </c>
      <c r="U51" s="7" t="s">
        <v>64</v>
      </c>
      <c r="V51" s="7">
        <v>20</v>
      </c>
      <c r="W51" s="7">
        <v>60</v>
      </c>
      <c r="X51" s="7" t="s">
        <v>65</v>
      </c>
      <c r="Y51" s="9">
        <f>AVERAGE(AC39:AC41)</f>
        <v>0.38260254510044289</v>
      </c>
      <c r="Z51" s="9">
        <f>MEDIAN(AC39:AC41)</f>
        <v>0.37087784230102894</v>
      </c>
      <c r="AA51" s="9">
        <f>STDEV(AC39:AC41)</f>
        <v>2.4578926283441063E-2</v>
      </c>
      <c r="AB51" s="9">
        <f t="shared" si="19"/>
        <v>6.4241408213812248</v>
      </c>
      <c r="AC51" s="9">
        <f>VAR(AC39:AC41)</f>
        <v>6.0412361724682985E-4</v>
      </c>
      <c r="AD51" s="9">
        <f>MAX(AC39:AC41)</f>
        <v>0.4108484200263039</v>
      </c>
      <c r="AE51" s="9">
        <f>MIN(AC39:AC41)</f>
        <v>0.36608137297399584</v>
      </c>
      <c r="AF51" s="9">
        <f t="shared" si="20"/>
        <v>4.4767047052308051E-2</v>
      </c>
      <c r="AG51" s="9">
        <f>COUNT(AC39:AC41)</f>
        <v>3</v>
      </c>
      <c r="AH51" s="9">
        <f t="shared" si="21"/>
        <v>1.4190649706136666E-2</v>
      </c>
    </row>
    <row r="52" spans="20:34" x14ac:dyDescent="0.25">
      <c r="T52" s="3" t="s">
        <v>90</v>
      </c>
      <c r="U52" s="7" t="s">
        <v>67</v>
      </c>
      <c r="V52" s="7">
        <v>20</v>
      </c>
      <c r="W52" s="7">
        <v>60</v>
      </c>
      <c r="X52" s="7" t="s">
        <v>68</v>
      </c>
      <c r="Y52" s="9">
        <f>AVERAGE(AD39:AD41)</f>
        <v>0.37240000000000001</v>
      </c>
      <c r="Z52" s="9">
        <f>MEDIAN(AD39:AD41)</f>
        <v>0.36080000000000001</v>
      </c>
      <c r="AA52" s="9">
        <f>STDEV(AD39:AD41)</f>
        <v>2.4549541747250599E-2</v>
      </c>
      <c r="AB52" s="9">
        <f t="shared" si="19"/>
        <v>6.5922507377149833</v>
      </c>
      <c r="AC52" s="9">
        <f>VAR(AD39:AD41)</f>
        <v>6.0268000000000008E-4</v>
      </c>
      <c r="AD52" s="9">
        <f>MAX(AD39:AD41)</f>
        <v>0.40060000000000001</v>
      </c>
      <c r="AE52" s="9">
        <f>MIN(AD39:AD41)</f>
        <v>0.35580000000000001</v>
      </c>
      <c r="AF52" s="9">
        <f t="shared" si="20"/>
        <v>4.4800000000000006E-2</v>
      </c>
      <c r="AG52" s="9">
        <f>COUNT(AD39:AD41)</f>
        <v>3</v>
      </c>
      <c r="AH52" s="9">
        <f t="shared" si="21"/>
        <v>1.417368453625709E-2</v>
      </c>
    </row>
  </sheetData>
  <conditionalFormatting sqref="I2:I19">
    <cfRule type="cellIs" dxfId="71" priority="3" operator="lessThan">
      <formula>$U$12</formula>
    </cfRule>
    <cfRule type="cellIs" dxfId="70" priority="4" operator="lessThan">
      <formula>$V$12</formula>
    </cfRule>
  </conditionalFormatting>
  <conditionalFormatting sqref="K1:K19">
    <cfRule type="cellIs" dxfId="69" priority="1" operator="lessThan">
      <formula>$U$13</formula>
    </cfRule>
    <cfRule type="cellIs" dxfId="68" priority="2" operator="lessThan">
      <formula>$V$13</formula>
    </cfRule>
  </conditionalFormatting>
  <conditionalFormatting sqref="L1:L19">
    <cfRule type="cellIs" dxfId="67" priority="5" operator="lessThan">
      <formula>$U$14</formula>
    </cfRule>
    <cfRule type="cellIs" dxfId="66" priority="6" operator="lessThan">
      <formula>$V$14</formula>
    </cfRule>
  </conditionalFormatting>
  <conditionalFormatting sqref="T48">
    <cfRule type="cellIs" dxfId="65" priority="37" operator="lessThan">
      <formula>$U$13</formula>
    </cfRule>
    <cfRule type="cellIs" dxfId="64" priority="38" operator="lessThan">
      <formula>$V$13</formula>
    </cfRule>
  </conditionalFormatting>
  <conditionalFormatting sqref="T49">
    <cfRule type="cellIs" dxfId="63" priority="35" operator="lessThan">
      <formula>$U$14</formula>
    </cfRule>
    <cfRule type="cellIs" dxfId="62" priority="36" operator="lessThan">
      <formula>$V$14</formula>
    </cfRule>
  </conditionalFormatting>
  <conditionalFormatting sqref="T51">
    <cfRule type="cellIs" dxfId="61" priority="33" operator="lessThan">
      <formula>$U$13</formula>
    </cfRule>
    <cfRule type="cellIs" dxfId="60" priority="34" operator="lessThan">
      <formula>$V$13</formula>
    </cfRule>
  </conditionalFormatting>
  <conditionalFormatting sqref="T52">
    <cfRule type="cellIs" dxfId="59" priority="31" operator="lessThan">
      <formula>$U$14</formula>
    </cfRule>
    <cfRule type="cellIs" dxfId="58" priority="32" operator="lessThan">
      <formula>$V$14</formula>
    </cfRule>
  </conditionalFormatting>
  <conditionalFormatting sqref="AC35">
    <cfRule type="cellIs" dxfId="57" priority="39" operator="lessThan">
      <formula>$U$13</formula>
    </cfRule>
    <cfRule type="cellIs" dxfId="56" priority="40" operator="lessThan">
      <formula>$V$13</formula>
    </cfRule>
  </conditionalFormatting>
  <conditionalFormatting sqref="AD35">
    <cfRule type="cellIs" dxfId="55" priority="41" operator="lessThan">
      <formula>$U$14</formula>
    </cfRule>
    <cfRule type="cellIs" dxfId="54" priority="42" operator="lessThan">
      <formula>$V$14</formula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C36D-5157-4481-B18A-49C2708BE9A7}">
  <dimension ref="A1:AI52"/>
  <sheetViews>
    <sheetView topLeftCell="T1" zoomScale="70" zoomScaleNormal="70" workbookViewId="0">
      <selection activeCell="AC17" sqref="AC17"/>
    </sheetView>
  </sheetViews>
  <sheetFormatPr defaultRowHeight="15" x14ac:dyDescent="0.25"/>
  <cols>
    <col min="8" max="8" width="9.140625" style="24"/>
    <col min="9" max="9" width="9.140625" style="25"/>
    <col min="10" max="10" width="9.140625" style="26"/>
    <col min="11" max="11" width="11.7109375" style="25" customWidth="1"/>
    <col min="12" max="12" width="14.85546875" style="25" customWidth="1"/>
    <col min="14" max="14" width="17.28515625" style="25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7" max="27" width="14.7109375" customWidth="1"/>
    <col min="28" max="29" width="11.7109375" customWidth="1"/>
  </cols>
  <sheetData>
    <row r="1" spans="1:35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3" t="s">
        <v>21</v>
      </c>
      <c r="I1" s="3" t="s">
        <v>22</v>
      </c>
      <c r="J1" s="4" t="s">
        <v>156</v>
      </c>
      <c r="K1" s="3" t="s">
        <v>157</v>
      </c>
      <c r="L1" s="3" t="s">
        <v>158</v>
      </c>
      <c r="M1" s="2" t="s">
        <v>20</v>
      </c>
      <c r="N1" s="3" t="s">
        <v>159</v>
      </c>
      <c r="O1" s="3" t="s">
        <v>160</v>
      </c>
      <c r="P1" s="2" t="s">
        <v>26</v>
      </c>
      <c r="S1" s="5" t="s">
        <v>93</v>
      </c>
      <c r="T1" s="6" t="str">
        <f t="shared" ref="T1:U1" si="0">A1</f>
        <v>sample_no</v>
      </c>
      <c r="U1" s="2" t="str">
        <f t="shared" si="0"/>
        <v>sample_id</v>
      </c>
      <c r="V1" s="2" t="str">
        <f t="shared" ref="V1:W1" si="1">F1</f>
        <v>IC_date</v>
      </c>
      <c r="W1" s="2" t="str">
        <f t="shared" si="1"/>
        <v>V_sample_ml</v>
      </c>
      <c r="X1" s="6" t="str">
        <f t="shared" ref="X1" si="2">M1</f>
        <v>dilution_factor</v>
      </c>
      <c r="Y1" s="2" t="str">
        <f t="shared" ref="Y1:AA1" si="3">H1</f>
        <v>ret_time_min</v>
      </c>
      <c r="Z1" s="2" t="str">
        <f t="shared" si="3"/>
        <v>peak_area_usmin</v>
      </c>
      <c r="AA1" s="2" t="str">
        <f t="shared" si="3"/>
        <v>c_Nitrite_ calib_ppm</v>
      </c>
      <c r="AG1" s="5" t="s">
        <v>161</v>
      </c>
    </row>
    <row r="2" spans="1:35" x14ac:dyDescent="0.25">
      <c r="A2" s="16" t="s">
        <v>27</v>
      </c>
      <c r="B2" s="16" t="s">
        <v>150</v>
      </c>
      <c r="C2" s="16"/>
      <c r="D2" s="16"/>
      <c r="E2" s="16"/>
      <c r="F2" s="16" t="s">
        <v>29</v>
      </c>
      <c r="G2" s="16">
        <v>1</v>
      </c>
      <c r="H2" s="17" t="s">
        <v>150</v>
      </c>
      <c r="I2" s="18" t="s">
        <v>150</v>
      </c>
      <c r="J2" s="18">
        <v>0</v>
      </c>
      <c r="K2" s="18" t="str">
        <f t="shared" ref="K2" si="4">IF(H2="NA", "NA", ((I2-($AH$3))/$AG$3))</f>
        <v>NA</v>
      </c>
      <c r="L2" s="18" t="s">
        <v>150</v>
      </c>
      <c r="M2" s="16">
        <v>0</v>
      </c>
      <c r="N2" s="18"/>
      <c r="O2" s="18"/>
      <c r="P2" s="16" t="s">
        <v>153</v>
      </c>
      <c r="T2" s="10" t="str">
        <f t="shared" ref="T2:U7" si="5">A3</f>
        <v>Cal 2</v>
      </c>
      <c r="U2" s="7" t="str">
        <f t="shared" si="5"/>
        <v>Blank</v>
      </c>
      <c r="V2" s="7" t="str">
        <f t="shared" ref="V2:W7" si="6">F3</f>
        <v>10.11.2023</v>
      </c>
      <c r="W2" s="7">
        <f t="shared" si="6"/>
        <v>1</v>
      </c>
      <c r="X2" s="7">
        <f t="shared" ref="X2:X7" si="7">M3</f>
        <v>0</v>
      </c>
      <c r="Y2" s="9">
        <f t="shared" ref="Y2:AA7" si="8">H3</f>
        <v>0</v>
      </c>
      <c r="Z2" s="9">
        <f t="shared" si="8"/>
        <v>0</v>
      </c>
      <c r="AA2" s="23">
        <f t="shared" si="8"/>
        <v>0</v>
      </c>
      <c r="AG2" s="2" t="s">
        <v>96</v>
      </c>
      <c r="AH2" s="2" t="s">
        <v>97</v>
      </c>
    </row>
    <row r="3" spans="1:35" x14ac:dyDescent="0.25">
      <c r="A3" s="7" t="s">
        <v>31</v>
      </c>
      <c r="B3" s="7" t="s">
        <v>28</v>
      </c>
      <c r="C3" s="7"/>
      <c r="D3" s="7"/>
      <c r="E3" s="7"/>
      <c r="F3" s="7" t="s">
        <v>29</v>
      </c>
      <c r="G3" s="7">
        <v>1</v>
      </c>
      <c r="H3" s="8">
        <v>0</v>
      </c>
      <c r="I3" s="9">
        <v>0</v>
      </c>
      <c r="J3" s="9">
        <v>0</v>
      </c>
      <c r="K3" s="9">
        <f>IF(H3="NA", "NA", ((I3-($AH$3))/$AG$3))</f>
        <v>0.44813430214861671</v>
      </c>
      <c r="L3" s="9">
        <v>0</v>
      </c>
      <c r="M3" s="7">
        <v>0</v>
      </c>
      <c r="N3" s="9"/>
      <c r="O3" s="9"/>
      <c r="P3" s="7" t="s">
        <v>30</v>
      </c>
      <c r="T3" s="11" t="str">
        <f t="shared" si="5"/>
        <v>Cal 3</v>
      </c>
      <c r="U3" s="7" t="str">
        <f t="shared" si="5"/>
        <v>x 5</v>
      </c>
      <c r="V3" s="7" t="str">
        <f t="shared" si="6"/>
        <v>10.11.2023</v>
      </c>
      <c r="W3" s="7">
        <f t="shared" si="6"/>
        <v>1</v>
      </c>
      <c r="X3" s="7">
        <f t="shared" si="7"/>
        <v>5</v>
      </c>
      <c r="Y3" s="9">
        <f t="shared" si="8"/>
        <v>4.1870000000000003</v>
      </c>
      <c r="Z3" s="9">
        <f t="shared" si="8"/>
        <v>2.0341</v>
      </c>
      <c r="AA3" s="23">
        <f t="shared" si="8"/>
        <v>20</v>
      </c>
      <c r="AF3" t="s">
        <v>98</v>
      </c>
      <c r="AG3" s="9" cm="1">
        <f t="array" ref="AG3:AH7">LINEST(Z2:Z7,AA2:AA7, TRUE, TRUE)</f>
        <v>0.10332983870967746</v>
      </c>
      <c r="AH3" s="9">
        <v>-4.6305645161290432E-2</v>
      </c>
      <c r="AI3" s="12" t="s">
        <v>99</v>
      </c>
    </row>
    <row r="4" spans="1:35" x14ac:dyDescent="0.25">
      <c r="A4" s="7" t="s">
        <v>34</v>
      </c>
      <c r="B4" s="7" t="s">
        <v>32</v>
      </c>
      <c r="C4" s="7"/>
      <c r="D4" s="7"/>
      <c r="E4" s="7"/>
      <c r="F4" s="7" t="s">
        <v>29</v>
      </c>
      <c r="G4" s="7">
        <v>1</v>
      </c>
      <c r="H4" s="8">
        <v>4.1870000000000003</v>
      </c>
      <c r="I4" s="9">
        <v>2.0341</v>
      </c>
      <c r="J4" s="9">
        <v>20</v>
      </c>
      <c r="K4" s="9">
        <f t="shared" ref="K4:K10" si="9">IF(H4="NA", "NA", ((I4-($AH$3))/$AG$3))</f>
        <v>20.13363875469253</v>
      </c>
      <c r="L4" s="9">
        <v>20.131399999999999</v>
      </c>
      <c r="M4" s="7">
        <v>5</v>
      </c>
      <c r="N4" s="9"/>
      <c r="O4" s="9"/>
      <c r="P4" s="7" t="s">
        <v>33</v>
      </c>
      <c r="T4" s="11" t="str">
        <f t="shared" si="5"/>
        <v>Cal 4</v>
      </c>
      <c r="U4" s="7" t="str">
        <f t="shared" si="5"/>
        <v>x 10</v>
      </c>
      <c r="V4" s="7" t="str">
        <f t="shared" si="6"/>
        <v>10.11.2023</v>
      </c>
      <c r="W4" s="7">
        <f t="shared" si="6"/>
        <v>1</v>
      </c>
      <c r="X4" s="7">
        <f t="shared" si="7"/>
        <v>10</v>
      </c>
      <c r="Y4" s="9">
        <f t="shared" si="8"/>
        <v>4.1870000000000003</v>
      </c>
      <c r="Z4" s="9">
        <f t="shared" si="8"/>
        <v>0.96020000000000005</v>
      </c>
      <c r="AA4" s="23">
        <f t="shared" si="8"/>
        <v>10</v>
      </c>
      <c r="AF4" t="s">
        <v>100</v>
      </c>
      <c r="AG4" s="9">
        <v>2.4319820964512641E-3</v>
      </c>
      <c r="AH4" s="9">
        <v>2.285718182633753E-2</v>
      </c>
      <c r="AI4" t="s">
        <v>101</v>
      </c>
    </row>
    <row r="5" spans="1:35" x14ac:dyDescent="0.25">
      <c r="A5" s="7" t="s">
        <v>37</v>
      </c>
      <c r="B5" s="7" t="s">
        <v>35</v>
      </c>
      <c r="C5" s="7"/>
      <c r="D5" s="7"/>
      <c r="E5" s="7"/>
      <c r="F5" s="7" t="s">
        <v>29</v>
      </c>
      <c r="G5" s="7">
        <v>1</v>
      </c>
      <c r="H5" s="8">
        <v>4.1870000000000003</v>
      </c>
      <c r="I5" s="9">
        <v>0.96020000000000005</v>
      </c>
      <c r="J5" s="9">
        <v>10</v>
      </c>
      <c r="K5" s="9">
        <f t="shared" si="9"/>
        <v>9.7407066315978383</v>
      </c>
      <c r="L5" s="9">
        <v>9.7161000000000008</v>
      </c>
      <c r="M5" s="7">
        <v>10</v>
      </c>
      <c r="N5" s="9"/>
      <c r="O5" s="9"/>
      <c r="P5" s="7" t="s">
        <v>36</v>
      </c>
      <c r="T5" s="11" t="str">
        <f t="shared" si="5"/>
        <v>Cal 5</v>
      </c>
      <c r="U5" s="7" t="str">
        <f t="shared" si="5"/>
        <v>x 20</v>
      </c>
      <c r="V5" s="7" t="str">
        <f t="shared" si="6"/>
        <v>10.11.2023</v>
      </c>
      <c r="W5" s="7">
        <f t="shared" si="6"/>
        <v>1</v>
      </c>
      <c r="X5" s="7">
        <f t="shared" si="7"/>
        <v>20</v>
      </c>
      <c r="Y5" s="9">
        <f t="shared" si="8"/>
        <v>4.1829999999999998</v>
      </c>
      <c r="Z5" s="9">
        <f t="shared" si="8"/>
        <v>0.4708</v>
      </c>
      <c r="AA5" s="23">
        <f t="shared" si="8"/>
        <v>5</v>
      </c>
      <c r="AF5" t="s">
        <v>102</v>
      </c>
      <c r="AG5" s="9">
        <v>0.99778910563360768</v>
      </c>
      <c r="AH5" s="9">
        <v>4.1367531730230306E-2</v>
      </c>
      <c r="AI5" t="s">
        <v>103</v>
      </c>
    </row>
    <row r="6" spans="1:35" x14ac:dyDescent="0.25">
      <c r="A6" s="7" t="s">
        <v>40</v>
      </c>
      <c r="B6" s="7" t="s">
        <v>38</v>
      </c>
      <c r="C6" s="7"/>
      <c r="D6" s="7"/>
      <c r="E6" s="7"/>
      <c r="F6" s="7" t="s">
        <v>29</v>
      </c>
      <c r="G6" s="7">
        <v>1</v>
      </c>
      <c r="H6" s="8">
        <v>4.1829999999999998</v>
      </c>
      <c r="I6" s="9">
        <v>0.4708</v>
      </c>
      <c r="J6" s="9">
        <v>5</v>
      </c>
      <c r="K6" s="9">
        <f t="shared" si="9"/>
        <v>5.0044174230658154</v>
      </c>
      <c r="L6" s="9">
        <v>4.9687999999999999</v>
      </c>
      <c r="M6" s="7">
        <v>20</v>
      </c>
      <c r="N6" s="9"/>
      <c r="O6" s="9"/>
      <c r="P6" s="7" t="s">
        <v>39</v>
      </c>
      <c r="T6" s="11" t="str">
        <f t="shared" si="5"/>
        <v>Cal 6</v>
      </c>
      <c r="U6" s="7" t="str">
        <f t="shared" si="5"/>
        <v>x 50</v>
      </c>
      <c r="V6" s="7" t="str">
        <f t="shared" si="6"/>
        <v>10.11.2023</v>
      </c>
      <c r="W6" s="7">
        <f t="shared" si="6"/>
        <v>1</v>
      </c>
      <c r="X6" s="7">
        <f t="shared" si="7"/>
        <v>50</v>
      </c>
      <c r="Y6" s="9">
        <f t="shared" si="8"/>
        <v>4.1829999999999998</v>
      </c>
      <c r="Z6" s="9">
        <f t="shared" si="8"/>
        <v>0.18360000000000001</v>
      </c>
      <c r="AA6" s="23">
        <f t="shared" si="8"/>
        <v>2</v>
      </c>
      <c r="AF6" t="s">
        <v>104</v>
      </c>
      <c r="AG6" s="9">
        <v>1805.2225756254379</v>
      </c>
      <c r="AH6" s="9">
        <v>4</v>
      </c>
      <c r="AI6" t="s">
        <v>105</v>
      </c>
    </row>
    <row r="7" spans="1:35" x14ac:dyDescent="0.25">
      <c r="A7" s="7" t="s">
        <v>43</v>
      </c>
      <c r="B7" s="7" t="s">
        <v>41</v>
      </c>
      <c r="C7" s="7"/>
      <c r="D7" s="7"/>
      <c r="E7" s="7"/>
      <c r="F7" s="7" t="s">
        <v>29</v>
      </c>
      <c r="G7" s="7">
        <v>1</v>
      </c>
      <c r="H7" s="8">
        <v>4.1829999999999998</v>
      </c>
      <c r="I7" s="9">
        <v>0.18360000000000001</v>
      </c>
      <c r="J7" s="9">
        <v>2</v>
      </c>
      <c r="K7" s="9">
        <f t="shared" si="9"/>
        <v>2.2249685863465727</v>
      </c>
      <c r="L7" s="9">
        <v>2.1838000000000002</v>
      </c>
      <c r="M7" s="7">
        <v>50</v>
      </c>
      <c r="N7" s="9"/>
      <c r="O7" s="9"/>
      <c r="P7" s="7" t="s">
        <v>42</v>
      </c>
      <c r="T7" s="23">
        <f t="shared" si="5"/>
        <v>1</v>
      </c>
      <c r="U7" s="7" t="str">
        <f t="shared" si="5"/>
        <v>x 100</v>
      </c>
      <c r="V7" s="7" t="str">
        <f t="shared" si="6"/>
        <v>10.11.2023</v>
      </c>
      <c r="W7" s="7">
        <f t="shared" si="6"/>
        <v>1</v>
      </c>
      <c r="X7" s="7">
        <f t="shared" si="7"/>
        <v>100</v>
      </c>
      <c r="Y7" s="9">
        <f t="shared" si="8"/>
        <v>0</v>
      </c>
      <c r="Z7" s="9">
        <f t="shared" si="8"/>
        <v>0</v>
      </c>
      <c r="AA7" s="23">
        <f t="shared" si="8"/>
        <v>1</v>
      </c>
      <c r="AF7" t="s">
        <v>106</v>
      </c>
      <c r="AG7" s="9">
        <v>3.0892280776075269</v>
      </c>
      <c r="AH7" s="9">
        <v>6.8450907258064443E-3</v>
      </c>
      <c r="AI7" t="s">
        <v>107</v>
      </c>
    </row>
    <row r="8" spans="1:35" x14ac:dyDescent="0.25">
      <c r="A8" s="7">
        <v>1</v>
      </c>
      <c r="B8" s="7" t="s">
        <v>44</v>
      </c>
      <c r="C8" s="7"/>
      <c r="D8" s="7"/>
      <c r="E8" s="7"/>
      <c r="F8" s="7" t="s">
        <v>29</v>
      </c>
      <c r="G8" s="7">
        <v>1</v>
      </c>
      <c r="H8" s="8">
        <v>0</v>
      </c>
      <c r="I8" s="9">
        <v>0</v>
      </c>
      <c r="J8" s="9">
        <v>1</v>
      </c>
      <c r="K8" s="9">
        <f t="shared" si="9"/>
        <v>0.44813430214861671</v>
      </c>
      <c r="L8" s="9">
        <v>0</v>
      </c>
      <c r="M8" s="7">
        <v>100</v>
      </c>
      <c r="N8" s="9"/>
      <c r="O8" s="9"/>
      <c r="P8" s="7" t="s">
        <v>45</v>
      </c>
      <c r="S8" s="5"/>
    </row>
    <row r="9" spans="1:35" x14ac:dyDescent="0.25">
      <c r="A9" s="7">
        <v>2</v>
      </c>
      <c r="B9" s="7" t="s">
        <v>46</v>
      </c>
      <c r="C9" s="7"/>
      <c r="D9" s="7"/>
      <c r="E9" s="7"/>
      <c r="F9" s="7" t="s">
        <v>29</v>
      </c>
      <c r="G9" s="7">
        <v>1</v>
      </c>
      <c r="H9" s="8" t="s">
        <v>150</v>
      </c>
      <c r="I9" s="9" t="s">
        <v>150</v>
      </c>
      <c r="J9" s="9"/>
      <c r="K9" s="9" t="str">
        <f t="shared" si="9"/>
        <v>NA</v>
      </c>
      <c r="L9" s="9" t="s">
        <v>150</v>
      </c>
      <c r="M9" s="7">
        <v>0</v>
      </c>
      <c r="N9" s="9"/>
      <c r="O9" s="9"/>
      <c r="P9" s="7" t="s">
        <v>30</v>
      </c>
    </row>
    <row r="10" spans="1:35" x14ac:dyDescent="0.25">
      <c r="A10" s="7">
        <v>3</v>
      </c>
      <c r="B10" s="7" t="s">
        <v>47</v>
      </c>
      <c r="C10" s="7"/>
      <c r="D10" s="7"/>
      <c r="E10" s="7"/>
      <c r="F10" s="7" t="s">
        <v>29</v>
      </c>
      <c r="G10" s="7">
        <v>1</v>
      </c>
      <c r="H10" s="8">
        <v>4.1870000000000003</v>
      </c>
      <c r="I10" s="9">
        <v>0.3453</v>
      </c>
      <c r="J10" s="9"/>
      <c r="K10" s="9">
        <f t="shared" si="9"/>
        <v>3.7898602189980406</v>
      </c>
      <c r="L10" s="9">
        <v>3.7519</v>
      </c>
      <c r="M10" s="7">
        <v>20</v>
      </c>
      <c r="N10" s="9"/>
      <c r="O10" s="9"/>
      <c r="P10" s="7" t="s">
        <v>48</v>
      </c>
    </row>
    <row r="11" spans="1:35" x14ac:dyDescent="0.25">
      <c r="A11" s="7">
        <v>4</v>
      </c>
      <c r="B11" s="7" t="s">
        <v>151</v>
      </c>
      <c r="C11" s="7">
        <v>0</v>
      </c>
      <c r="D11" s="7">
        <v>50</v>
      </c>
      <c r="E11" s="7" t="s">
        <v>75</v>
      </c>
      <c r="F11" s="7" t="s">
        <v>29</v>
      </c>
      <c r="G11" s="7">
        <v>1</v>
      </c>
      <c r="H11" s="8" t="str">
        <f>IFERROR(AVERAGE(AA36:AA38), "NA")</f>
        <v>NA</v>
      </c>
      <c r="I11" s="9" t="str">
        <f>IFERROR(Y47, "NA")</f>
        <v>NA</v>
      </c>
      <c r="J11" s="9"/>
      <c r="K11" s="9" t="str">
        <f>IFERROR(Y48, "NA")</f>
        <v>NA</v>
      </c>
      <c r="L11" s="9" t="str">
        <f>IFERROR(Y49, "NA")</f>
        <v>NA</v>
      </c>
      <c r="M11" s="7">
        <v>10</v>
      </c>
      <c r="N11" s="9" t="str">
        <f>IF(H11="NA", "NA",M11*K11)</f>
        <v>NA</v>
      </c>
      <c r="O11" s="9" t="str">
        <f>IF(H11="NA", "NA",M11*L11)</f>
        <v>NA</v>
      </c>
      <c r="P11" s="7" t="s">
        <v>154</v>
      </c>
      <c r="S11" s="5" t="s">
        <v>108</v>
      </c>
      <c r="T11" s="13"/>
      <c r="U11" s="14" t="s">
        <v>109</v>
      </c>
      <c r="V11" s="15" t="s">
        <v>110</v>
      </c>
    </row>
    <row r="12" spans="1:35" x14ac:dyDescent="0.25">
      <c r="A12" s="7">
        <v>7</v>
      </c>
      <c r="B12" s="7" t="s">
        <v>58</v>
      </c>
      <c r="C12" s="7">
        <v>0</v>
      </c>
      <c r="D12" s="7">
        <v>70</v>
      </c>
      <c r="E12" s="7" t="s">
        <v>59</v>
      </c>
      <c r="F12" s="7" t="s">
        <v>29</v>
      </c>
      <c r="G12" s="7">
        <v>1</v>
      </c>
      <c r="H12" s="8" t="s">
        <v>150</v>
      </c>
      <c r="I12" s="9" t="s">
        <v>150</v>
      </c>
      <c r="J12" s="9"/>
      <c r="K12" s="9" t="str">
        <f>IF(H12="NA", "NA", ((I12-($AH$3))/$AG$3))</f>
        <v>NA</v>
      </c>
      <c r="L12" s="9" t="s">
        <v>150</v>
      </c>
      <c r="M12" s="7">
        <v>10</v>
      </c>
      <c r="N12" s="9" t="str">
        <f t="shared" ref="N12:N16" si="10">IF(H12="NA", "NA",M12*K12)</f>
        <v>NA</v>
      </c>
      <c r="O12" s="9" t="str">
        <f t="shared" ref="O12:O15" si="11">IF(H12="NA", "NA",M12*L12)</f>
        <v>NA</v>
      </c>
      <c r="P12" s="7" t="s">
        <v>60</v>
      </c>
      <c r="T12" s="19" t="s">
        <v>111</v>
      </c>
      <c r="U12" s="9" t="e">
        <f xml:space="preserve"> AVERAGE(I9,I19)+3*STDEV(I9,I19)</f>
        <v>#DIV/0!</v>
      </c>
      <c r="V12" s="9" t="e">
        <f xml:space="preserve"> AVERAGE((I9,I19))+10*STDEV(I9,I19)</f>
        <v>#DIV/0!</v>
      </c>
    </row>
    <row r="13" spans="1:35" x14ac:dyDescent="0.25">
      <c r="A13" s="7">
        <v>8</v>
      </c>
      <c r="B13" s="7" t="s">
        <v>152</v>
      </c>
      <c r="C13" s="7">
        <v>20</v>
      </c>
      <c r="D13" s="7">
        <v>60</v>
      </c>
      <c r="E13" s="7" t="s">
        <v>59</v>
      </c>
      <c r="F13" s="7" t="s">
        <v>29</v>
      </c>
      <c r="G13" s="7">
        <v>1</v>
      </c>
      <c r="H13" s="8" t="str">
        <f>IFERROR(AVERAGE(AA39:AA41), "NA")</f>
        <v>NA</v>
      </c>
      <c r="I13" s="9" t="str">
        <f>IFERROR(Y50, "NA")</f>
        <v>NA</v>
      </c>
      <c r="J13" s="9"/>
      <c r="K13" s="9" t="str">
        <f>IFERROR(Y51, "NA")</f>
        <v>NA</v>
      </c>
      <c r="L13" s="9" t="str">
        <f>IFERROR(Y52, "NA")</f>
        <v>NA</v>
      </c>
      <c r="M13" s="7">
        <v>10</v>
      </c>
      <c r="N13" s="9" t="str">
        <f t="shared" si="10"/>
        <v>NA</v>
      </c>
      <c r="O13" s="9" t="str">
        <f t="shared" si="11"/>
        <v>NA</v>
      </c>
      <c r="P13" s="7" t="s">
        <v>155</v>
      </c>
      <c r="T13" s="19" t="s">
        <v>112</v>
      </c>
      <c r="U13" s="9" t="e">
        <f xml:space="preserve"> AVERAGE(K9,K19)+3*STDEV(K9,K19)</f>
        <v>#DIV/0!</v>
      </c>
      <c r="V13" s="9" t="e">
        <f xml:space="preserve"> AVERAGE(K9,K19)+10*STDEV(K9,K19)</f>
        <v>#DIV/0!</v>
      </c>
    </row>
    <row r="14" spans="1:35" x14ac:dyDescent="0.25">
      <c r="A14" s="7">
        <v>11</v>
      </c>
      <c r="B14" s="7" t="s">
        <v>70</v>
      </c>
      <c r="C14" s="7">
        <v>20</v>
      </c>
      <c r="D14" s="7">
        <v>70</v>
      </c>
      <c r="E14" s="7" t="s">
        <v>59</v>
      </c>
      <c r="F14" s="7" t="s">
        <v>29</v>
      </c>
      <c r="G14" s="7">
        <v>1</v>
      </c>
      <c r="H14" s="8" t="s">
        <v>150</v>
      </c>
      <c r="I14" s="9" t="s">
        <v>150</v>
      </c>
      <c r="J14" s="9"/>
      <c r="K14" s="9" t="str">
        <f t="shared" ref="K14:K19" si="12">IF(H14="NA", "NA", ((I14-($AH$3))/$AG$3))</f>
        <v>NA</v>
      </c>
      <c r="L14" s="9" t="s">
        <v>150</v>
      </c>
      <c r="M14" s="7">
        <v>10</v>
      </c>
      <c r="N14" s="9" t="str">
        <f t="shared" si="10"/>
        <v>NA</v>
      </c>
      <c r="O14" s="9" t="str">
        <f t="shared" si="11"/>
        <v>NA</v>
      </c>
      <c r="P14" s="7" t="s">
        <v>71</v>
      </c>
      <c r="T14" s="19" t="s">
        <v>113</v>
      </c>
      <c r="U14" s="9" t="e">
        <f xml:space="preserve"> AVERAGE(L9,L19)+3*STDEV(L9,L19)</f>
        <v>#DIV/0!</v>
      </c>
      <c r="V14" s="9" t="e">
        <f xml:space="preserve"> AVERAGE(L9,L19)+10*STDEV(L9,L19)</f>
        <v>#DIV/0!</v>
      </c>
    </row>
    <row r="15" spans="1:35" x14ac:dyDescent="0.25">
      <c r="A15" s="7">
        <v>12</v>
      </c>
      <c r="B15" s="7" t="s">
        <v>72</v>
      </c>
      <c r="C15" s="7">
        <v>20</v>
      </c>
      <c r="D15" s="7">
        <v>80</v>
      </c>
      <c r="E15" s="7" t="s">
        <v>59</v>
      </c>
      <c r="F15" s="7" t="s">
        <v>29</v>
      </c>
      <c r="G15" s="7">
        <v>1</v>
      </c>
      <c r="H15" s="8" t="s">
        <v>150</v>
      </c>
      <c r="I15" s="9" t="s">
        <v>150</v>
      </c>
      <c r="J15" s="9"/>
      <c r="K15" s="9" t="str">
        <f t="shared" si="12"/>
        <v>NA</v>
      </c>
      <c r="L15" s="9" t="s">
        <v>150</v>
      </c>
      <c r="M15" s="7">
        <v>10</v>
      </c>
      <c r="N15" s="9" t="str">
        <f t="shared" si="10"/>
        <v>NA</v>
      </c>
      <c r="O15" s="9" t="str">
        <f t="shared" si="11"/>
        <v>NA</v>
      </c>
      <c r="P15" s="7" t="s">
        <v>73</v>
      </c>
    </row>
    <row r="16" spans="1:35" x14ac:dyDescent="0.25">
      <c r="A16" s="7">
        <v>13</v>
      </c>
      <c r="B16" s="7" t="s">
        <v>74</v>
      </c>
      <c r="C16" s="7">
        <v>20</v>
      </c>
      <c r="D16" s="7">
        <v>90</v>
      </c>
      <c r="E16" s="7" t="s">
        <v>75</v>
      </c>
      <c r="F16" s="7" t="s">
        <v>29</v>
      </c>
      <c r="G16" s="7">
        <v>1</v>
      </c>
      <c r="H16" s="8" t="s">
        <v>150</v>
      </c>
      <c r="I16" s="9" t="s">
        <v>150</v>
      </c>
      <c r="J16" s="9"/>
      <c r="K16" s="9" t="str">
        <f t="shared" si="12"/>
        <v>NA</v>
      </c>
      <c r="L16" s="9" t="s">
        <v>150</v>
      </c>
      <c r="M16" s="7">
        <v>10</v>
      </c>
      <c r="N16" s="9" t="str">
        <f t="shared" si="10"/>
        <v>NA</v>
      </c>
      <c r="O16" s="9" t="str">
        <f>IF(H16="NA", "NA",M16*L16)</f>
        <v>NA</v>
      </c>
      <c r="P16" s="7" t="s">
        <v>76</v>
      </c>
      <c r="S16" s="5" t="s">
        <v>114</v>
      </c>
      <c r="T16" s="6"/>
      <c r="U16" s="2" t="s">
        <v>115</v>
      </c>
      <c r="V16" s="2" t="s">
        <v>116</v>
      </c>
      <c r="W16" s="2" t="s">
        <v>117</v>
      </c>
      <c r="X16" s="2" t="s">
        <v>118</v>
      </c>
      <c r="Y16" s="6" t="s">
        <v>119</v>
      </c>
      <c r="Z16" s="2" t="s">
        <v>120</v>
      </c>
      <c r="AA16" s="2" t="s">
        <v>121</v>
      </c>
      <c r="AB16" s="2" t="s">
        <v>122</v>
      </c>
      <c r="AC16" s="2" t="s">
        <v>123</v>
      </c>
      <c r="AD16" s="2" t="s">
        <v>124</v>
      </c>
    </row>
    <row r="17" spans="1:30" x14ac:dyDescent="0.25">
      <c r="A17" s="7">
        <v>14</v>
      </c>
      <c r="B17" s="7" t="s">
        <v>77</v>
      </c>
      <c r="C17" s="7"/>
      <c r="D17" s="7"/>
      <c r="E17" s="7"/>
      <c r="F17" s="7" t="s">
        <v>29</v>
      </c>
      <c r="G17" s="7">
        <v>1</v>
      </c>
      <c r="H17" s="8" t="s">
        <v>150</v>
      </c>
      <c r="I17" s="9" t="s">
        <v>150</v>
      </c>
      <c r="J17" s="9"/>
      <c r="K17" s="9" t="str">
        <f t="shared" si="12"/>
        <v>NA</v>
      </c>
      <c r="L17" s="9" t="s">
        <v>150</v>
      </c>
      <c r="M17" s="7">
        <v>0</v>
      </c>
      <c r="N17" s="9"/>
      <c r="O17" s="9"/>
      <c r="P17" s="7" t="s">
        <v>78</v>
      </c>
      <c r="T17" s="19" t="s">
        <v>125</v>
      </c>
      <c r="U17" s="8">
        <f>AVERAGE(H4:H7, H9:H19)</f>
        <v>4.1850000000000005</v>
      </c>
      <c r="V17" s="8">
        <f>MEDIAN(H4:H7, H9:H19)</f>
        <v>4.1850000000000005</v>
      </c>
      <c r="W17" s="8">
        <f>STDEV(H4:H7, H9:H19)</f>
        <v>2.1908902300209095E-3</v>
      </c>
      <c r="X17" s="8">
        <f>W17/U17*100</f>
        <v>5.2351021027978714E-2</v>
      </c>
      <c r="Y17" s="8">
        <f>VAR(H4:H7, H9:H19)</f>
        <v>4.8000000000010738E-6</v>
      </c>
      <c r="Z17" s="8">
        <f>MAX(H4:H7, H9:H19)</f>
        <v>4.1870000000000003</v>
      </c>
      <c r="AA17" s="8">
        <f>MIN(H4:H7, H9:H19)</f>
        <v>4.1829999999999998</v>
      </c>
      <c r="AB17" s="8">
        <f>Z17-AA17</f>
        <v>4.0000000000004476E-3</v>
      </c>
      <c r="AC17" s="8">
        <f>COUNT(H4:H7, H9:H19)</f>
        <v>6</v>
      </c>
      <c r="AD17" s="8">
        <f>W17/SQRT(AC17)</f>
        <v>8.9442719100001598E-4</v>
      </c>
    </row>
    <row r="18" spans="1:30" x14ac:dyDescent="0.25">
      <c r="A18" s="7">
        <v>15</v>
      </c>
      <c r="B18" s="7" t="s">
        <v>47</v>
      </c>
      <c r="C18" s="7"/>
      <c r="D18" s="7"/>
      <c r="E18" s="7"/>
      <c r="F18" s="7" t="s">
        <v>29</v>
      </c>
      <c r="G18" s="7">
        <v>1</v>
      </c>
      <c r="H18" s="8">
        <v>4.1829999999999998</v>
      </c>
      <c r="I18" s="9">
        <v>0.34889999999999999</v>
      </c>
      <c r="J18" s="9"/>
      <c r="K18" s="9">
        <f t="shared" si="12"/>
        <v>3.8247001069234905</v>
      </c>
      <c r="L18" s="9">
        <v>3.7866</v>
      </c>
      <c r="M18" s="7">
        <v>20</v>
      </c>
      <c r="N18" s="9"/>
      <c r="O18" s="9"/>
      <c r="P18" s="7" t="s">
        <v>48</v>
      </c>
      <c r="T18" s="19" t="s">
        <v>126</v>
      </c>
      <c r="U18" s="9">
        <f>AVERAGE(I10,I18)</f>
        <v>0.34709999999999996</v>
      </c>
      <c r="V18" s="9">
        <f>MEDIAN(I10,I18)</f>
        <v>0.34709999999999996</v>
      </c>
      <c r="W18" s="9">
        <f>STDEV(I10,I18)</f>
        <v>2.5455844122715655E-3</v>
      </c>
      <c r="X18" s="9">
        <f>W18/U18*100</f>
        <v>0.73338646276910557</v>
      </c>
      <c r="Y18" s="9">
        <f>VAR(I10,I18)</f>
        <v>6.4799999999999718E-6</v>
      </c>
      <c r="Z18" s="9">
        <f>MAX(I10,I18)</f>
        <v>0.34889999999999999</v>
      </c>
      <c r="AA18" s="9">
        <f>MIN(I10,I18)</f>
        <v>0.3453</v>
      </c>
      <c r="AB18" s="9">
        <f>Z18-AA18</f>
        <v>3.5999999999999921E-3</v>
      </c>
      <c r="AC18" s="9">
        <f>COUNT(I10,I18)</f>
        <v>2</v>
      </c>
      <c r="AD18" s="9">
        <f>W18/SQRT(AC18)</f>
        <v>1.7999999999999958E-3</v>
      </c>
    </row>
    <row r="19" spans="1:30" x14ac:dyDescent="0.25">
      <c r="A19" s="7">
        <v>16</v>
      </c>
      <c r="B19" s="7" t="s">
        <v>28</v>
      </c>
      <c r="C19" s="7"/>
      <c r="D19" s="7"/>
      <c r="E19" s="7"/>
      <c r="F19" s="7" t="s">
        <v>29</v>
      </c>
      <c r="G19" s="7">
        <v>1</v>
      </c>
      <c r="H19" s="8" t="s">
        <v>150</v>
      </c>
      <c r="I19" s="9" t="s">
        <v>150</v>
      </c>
      <c r="J19" s="9"/>
      <c r="K19" s="9" t="str">
        <f t="shared" si="12"/>
        <v>NA</v>
      </c>
      <c r="L19" s="9" t="s">
        <v>150</v>
      </c>
      <c r="M19" s="7">
        <v>0</v>
      </c>
      <c r="N19" s="9"/>
      <c r="O19" s="9"/>
      <c r="P19" s="7" t="s">
        <v>30</v>
      </c>
      <c r="T19" s="19" t="s">
        <v>127</v>
      </c>
      <c r="U19" s="9">
        <f>AVERAGE(K10,K18)</f>
        <v>3.8072801629607653</v>
      </c>
      <c r="V19" s="9">
        <f>MEDIAN(K10,K18)</f>
        <v>3.8072801629607653</v>
      </c>
      <c r="W19" s="9">
        <f>STDEV(K10,K18)</f>
        <v>2.4635521007864942E-2</v>
      </c>
      <c r="X19" s="9">
        <f>W19/U19*100</f>
        <v>0.64706351918969129</v>
      </c>
      <c r="Y19" s="9">
        <f>VAR(K10,K18)</f>
        <v>6.0690889532895483E-4</v>
      </c>
      <c r="Z19" s="9">
        <f>MAX(K10,K18)</f>
        <v>3.8247001069234905</v>
      </c>
      <c r="AA19" s="9">
        <f>MIN(K10,K18)</f>
        <v>3.7898602189980406</v>
      </c>
      <c r="AB19" s="9">
        <f>Z19-AA19</f>
        <v>3.4839887925449897E-2</v>
      </c>
      <c r="AC19" s="9">
        <f>COUNT(K10,K18)</f>
        <v>2</v>
      </c>
      <c r="AD19" s="9">
        <f>W19/SQRT(AC19)</f>
        <v>1.7419943962724949E-2</v>
      </c>
    </row>
    <row r="20" spans="1:30" x14ac:dyDescent="0.25">
      <c r="H20"/>
      <c r="I20"/>
      <c r="K20"/>
      <c r="L20"/>
      <c r="N20"/>
      <c r="T20" s="19" t="s">
        <v>128</v>
      </c>
      <c r="U20" s="9">
        <f>AVERAGE(L10,L18)</f>
        <v>3.76925</v>
      </c>
      <c r="V20" s="9">
        <f>MEDIAN(L10,L18)</f>
        <v>3.76925</v>
      </c>
      <c r="W20" s="9">
        <f>STDEV(L10,L18)</f>
        <v>2.4536605307173165E-2</v>
      </c>
      <c r="X20" s="9">
        <f>W20/U20*100</f>
        <v>0.65096783994622709</v>
      </c>
      <c r="Y20" s="9">
        <f>VAR(L10,L18)</f>
        <v>6.0204499999999832E-4</v>
      </c>
      <c r="Z20" s="9">
        <f>MAX(L10,L18)</f>
        <v>3.7866</v>
      </c>
      <c r="AA20" s="9">
        <f>MIN(L10,L18)</f>
        <v>3.7519</v>
      </c>
      <c r="AB20" s="9">
        <f>Z20-AA20</f>
        <v>3.4699999999999953E-2</v>
      </c>
      <c r="AC20" s="9">
        <f>COUNT(L10,L18)</f>
        <v>2</v>
      </c>
      <c r="AD20" s="9">
        <f>W20/SQRT(AC20)</f>
        <v>1.7349999999999973E-2</v>
      </c>
    </row>
    <row r="21" spans="1:30" x14ac:dyDescent="0.25">
      <c r="H21"/>
      <c r="I21"/>
      <c r="K21"/>
      <c r="L21"/>
      <c r="N21"/>
      <c r="T21" s="19" t="s">
        <v>129</v>
      </c>
      <c r="U21" s="9" t="e">
        <f>AVERAGE(I9,I19)</f>
        <v>#DIV/0!</v>
      </c>
      <c r="V21" s="9" t="e">
        <f>MEDIAN(I9,I19)</f>
        <v>#NUM!</v>
      </c>
      <c r="W21" s="9" t="e">
        <f>STDEV(I9,I19)</f>
        <v>#DIV/0!</v>
      </c>
      <c r="X21" s="9" t="e">
        <f t="shared" ref="X21:X23" si="13">W21/U21*100</f>
        <v>#DIV/0!</v>
      </c>
      <c r="Y21" s="9" t="e">
        <f>VAR(I9,I19)</f>
        <v>#DIV/0!</v>
      </c>
      <c r="Z21" s="9">
        <f>MAX(I9,I19)</f>
        <v>0</v>
      </c>
      <c r="AA21" s="9">
        <f>MIN(I9,I19)</f>
        <v>0</v>
      </c>
      <c r="AB21" s="9">
        <f t="shared" ref="AB21:AB23" si="14">Z21-AA21</f>
        <v>0</v>
      </c>
      <c r="AC21" s="9">
        <f>COUNT(I9,I19)</f>
        <v>0</v>
      </c>
      <c r="AD21" s="9" t="e">
        <f t="shared" ref="AD21:AD23" si="15">W21/SQRT(AC21)</f>
        <v>#DIV/0!</v>
      </c>
    </row>
    <row r="22" spans="1:30" x14ac:dyDescent="0.25">
      <c r="H22"/>
      <c r="I22"/>
      <c r="K22"/>
      <c r="L22"/>
      <c r="N22"/>
      <c r="T22" s="19" t="s">
        <v>130</v>
      </c>
      <c r="U22" s="9" t="e">
        <f>AVERAGE(K9,K19)</f>
        <v>#DIV/0!</v>
      </c>
      <c r="V22" s="9" t="e">
        <f>MEDIAN(K9,K19)</f>
        <v>#NUM!</v>
      </c>
      <c r="W22" s="9" t="e">
        <f>STDEV(K9,K19)</f>
        <v>#DIV/0!</v>
      </c>
      <c r="X22" s="9" t="e">
        <f t="shared" si="13"/>
        <v>#DIV/0!</v>
      </c>
      <c r="Y22" s="9" t="e">
        <f>VAR(K9,K19)</f>
        <v>#DIV/0!</v>
      </c>
      <c r="Z22" s="9">
        <f>MAX(K9,K19)</f>
        <v>0</v>
      </c>
      <c r="AA22" s="9">
        <f>MIN(K9,K19)</f>
        <v>0</v>
      </c>
      <c r="AB22" s="9">
        <f t="shared" si="14"/>
        <v>0</v>
      </c>
      <c r="AC22" s="9">
        <f>COUNT(K9,K19)</f>
        <v>0</v>
      </c>
      <c r="AD22" s="9" t="e">
        <f t="shared" si="15"/>
        <v>#DIV/0!</v>
      </c>
    </row>
    <row r="23" spans="1:30" x14ac:dyDescent="0.25">
      <c r="H23"/>
      <c r="I23"/>
      <c r="K23"/>
      <c r="L23"/>
      <c r="N23"/>
      <c r="T23" s="19" t="s">
        <v>131</v>
      </c>
      <c r="U23" s="9" t="e">
        <f>AVERAGE(L9,L19)</f>
        <v>#DIV/0!</v>
      </c>
      <c r="V23" s="9" t="e">
        <f>MEDIAN(L9,L19)</f>
        <v>#NUM!</v>
      </c>
      <c r="W23" s="9" t="e">
        <f>STDEV(L9,L19)</f>
        <v>#DIV/0!</v>
      </c>
      <c r="X23" s="9" t="e">
        <f t="shared" si="13"/>
        <v>#DIV/0!</v>
      </c>
      <c r="Y23" s="9" t="e">
        <f>VAR(L9,L19)</f>
        <v>#DIV/0!</v>
      </c>
      <c r="Z23" s="9">
        <f>MAX(L9,L19)</f>
        <v>0</v>
      </c>
      <c r="AA23" s="9">
        <f>MIN(L9,L19)</f>
        <v>0</v>
      </c>
      <c r="AB23" s="9">
        <f t="shared" si="14"/>
        <v>0</v>
      </c>
      <c r="AC23" s="9">
        <f>COUNT(L9,L19)</f>
        <v>0</v>
      </c>
      <c r="AD23" s="9" t="e">
        <f t="shared" si="15"/>
        <v>#DIV/0!</v>
      </c>
    </row>
    <row r="24" spans="1:30" x14ac:dyDescent="0.25">
      <c r="H24"/>
      <c r="I24"/>
      <c r="K24"/>
      <c r="L24"/>
      <c r="N24"/>
    </row>
    <row r="25" spans="1:30" x14ac:dyDescent="0.25">
      <c r="H25"/>
      <c r="I25"/>
      <c r="K25"/>
      <c r="L25"/>
      <c r="N25"/>
      <c r="T25" s="20"/>
    </row>
    <row r="26" spans="1:30" x14ac:dyDescent="0.25">
      <c r="H26"/>
      <c r="I26"/>
      <c r="K26"/>
      <c r="L26"/>
      <c r="N26"/>
      <c r="T26" s="10"/>
      <c r="U26" s="2" t="s">
        <v>132</v>
      </c>
      <c r="V26" s="2" t="s">
        <v>133</v>
      </c>
      <c r="W26" s="2" t="s">
        <v>134</v>
      </c>
      <c r="X26" s="2" t="s">
        <v>135</v>
      </c>
      <c r="Y26" s="2" t="s">
        <v>136</v>
      </c>
      <c r="Z26" s="2" t="s">
        <v>137</v>
      </c>
      <c r="AA26" s="2" t="s">
        <v>138</v>
      </c>
    </row>
    <row r="27" spans="1:30" ht="45" x14ac:dyDescent="0.25">
      <c r="H27"/>
      <c r="I27"/>
      <c r="K27"/>
      <c r="L27"/>
      <c r="N27"/>
      <c r="T27" s="21" t="s">
        <v>139</v>
      </c>
      <c r="U27" s="22">
        <f>K6</f>
        <v>5.0044174230658154</v>
      </c>
      <c r="V27" s="22">
        <f>L6</f>
        <v>4.9687999999999999</v>
      </c>
      <c r="W27" s="23">
        <v>102</v>
      </c>
      <c r="X27" s="23">
        <v>1</v>
      </c>
      <c r="Y27" s="22">
        <f>W27/(20)</f>
        <v>5.0999999999999996</v>
      </c>
      <c r="Z27" s="22">
        <f>V27/Y27 *100</f>
        <v>97.427450980392166</v>
      </c>
      <c r="AA27" s="22">
        <f>U27/Y27 *100</f>
        <v>98.125831824819926</v>
      </c>
    </row>
    <row r="28" spans="1:30" ht="45" x14ac:dyDescent="0.25">
      <c r="H28"/>
      <c r="I28"/>
      <c r="K28"/>
      <c r="L28"/>
      <c r="N28"/>
      <c r="T28" s="21" t="s">
        <v>140</v>
      </c>
      <c r="U28" s="22">
        <f>U19</f>
        <v>3.8072801629607653</v>
      </c>
      <c r="V28" s="22">
        <f>U20</f>
        <v>3.76925</v>
      </c>
      <c r="W28" s="23">
        <v>100</v>
      </c>
      <c r="X28" s="23">
        <v>1</v>
      </c>
      <c r="Y28" s="22">
        <f>W28/(20)</f>
        <v>5</v>
      </c>
      <c r="Z28" s="22">
        <f>V28/Y28 *100</f>
        <v>75.385000000000005</v>
      </c>
      <c r="AA28" s="22">
        <f>U28/Y28 *100</f>
        <v>76.145603259215306</v>
      </c>
    </row>
    <row r="29" spans="1:30" x14ac:dyDescent="0.25">
      <c r="H29"/>
      <c r="I29"/>
      <c r="K29"/>
      <c r="L29"/>
      <c r="N29"/>
    </row>
    <row r="30" spans="1:30" x14ac:dyDescent="0.25">
      <c r="H30"/>
      <c r="I30"/>
      <c r="K30"/>
      <c r="L30"/>
      <c r="N30"/>
    </row>
    <row r="31" spans="1:30" x14ac:dyDescent="0.25">
      <c r="H31"/>
      <c r="I31"/>
      <c r="K31"/>
      <c r="L31"/>
      <c r="N31"/>
      <c r="T31" s="7"/>
      <c r="U31" s="2" t="s">
        <v>141</v>
      </c>
      <c r="V31" s="2" t="s">
        <v>142</v>
      </c>
      <c r="W31" s="2" t="s">
        <v>143</v>
      </c>
      <c r="X31" s="2" t="s">
        <v>144</v>
      </c>
      <c r="Y31" s="2" t="s">
        <v>145</v>
      </c>
      <c r="Z31" s="2" t="s">
        <v>146</v>
      </c>
      <c r="AA31" s="2" t="s">
        <v>147</v>
      </c>
      <c r="AB31" s="2" t="s">
        <v>137</v>
      </c>
      <c r="AC31" s="2" t="s">
        <v>138</v>
      </c>
    </row>
    <row r="32" spans="1:30" x14ac:dyDescent="0.25">
      <c r="H32"/>
      <c r="I32"/>
      <c r="K32"/>
      <c r="L32"/>
      <c r="N32"/>
      <c r="T32" s="19" t="s">
        <v>148</v>
      </c>
      <c r="U32" s="9">
        <f>I6</f>
        <v>0.4708</v>
      </c>
      <c r="V32" s="9">
        <f>U18</f>
        <v>0.34709999999999996</v>
      </c>
      <c r="W32" s="9">
        <f>K6</f>
        <v>5.0044174230658154</v>
      </c>
      <c r="X32" s="9">
        <f>L6</f>
        <v>4.9687999999999999</v>
      </c>
      <c r="Y32" s="9">
        <f>U19</f>
        <v>3.8072801629607653</v>
      </c>
      <c r="Z32" s="9">
        <f>U20</f>
        <v>3.76925</v>
      </c>
      <c r="AA32" s="9">
        <f>U32/V32 *100</f>
        <v>135.63814462690868</v>
      </c>
      <c r="AB32" s="9">
        <f>W32/Y32 *100</f>
        <v>131.44337187873469</v>
      </c>
      <c r="AC32" s="9">
        <f>X32/Z32 *100</f>
        <v>131.82463354778801</v>
      </c>
    </row>
    <row r="35" spans="19:34" x14ac:dyDescent="0.25">
      <c r="S35" s="5" t="s">
        <v>149</v>
      </c>
      <c r="T35" s="2" t="s">
        <v>13</v>
      </c>
      <c r="U35" s="2" t="s">
        <v>14</v>
      </c>
      <c r="V35" s="2" t="s">
        <v>15</v>
      </c>
      <c r="W35" s="2" t="s">
        <v>16</v>
      </c>
      <c r="X35" s="2" t="s">
        <v>17</v>
      </c>
      <c r="Y35" s="2" t="s">
        <v>18</v>
      </c>
      <c r="Z35" s="2" t="s">
        <v>19</v>
      </c>
      <c r="AA35" s="3" t="s">
        <v>21</v>
      </c>
      <c r="AB35" s="3" t="s">
        <v>22</v>
      </c>
      <c r="AC35" s="3" t="s">
        <v>157</v>
      </c>
      <c r="AD35" s="3" t="s">
        <v>158</v>
      </c>
    </row>
    <row r="36" spans="19:34" x14ac:dyDescent="0.25">
      <c r="T36" s="7">
        <v>4</v>
      </c>
      <c r="U36" s="7" t="s">
        <v>49</v>
      </c>
      <c r="V36" s="7">
        <v>0</v>
      </c>
      <c r="W36" s="7">
        <v>50</v>
      </c>
      <c r="X36" s="7" t="s">
        <v>50</v>
      </c>
      <c r="Y36" s="7" t="s">
        <v>29</v>
      </c>
      <c r="Z36" s="7">
        <v>1</v>
      </c>
      <c r="AA36" s="7" t="s">
        <v>150</v>
      </c>
      <c r="AB36" s="7" t="s">
        <v>150</v>
      </c>
      <c r="AC36" s="9" t="str">
        <f>IF(AA36="NA", "NA", ((AB36-($AH$3))/$AG$3))</f>
        <v>NA</v>
      </c>
      <c r="AD36" s="7" t="s">
        <v>150</v>
      </c>
    </row>
    <row r="37" spans="19:34" x14ac:dyDescent="0.25">
      <c r="T37" s="7">
        <v>5</v>
      </c>
      <c r="U37" s="7" t="s">
        <v>52</v>
      </c>
      <c r="V37" s="7">
        <v>0</v>
      </c>
      <c r="W37" s="7">
        <v>50</v>
      </c>
      <c r="X37" s="7" t="s">
        <v>53</v>
      </c>
      <c r="Y37" s="7" t="s">
        <v>95</v>
      </c>
      <c r="Z37" s="7">
        <v>1</v>
      </c>
      <c r="AA37" s="7" t="s">
        <v>150</v>
      </c>
      <c r="AB37" s="7" t="s">
        <v>150</v>
      </c>
      <c r="AC37" s="9" t="str">
        <f t="shared" ref="AC37:AC41" si="16">IF(AA37="NA", "NA", ((AB37-($AH$3))/$AG$3))</f>
        <v>NA</v>
      </c>
      <c r="AD37" s="7" t="s">
        <v>150</v>
      </c>
    </row>
    <row r="38" spans="19:34" x14ac:dyDescent="0.25">
      <c r="T38" s="7">
        <v>6</v>
      </c>
      <c r="U38" s="7" t="s">
        <v>55</v>
      </c>
      <c r="V38" s="7">
        <v>0</v>
      </c>
      <c r="W38" s="7">
        <v>50</v>
      </c>
      <c r="X38" s="7" t="s">
        <v>56</v>
      </c>
      <c r="Y38" s="7" t="s">
        <v>95</v>
      </c>
      <c r="Z38" s="7">
        <v>1</v>
      </c>
      <c r="AA38" s="7" t="s">
        <v>150</v>
      </c>
      <c r="AB38" s="7" t="s">
        <v>150</v>
      </c>
      <c r="AC38" s="9" t="str">
        <f t="shared" si="16"/>
        <v>NA</v>
      </c>
      <c r="AD38" s="7" t="s">
        <v>150</v>
      </c>
    </row>
    <row r="39" spans="19:34" x14ac:dyDescent="0.25">
      <c r="T39" s="7">
        <v>8</v>
      </c>
      <c r="U39" s="7" t="s">
        <v>61</v>
      </c>
      <c r="V39" s="7">
        <v>20</v>
      </c>
      <c r="W39" s="7">
        <v>60</v>
      </c>
      <c r="X39" s="7" t="s">
        <v>62</v>
      </c>
      <c r="Y39" s="7" t="s">
        <v>95</v>
      </c>
      <c r="Z39" s="7">
        <v>1</v>
      </c>
      <c r="AA39" s="7" t="s">
        <v>150</v>
      </c>
      <c r="AB39" s="7" t="s">
        <v>150</v>
      </c>
      <c r="AC39" s="9" t="str">
        <f t="shared" si="16"/>
        <v>NA</v>
      </c>
      <c r="AD39" s="7" t="s">
        <v>150</v>
      </c>
    </row>
    <row r="40" spans="19:34" x14ac:dyDescent="0.25">
      <c r="T40" s="7">
        <v>9</v>
      </c>
      <c r="U40" s="7" t="s">
        <v>64</v>
      </c>
      <c r="V40" s="7">
        <v>20</v>
      </c>
      <c r="W40" s="7">
        <v>60</v>
      </c>
      <c r="X40" s="7" t="s">
        <v>65</v>
      </c>
      <c r="Y40" s="7" t="s">
        <v>95</v>
      </c>
      <c r="Z40" s="7">
        <v>1</v>
      </c>
      <c r="AA40" s="7" t="s">
        <v>150</v>
      </c>
      <c r="AB40" s="7" t="s">
        <v>150</v>
      </c>
      <c r="AC40" s="9" t="str">
        <f t="shared" si="16"/>
        <v>NA</v>
      </c>
      <c r="AD40" s="7" t="s">
        <v>150</v>
      </c>
    </row>
    <row r="41" spans="19:34" x14ac:dyDescent="0.25">
      <c r="T41" s="7">
        <v>10</v>
      </c>
      <c r="U41" s="7" t="s">
        <v>67</v>
      </c>
      <c r="V41" s="7">
        <v>20</v>
      </c>
      <c r="W41" s="7">
        <v>60</v>
      </c>
      <c r="X41" s="7" t="s">
        <v>68</v>
      </c>
      <c r="Y41" s="7" t="s">
        <v>95</v>
      </c>
      <c r="Z41" s="7">
        <v>1</v>
      </c>
      <c r="AA41" s="7" t="s">
        <v>150</v>
      </c>
      <c r="AB41" s="7" t="s">
        <v>150</v>
      </c>
      <c r="AC41" s="9" t="str">
        <f t="shared" si="16"/>
        <v>NA</v>
      </c>
      <c r="AD41" s="7" t="s">
        <v>150</v>
      </c>
    </row>
    <row r="46" spans="19:34" x14ac:dyDescent="0.25">
      <c r="T46" s="6"/>
      <c r="U46" s="2" t="s">
        <v>14</v>
      </c>
      <c r="V46" s="2" t="s">
        <v>15</v>
      </c>
      <c r="W46" s="2" t="s">
        <v>16</v>
      </c>
      <c r="X46" s="2" t="s">
        <v>17</v>
      </c>
      <c r="Y46" s="2" t="s">
        <v>115</v>
      </c>
      <c r="Z46" s="2" t="s">
        <v>116</v>
      </c>
      <c r="AA46" s="2" t="s">
        <v>117</v>
      </c>
      <c r="AB46" s="2" t="s">
        <v>118</v>
      </c>
      <c r="AC46" s="6" t="s">
        <v>119</v>
      </c>
      <c r="AD46" s="2" t="s">
        <v>120</v>
      </c>
      <c r="AE46" s="2" t="s">
        <v>121</v>
      </c>
      <c r="AF46" s="2" t="s">
        <v>122</v>
      </c>
      <c r="AG46" s="2" t="s">
        <v>123</v>
      </c>
      <c r="AH46" s="2" t="s">
        <v>124</v>
      </c>
    </row>
    <row r="47" spans="19:34" x14ac:dyDescent="0.25">
      <c r="T47" s="3" t="s">
        <v>22</v>
      </c>
      <c r="U47" s="7" t="s">
        <v>49</v>
      </c>
      <c r="V47" s="7">
        <v>0</v>
      </c>
      <c r="W47" s="7">
        <v>50</v>
      </c>
      <c r="X47" s="7" t="s">
        <v>50</v>
      </c>
      <c r="Y47" s="8" t="e">
        <f>AVERAGE(AB36:AB38)</f>
        <v>#DIV/0!</v>
      </c>
      <c r="Z47" s="8" t="e">
        <f>MEDIAN(AB36:AB38)</f>
        <v>#NUM!</v>
      </c>
      <c r="AA47" s="8" t="e">
        <f>STDEV(AB36:AB38)</f>
        <v>#DIV/0!</v>
      </c>
      <c r="AB47" s="8" t="e">
        <f t="shared" ref="AB47:AB52" si="17">AA47/Y47*100</f>
        <v>#DIV/0!</v>
      </c>
      <c r="AC47" s="8" t="e">
        <f>VAR(AB36:AB38)</f>
        <v>#DIV/0!</v>
      </c>
      <c r="AD47" s="8">
        <f>MAX(AB36:AB38)</f>
        <v>0</v>
      </c>
      <c r="AE47" s="8">
        <f>MIN(AB36:AB38)</f>
        <v>0</v>
      </c>
      <c r="AF47" s="8">
        <f t="shared" ref="AF47:AF52" si="18">AD47-AE47</f>
        <v>0</v>
      </c>
      <c r="AG47" s="8">
        <f>COUNT(AB36:AB38)</f>
        <v>0</v>
      </c>
      <c r="AH47" s="8" t="e">
        <f t="shared" ref="AH47:AH52" si="19">AA47/SQRT(AG47)</f>
        <v>#DIV/0!</v>
      </c>
    </row>
    <row r="48" spans="19:34" x14ac:dyDescent="0.25">
      <c r="T48" s="3" t="s">
        <v>157</v>
      </c>
      <c r="U48" s="7" t="s">
        <v>52</v>
      </c>
      <c r="V48" s="7">
        <v>0</v>
      </c>
      <c r="W48" s="7">
        <v>50</v>
      </c>
      <c r="X48" s="7" t="s">
        <v>53</v>
      </c>
      <c r="Y48" s="9" t="e">
        <f>AVERAGE(AC36:AC38)</f>
        <v>#DIV/0!</v>
      </c>
      <c r="Z48" s="9" t="e">
        <f>MEDIAN(AC36:AC38)</f>
        <v>#NUM!</v>
      </c>
      <c r="AA48" s="9" t="e">
        <f>STDEV(AC36:AC38)</f>
        <v>#DIV/0!</v>
      </c>
      <c r="AB48" s="9" t="e">
        <f t="shared" si="17"/>
        <v>#DIV/0!</v>
      </c>
      <c r="AC48" s="9" t="e">
        <f>VAR(AC36:AC38)</f>
        <v>#DIV/0!</v>
      </c>
      <c r="AD48" s="9">
        <f>MAX(AC36:AC38)</f>
        <v>0</v>
      </c>
      <c r="AE48" s="9">
        <f>MIN(AC36:AC38)</f>
        <v>0</v>
      </c>
      <c r="AF48" s="9">
        <f t="shared" si="18"/>
        <v>0</v>
      </c>
      <c r="AG48" s="9">
        <f>COUNT(AC36:AC38)</f>
        <v>0</v>
      </c>
      <c r="AH48" s="9" t="e">
        <f t="shared" si="19"/>
        <v>#DIV/0!</v>
      </c>
    </row>
    <row r="49" spans="20:34" x14ac:dyDescent="0.25">
      <c r="T49" s="3" t="s">
        <v>158</v>
      </c>
      <c r="U49" s="7" t="s">
        <v>55</v>
      </c>
      <c r="V49" s="7">
        <v>0</v>
      </c>
      <c r="W49" s="7">
        <v>50</v>
      </c>
      <c r="X49" s="7" t="s">
        <v>56</v>
      </c>
      <c r="Y49" s="9" t="e">
        <f>AVERAGE(AD36:AD38)</f>
        <v>#DIV/0!</v>
      </c>
      <c r="Z49" s="9" t="e">
        <f>MEDIAN(AD36:AD38)</f>
        <v>#NUM!</v>
      </c>
      <c r="AA49" s="9" t="e">
        <f>STDEV(AD36:AD38)</f>
        <v>#DIV/0!</v>
      </c>
      <c r="AB49" s="9" t="e">
        <f t="shared" si="17"/>
        <v>#DIV/0!</v>
      </c>
      <c r="AC49" s="9" t="e">
        <f>VAR(AD36:AD38)</f>
        <v>#DIV/0!</v>
      </c>
      <c r="AD49" s="9">
        <f>MAX(AD36:AD38)</f>
        <v>0</v>
      </c>
      <c r="AE49" s="9">
        <f>MIN(AD36:AD38)</f>
        <v>0</v>
      </c>
      <c r="AF49" s="9">
        <f t="shared" si="18"/>
        <v>0</v>
      </c>
      <c r="AG49" s="9">
        <f>COUNT(AD36:AD38)</f>
        <v>0</v>
      </c>
      <c r="AH49" s="9" t="e">
        <f t="shared" si="19"/>
        <v>#DIV/0!</v>
      </c>
    </row>
    <row r="50" spans="20:34" x14ac:dyDescent="0.25">
      <c r="T50" s="3" t="s">
        <v>22</v>
      </c>
      <c r="U50" s="7" t="s">
        <v>61</v>
      </c>
      <c r="V50" s="7">
        <v>20</v>
      </c>
      <c r="W50" s="7">
        <v>60</v>
      </c>
      <c r="X50" s="7" t="s">
        <v>62</v>
      </c>
      <c r="Y50" s="8" t="e">
        <f>AVERAGE(AB39:AB41)</f>
        <v>#DIV/0!</v>
      </c>
      <c r="Z50" s="8" t="e">
        <f>MEDIAN(AB39:AB41)</f>
        <v>#NUM!</v>
      </c>
      <c r="AA50" s="8" t="e">
        <f>STDEV(AB39:AB41)</f>
        <v>#DIV/0!</v>
      </c>
      <c r="AB50" s="8" t="e">
        <f t="shared" si="17"/>
        <v>#DIV/0!</v>
      </c>
      <c r="AC50" s="8" t="e">
        <f>VAR(AB39:AB41)</f>
        <v>#DIV/0!</v>
      </c>
      <c r="AD50" s="8">
        <f>MAX(AB39:AB41)</f>
        <v>0</v>
      </c>
      <c r="AE50" s="8">
        <f>MIN(AB39:AB41)</f>
        <v>0</v>
      </c>
      <c r="AF50" s="8">
        <f t="shared" si="18"/>
        <v>0</v>
      </c>
      <c r="AG50" s="8">
        <f>COUNT(AB39:AB41)</f>
        <v>0</v>
      </c>
      <c r="AH50" s="8" t="e">
        <f t="shared" si="19"/>
        <v>#DIV/0!</v>
      </c>
    </row>
    <row r="51" spans="20:34" x14ac:dyDescent="0.25">
      <c r="T51" s="3" t="s">
        <v>157</v>
      </c>
      <c r="U51" s="7" t="s">
        <v>64</v>
      </c>
      <c r="V51" s="7">
        <v>20</v>
      </c>
      <c r="W51" s="7">
        <v>60</v>
      </c>
      <c r="X51" s="7" t="s">
        <v>65</v>
      </c>
      <c r="Y51" s="9" t="e">
        <f>AVERAGE(AC39:AC41)</f>
        <v>#DIV/0!</v>
      </c>
      <c r="Z51" s="9" t="e">
        <f>MEDIAN(AC39:AC41)</f>
        <v>#NUM!</v>
      </c>
      <c r="AA51" s="9" t="e">
        <f>STDEV(AC39:AC41)</f>
        <v>#DIV/0!</v>
      </c>
      <c r="AB51" s="9" t="e">
        <f t="shared" si="17"/>
        <v>#DIV/0!</v>
      </c>
      <c r="AC51" s="9" t="e">
        <f>VAR(AC39:AC41)</f>
        <v>#DIV/0!</v>
      </c>
      <c r="AD51" s="9">
        <f>MAX(AC39:AC41)</f>
        <v>0</v>
      </c>
      <c r="AE51" s="9">
        <f>MIN(AC39:AC41)</f>
        <v>0</v>
      </c>
      <c r="AF51" s="9">
        <f t="shared" si="18"/>
        <v>0</v>
      </c>
      <c r="AG51" s="9">
        <f>COUNT(AC39:AC41)</f>
        <v>0</v>
      </c>
      <c r="AH51" s="9" t="e">
        <f t="shared" si="19"/>
        <v>#DIV/0!</v>
      </c>
    </row>
    <row r="52" spans="20:34" x14ac:dyDescent="0.25">
      <c r="T52" s="3" t="s">
        <v>158</v>
      </c>
      <c r="U52" s="7" t="s">
        <v>67</v>
      </c>
      <c r="V52" s="7">
        <v>20</v>
      </c>
      <c r="W52" s="7">
        <v>60</v>
      </c>
      <c r="X52" s="7" t="s">
        <v>68</v>
      </c>
      <c r="Y52" s="9" t="e">
        <f>AVERAGE(AD39:AD41)</f>
        <v>#DIV/0!</v>
      </c>
      <c r="Z52" s="9" t="e">
        <f>MEDIAN(AD39:AD41)</f>
        <v>#NUM!</v>
      </c>
      <c r="AA52" s="9" t="e">
        <f>STDEV(AD39:AD41)</f>
        <v>#DIV/0!</v>
      </c>
      <c r="AB52" s="9" t="e">
        <f t="shared" si="17"/>
        <v>#DIV/0!</v>
      </c>
      <c r="AC52" s="9" t="e">
        <f>VAR(AD39:AD41)</f>
        <v>#DIV/0!</v>
      </c>
      <c r="AD52" s="9">
        <f>MAX(AD39:AD41)</f>
        <v>0</v>
      </c>
      <c r="AE52" s="9">
        <f>MIN(AD39:AD41)</f>
        <v>0</v>
      </c>
      <c r="AF52" s="9">
        <f t="shared" si="18"/>
        <v>0</v>
      </c>
      <c r="AG52" s="9">
        <f>COUNT(AD39:AD41)</f>
        <v>0</v>
      </c>
      <c r="AH52" s="9" t="e">
        <f t="shared" si="19"/>
        <v>#DIV/0!</v>
      </c>
    </row>
  </sheetData>
  <conditionalFormatting sqref="I2:I19">
    <cfRule type="cellIs" dxfId="53" priority="3" operator="lessThan">
      <formula>$U$12</formula>
    </cfRule>
    <cfRule type="cellIs" dxfId="52" priority="4" operator="lessThan">
      <formula>$V$12</formula>
    </cfRule>
  </conditionalFormatting>
  <conditionalFormatting sqref="K1:K19">
    <cfRule type="cellIs" dxfId="51" priority="1" operator="lessThan">
      <formula>$U$13</formula>
    </cfRule>
    <cfRule type="cellIs" dxfId="50" priority="2" operator="lessThan">
      <formula>$V$13</formula>
    </cfRule>
  </conditionalFormatting>
  <conditionalFormatting sqref="L1:L19">
    <cfRule type="cellIs" dxfId="49" priority="5" operator="lessThan">
      <formula>$U$14</formula>
    </cfRule>
    <cfRule type="cellIs" dxfId="48" priority="6" operator="lessThan">
      <formula>$V$14</formula>
    </cfRule>
  </conditionalFormatting>
  <conditionalFormatting sqref="T48">
    <cfRule type="cellIs" dxfId="47" priority="21" operator="lessThan">
      <formula>$U$13</formula>
    </cfRule>
    <cfRule type="cellIs" dxfId="46" priority="22" operator="lessThan">
      <formula>$V$13</formula>
    </cfRule>
  </conditionalFormatting>
  <conditionalFormatting sqref="T49">
    <cfRule type="cellIs" dxfId="45" priority="19" operator="lessThan">
      <formula>$U$14</formula>
    </cfRule>
    <cfRule type="cellIs" dxfId="44" priority="20" operator="lessThan">
      <formula>$V$14</formula>
    </cfRule>
  </conditionalFormatting>
  <conditionalFormatting sqref="T51">
    <cfRule type="cellIs" dxfId="43" priority="17" operator="lessThan">
      <formula>$U$13</formula>
    </cfRule>
    <cfRule type="cellIs" dxfId="42" priority="18" operator="lessThan">
      <formula>$V$13</formula>
    </cfRule>
  </conditionalFormatting>
  <conditionalFormatting sqref="T52">
    <cfRule type="cellIs" dxfId="41" priority="15" operator="lessThan">
      <formula>$U$14</formula>
    </cfRule>
    <cfRule type="cellIs" dxfId="40" priority="16" operator="lessThan">
      <formula>$V$14</formula>
    </cfRule>
  </conditionalFormatting>
  <conditionalFormatting sqref="AC35">
    <cfRule type="cellIs" dxfId="39" priority="23" operator="lessThan">
      <formula>$U$13</formula>
    </cfRule>
    <cfRule type="cellIs" dxfId="38" priority="24" operator="lessThan">
      <formula>$V$13</formula>
    </cfRule>
  </conditionalFormatting>
  <conditionalFormatting sqref="AD35">
    <cfRule type="cellIs" dxfId="37" priority="25" operator="lessThan">
      <formula>$U$14</formula>
    </cfRule>
    <cfRule type="cellIs" dxfId="36" priority="26" operator="lessThan">
      <formula>$V$14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24A4-C512-4E68-B9D0-599720D36A13}">
  <dimension ref="A1:O25"/>
  <sheetViews>
    <sheetView workbookViewId="0">
      <selection activeCell="B26" sqref="B26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83</v>
      </c>
      <c r="L1" t="s">
        <v>84</v>
      </c>
      <c r="M1" t="s">
        <v>85</v>
      </c>
      <c r="N1" t="s">
        <v>26</v>
      </c>
    </row>
    <row r="2" spans="1:15" x14ac:dyDescent="0.25">
      <c r="A2" t="s">
        <v>27</v>
      </c>
      <c r="B2" t="s">
        <v>28</v>
      </c>
      <c r="F2" t="s">
        <v>29</v>
      </c>
      <c r="G2">
        <v>1</v>
      </c>
      <c r="H2">
        <v>0</v>
      </c>
      <c r="I2" t="s">
        <v>80</v>
      </c>
      <c r="J2" t="s">
        <v>80</v>
      </c>
      <c r="K2">
        <v>0</v>
      </c>
      <c r="L2" t="e">
        <f t="shared" ref="L2:L8" si="0">(J2+$B$25)/$B$24</f>
        <v>#VALUE!</v>
      </c>
      <c r="M2" t="e">
        <f>H2*L2</f>
        <v>#VALUE!</v>
      </c>
      <c r="N2" t="s">
        <v>30</v>
      </c>
    </row>
    <row r="3" spans="1:15" x14ac:dyDescent="0.25">
      <c r="A3" t="s">
        <v>31</v>
      </c>
      <c r="B3" t="s">
        <v>32</v>
      </c>
      <c r="F3" t="s">
        <v>29</v>
      </c>
      <c r="G3">
        <v>1</v>
      </c>
      <c r="H3">
        <v>5</v>
      </c>
      <c r="I3">
        <v>4.75</v>
      </c>
      <c r="J3">
        <v>1.4892000000000001</v>
      </c>
      <c r="K3">
        <v>20</v>
      </c>
      <c r="L3">
        <f>(J3+$B$25)/$B$24</f>
        <v>19.952893674293406</v>
      </c>
      <c r="M3">
        <f t="shared" ref="M3:M22" si="1">H3*L3</f>
        <v>99.764468371467032</v>
      </c>
      <c r="N3" t="s">
        <v>33</v>
      </c>
    </row>
    <row r="4" spans="1:15" x14ac:dyDescent="0.25">
      <c r="A4" t="s">
        <v>34</v>
      </c>
      <c r="B4" t="s">
        <v>35</v>
      </c>
      <c r="F4" t="s">
        <v>29</v>
      </c>
      <c r="G4">
        <v>1</v>
      </c>
      <c r="H4">
        <v>10</v>
      </c>
      <c r="I4">
        <v>4.7530000000000001</v>
      </c>
      <c r="J4">
        <v>0.75570000000000004</v>
      </c>
      <c r="K4">
        <v>10</v>
      </c>
      <c r="L4">
        <f t="shared" si="0"/>
        <v>10.080753701211306</v>
      </c>
      <c r="M4">
        <f t="shared" si="1"/>
        <v>100.80753701211306</v>
      </c>
      <c r="N4" t="s">
        <v>36</v>
      </c>
    </row>
    <row r="5" spans="1:15" x14ac:dyDescent="0.25">
      <c r="A5" t="s">
        <v>37</v>
      </c>
      <c r="B5" t="s">
        <v>38</v>
      </c>
      <c r="F5" t="s">
        <v>29</v>
      </c>
      <c r="G5">
        <v>1</v>
      </c>
      <c r="H5">
        <v>20</v>
      </c>
      <c r="I5">
        <v>4.7530000000000001</v>
      </c>
      <c r="J5">
        <v>0.37880000000000003</v>
      </c>
      <c r="K5">
        <v>5</v>
      </c>
      <c r="L5">
        <f t="shared" si="0"/>
        <v>5.0080753701211309</v>
      </c>
      <c r="M5">
        <f t="shared" si="1"/>
        <v>100.16150740242261</v>
      </c>
      <c r="N5" t="s">
        <v>39</v>
      </c>
    </row>
    <row r="6" spans="1:15" x14ac:dyDescent="0.25">
      <c r="A6" t="s">
        <v>40</v>
      </c>
      <c r="B6" t="s">
        <v>41</v>
      </c>
      <c r="F6" t="s">
        <v>29</v>
      </c>
      <c r="G6">
        <v>1</v>
      </c>
      <c r="H6">
        <v>50</v>
      </c>
      <c r="I6">
        <v>4.7569999999999997</v>
      </c>
      <c r="J6">
        <v>0.1749</v>
      </c>
      <c r="K6">
        <v>2</v>
      </c>
      <c r="L6">
        <f t="shared" si="0"/>
        <v>2.2637954239569309</v>
      </c>
      <c r="M6">
        <f t="shared" si="1"/>
        <v>113.18977119784654</v>
      </c>
      <c r="N6" t="s">
        <v>42</v>
      </c>
    </row>
    <row r="7" spans="1:15" x14ac:dyDescent="0.25">
      <c r="A7" t="s">
        <v>43</v>
      </c>
      <c r="B7" t="s">
        <v>44</v>
      </c>
      <c r="F7" t="s">
        <v>29</v>
      </c>
      <c r="G7">
        <v>1</v>
      </c>
      <c r="H7">
        <v>100</v>
      </c>
      <c r="I7">
        <v>4.76</v>
      </c>
      <c r="J7">
        <v>6.6100000000000006E-2</v>
      </c>
      <c r="K7">
        <v>1</v>
      </c>
      <c r="L7">
        <f t="shared" si="0"/>
        <v>0.79946164199192471</v>
      </c>
      <c r="M7">
        <f t="shared" si="1"/>
        <v>79.946164199192467</v>
      </c>
      <c r="N7" t="s">
        <v>45</v>
      </c>
    </row>
    <row r="8" spans="1:15" x14ac:dyDescent="0.25">
      <c r="A8">
        <v>1</v>
      </c>
      <c r="B8" t="s">
        <v>46</v>
      </c>
      <c r="F8" t="s">
        <v>29</v>
      </c>
      <c r="G8">
        <v>1</v>
      </c>
      <c r="H8">
        <v>0</v>
      </c>
      <c r="I8" t="s">
        <v>80</v>
      </c>
      <c r="J8" t="s">
        <v>80</v>
      </c>
      <c r="L8" t="e">
        <f t="shared" si="0"/>
        <v>#VALUE!</v>
      </c>
      <c r="M8" t="e">
        <f t="shared" si="1"/>
        <v>#VALUE!</v>
      </c>
      <c r="N8" t="s">
        <v>30</v>
      </c>
    </row>
    <row r="9" spans="1:15" x14ac:dyDescent="0.25">
      <c r="A9">
        <v>2</v>
      </c>
      <c r="B9" t="s">
        <v>47</v>
      </c>
      <c r="F9" t="s">
        <v>29</v>
      </c>
      <c r="G9">
        <v>1</v>
      </c>
      <c r="H9">
        <v>20</v>
      </c>
      <c r="I9">
        <v>4.7569999999999997</v>
      </c>
      <c r="J9">
        <v>0.42759999999999998</v>
      </c>
      <c r="L9">
        <f>(J9+$B$25)/$B$24</f>
        <v>5.6648721399730819</v>
      </c>
      <c r="M9">
        <f t="shared" si="1"/>
        <v>113.29744279946163</v>
      </c>
      <c r="N9" t="s">
        <v>48</v>
      </c>
    </row>
    <row r="10" spans="1:15" x14ac:dyDescent="0.25">
      <c r="A10">
        <v>3</v>
      </c>
      <c r="B10" t="s">
        <v>49</v>
      </c>
      <c r="C10">
        <v>0</v>
      </c>
      <c r="D10">
        <v>50</v>
      </c>
      <c r="E10" t="s">
        <v>50</v>
      </c>
      <c r="F10" t="s">
        <v>29</v>
      </c>
      <c r="G10">
        <v>1</v>
      </c>
      <c r="H10">
        <v>10</v>
      </c>
      <c r="I10" t="s">
        <v>80</v>
      </c>
      <c r="J10" t="s">
        <v>80</v>
      </c>
      <c r="L10" t="e">
        <f t="shared" ref="L10:L22" si="2">(J10+$B$25)/$B$24</f>
        <v>#VALUE!</v>
      </c>
      <c r="M10" t="e">
        <f t="shared" si="1"/>
        <v>#VALUE!</v>
      </c>
      <c r="N10" t="s">
        <v>51</v>
      </c>
      <c r="O10" t="e">
        <f>AVERAGE(L10:L12)</f>
        <v>#VALUE!</v>
      </c>
    </row>
    <row r="11" spans="1:15" x14ac:dyDescent="0.25">
      <c r="A11">
        <v>4</v>
      </c>
      <c r="B11" t="s">
        <v>52</v>
      </c>
      <c r="C11">
        <v>0</v>
      </c>
      <c r="D11">
        <v>50</v>
      </c>
      <c r="E11" t="s">
        <v>53</v>
      </c>
      <c r="F11" t="s">
        <v>29</v>
      </c>
      <c r="G11">
        <v>1</v>
      </c>
      <c r="H11">
        <v>10</v>
      </c>
      <c r="I11" t="s">
        <v>80</v>
      </c>
      <c r="J11" t="s">
        <v>80</v>
      </c>
      <c r="L11" t="e">
        <f t="shared" si="2"/>
        <v>#VALUE!</v>
      </c>
      <c r="M11" t="e">
        <f t="shared" si="1"/>
        <v>#VALUE!</v>
      </c>
      <c r="N11" t="s">
        <v>54</v>
      </c>
    </row>
    <row r="12" spans="1:15" x14ac:dyDescent="0.25">
      <c r="A12">
        <v>5</v>
      </c>
      <c r="B12" t="s">
        <v>55</v>
      </c>
      <c r="C12">
        <v>0</v>
      </c>
      <c r="D12">
        <v>50</v>
      </c>
      <c r="E12" t="s">
        <v>56</v>
      </c>
      <c r="F12" t="s">
        <v>29</v>
      </c>
      <c r="G12">
        <v>1</v>
      </c>
      <c r="H12">
        <v>10</v>
      </c>
      <c r="I12" t="s">
        <v>80</v>
      </c>
      <c r="J12" t="s">
        <v>80</v>
      </c>
      <c r="L12" t="e">
        <f t="shared" si="2"/>
        <v>#VALUE!</v>
      </c>
      <c r="M12" t="e">
        <f t="shared" si="1"/>
        <v>#VALUE!</v>
      </c>
      <c r="N12" t="s">
        <v>57</v>
      </c>
    </row>
    <row r="13" spans="1:15" x14ac:dyDescent="0.25">
      <c r="A13">
        <v>6</v>
      </c>
      <c r="B13" t="s">
        <v>58</v>
      </c>
      <c r="C13">
        <v>0</v>
      </c>
      <c r="D13">
        <v>70</v>
      </c>
      <c r="E13" t="s">
        <v>59</v>
      </c>
      <c r="F13" t="s">
        <v>29</v>
      </c>
      <c r="G13">
        <v>1</v>
      </c>
      <c r="H13">
        <v>10</v>
      </c>
      <c r="I13" t="s">
        <v>80</v>
      </c>
      <c r="J13" t="s">
        <v>80</v>
      </c>
      <c r="L13" t="e">
        <f t="shared" si="2"/>
        <v>#VALUE!</v>
      </c>
      <c r="M13" t="e">
        <f t="shared" si="1"/>
        <v>#VALUE!</v>
      </c>
      <c r="N13" t="s">
        <v>60</v>
      </c>
    </row>
    <row r="14" spans="1:15" x14ac:dyDescent="0.25">
      <c r="A14">
        <v>7</v>
      </c>
      <c r="B14" t="s">
        <v>61</v>
      </c>
      <c r="C14">
        <v>20</v>
      </c>
      <c r="D14">
        <v>60</v>
      </c>
      <c r="E14" t="s">
        <v>62</v>
      </c>
      <c r="F14" t="s">
        <v>29</v>
      </c>
      <c r="G14">
        <v>1</v>
      </c>
      <c r="H14">
        <v>10</v>
      </c>
      <c r="I14" t="s">
        <v>80</v>
      </c>
      <c r="J14" t="s">
        <v>80</v>
      </c>
      <c r="L14" t="e">
        <f t="shared" si="2"/>
        <v>#VALUE!</v>
      </c>
      <c r="M14" t="e">
        <f t="shared" si="1"/>
        <v>#VALUE!</v>
      </c>
      <c r="N14" t="s">
        <v>63</v>
      </c>
      <c r="O14" t="e">
        <f>AVERAGE(L14:L16)</f>
        <v>#VALUE!</v>
      </c>
    </row>
    <row r="15" spans="1:15" x14ac:dyDescent="0.25">
      <c r="A15">
        <v>8</v>
      </c>
      <c r="B15" t="s">
        <v>64</v>
      </c>
      <c r="C15">
        <v>20</v>
      </c>
      <c r="D15">
        <v>60</v>
      </c>
      <c r="E15" t="s">
        <v>65</v>
      </c>
      <c r="F15" t="s">
        <v>29</v>
      </c>
      <c r="G15">
        <v>1</v>
      </c>
      <c r="H15">
        <v>10</v>
      </c>
      <c r="I15" t="s">
        <v>80</v>
      </c>
      <c r="J15" t="s">
        <v>80</v>
      </c>
      <c r="L15" t="e">
        <f t="shared" si="2"/>
        <v>#VALUE!</v>
      </c>
      <c r="M15" t="e">
        <f t="shared" si="1"/>
        <v>#VALUE!</v>
      </c>
      <c r="N15" t="s">
        <v>66</v>
      </c>
    </row>
    <row r="16" spans="1:15" x14ac:dyDescent="0.25">
      <c r="A16">
        <v>9</v>
      </c>
      <c r="B16" t="s">
        <v>67</v>
      </c>
      <c r="C16">
        <v>20</v>
      </c>
      <c r="D16">
        <v>60</v>
      </c>
      <c r="E16" t="s">
        <v>68</v>
      </c>
      <c r="F16" t="s">
        <v>29</v>
      </c>
      <c r="G16">
        <v>1</v>
      </c>
      <c r="H16">
        <v>10</v>
      </c>
      <c r="I16" t="s">
        <v>80</v>
      </c>
      <c r="J16" t="s">
        <v>80</v>
      </c>
      <c r="L16" t="e">
        <f t="shared" si="2"/>
        <v>#VALUE!</v>
      </c>
      <c r="M16" t="e">
        <f t="shared" si="1"/>
        <v>#VALUE!</v>
      </c>
      <c r="N16" t="s">
        <v>69</v>
      </c>
    </row>
    <row r="17" spans="1:14" x14ac:dyDescent="0.25">
      <c r="A17">
        <v>10</v>
      </c>
      <c r="B17" t="s">
        <v>70</v>
      </c>
      <c r="C17">
        <v>20</v>
      </c>
      <c r="D17">
        <v>70</v>
      </c>
      <c r="E17" t="s">
        <v>59</v>
      </c>
      <c r="F17" t="s">
        <v>29</v>
      </c>
      <c r="G17">
        <v>1</v>
      </c>
      <c r="H17">
        <v>10</v>
      </c>
      <c r="I17" t="s">
        <v>80</v>
      </c>
      <c r="J17" t="s">
        <v>80</v>
      </c>
      <c r="L17" t="e">
        <f t="shared" si="2"/>
        <v>#VALUE!</v>
      </c>
      <c r="M17" t="e">
        <f t="shared" si="1"/>
        <v>#VALUE!</v>
      </c>
      <c r="N17" t="s">
        <v>71</v>
      </c>
    </row>
    <row r="18" spans="1:14" x14ac:dyDescent="0.25">
      <c r="A18">
        <v>11</v>
      </c>
      <c r="B18" t="s">
        <v>72</v>
      </c>
      <c r="C18">
        <v>20</v>
      </c>
      <c r="D18">
        <v>80</v>
      </c>
      <c r="E18" t="s">
        <v>59</v>
      </c>
      <c r="F18" t="s">
        <v>29</v>
      </c>
      <c r="G18">
        <v>1</v>
      </c>
      <c r="H18">
        <v>10</v>
      </c>
      <c r="I18" t="s">
        <v>80</v>
      </c>
      <c r="J18" t="s">
        <v>80</v>
      </c>
      <c r="L18" t="e">
        <f t="shared" si="2"/>
        <v>#VALUE!</v>
      </c>
      <c r="M18" t="e">
        <f t="shared" si="1"/>
        <v>#VALUE!</v>
      </c>
      <c r="N18" t="s">
        <v>73</v>
      </c>
    </row>
    <row r="19" spans="1:14" x14ac:dyDescent="0.25">
      <c r="A19">
        <v>12</v>
      </c>
      <c r="B19" t="s">
        <v>74</v>
      </c>
      <c r="C19">
        <v>20</v>
      </c>
      <c r="D19">
        <v>90</v>
      </c>
      <c r="E19" t="s">
        <v>75</v>
      </c>
      <c r="F19" t="s">
        <v>29</v>
      </c>
      <c r="G19">
        <v>1</v>
      </c>
      <c r="H19">
        <v>10</v>
      </c>
      <c r="I19" t="s">
        <v>80</v>
      </c>
      <c r="J19" t="s">
        <v>80</v>
      </c>
      <c r="L19" t="e">
        <f t="shared" si="2"/>
        <v>#VALUE!</v>
      </c>
      <c r="M19" t="e">
        <f t="shared" si="1"/>
        <v>#VALUE!</v>
      </c>
      <c r="N19" t="s">
        <v>76</v>
      </c>
    </row>
    <row r="20" spans="1:14" x14ac:dyDescent="0.25">
      <c r="A20">
        <v>13</v>
      </c>
      <c r="B20" t="s">
        <v>77</v>
      </c>
      <c r="F20" t="s">
        <v>29</v>
      </c>
      <c r="G20">
        <v>1</v>
      </c>
      <c r="H20">
        <v>0</v>
      </c>
      <c r="I20" t="s">
        <v>80</v>
      </c>
      <c r="J20" t="s">
        <v>80</v>
      </c>
      <c r="L20" t="e">
        <f t="shared" si="2"/>
        <v>#VALUE!</v>
      </c>
      <c r="M20" t="e">
        <f t="shared" si="1"/>
        <v>#VALUE!</v>
      </c>
      <c r="N20" t="s">
        <v>78</v>
      </c>
    </row>
    <row r="21" spans="1:14" x14ac:dyDescent="0.25">
      <c r="A21">
        <v>14</v>
      </c>
      <c r="B21" t="s">
        <v>47</v>
      </c>
      <c r="F21" t="s">
        <v>29</v>
      </c>
      <c r="G21">
        <v>1</v>
      </c>
      <c r="H21">
        <v>20</v>
      </c>
      <c r="I21">
        <v>4.7569999999999997</v>
      </c>
      <c r="J21">
        <v>0.42759999999999998</v>
      </c>
      <c r="K21">
        <v>1</v>
      </c>
      <c r="L21">
        <f t="shared" si="2"/>
        <v>5.6648721399730819</v>
      </c>
      <c r="M21">
        <f t="shared" si="1"/>
        <v>113.29744279946163</v>
      </c>
      <c r="N21" t="s">
        <v>48</v>
      </c>
    </row>
    <row r="22" spans="1:14" x14ac:dyDescent="0.25">
      <c r="A22">
        <v>15</v>
      </c>
      <c r="B22" t="s">
        <v>28</v>
      </c>
      <c r="F22" t="s">
        <v>29</v>
      </c>
      <c r="G22">
        <v>1</v>
      </c>
      <c r="H22">
        <v>0</v>
      </c>
      <c r="I22" t="s">
        <v>80</v>
      </c>
      <c r="J22" t="s">
        <v>80</v>
      </c>
      <c r="K22">
        <v>0</v>
      </c>
      <c r="L22" t="e">
        <f t="shared" si="2"/>
        <v>#VALUE!</v>
      </c>
      <c r="M22" t="e">
        <f t="shared" si="1"/>
        <v>#VALUE!</v>
      </c>
      <c r="N22" t="s">
        <v>30</v>
      </c>
    </row>
    <row r="23" spans="1:14" x14ac:dyDescent="0.25">
      <c r="A23" s="1"/>
    </row>
    <row r="24" spans="1:14" x14ac:dyDescent="0.25">
      <c r="A24" t="s">
        <v>81</v>
      </c>
      <c r="B24">
        <v>7.4300000000000005E-2</v>
      </c>
    </row>
    <row r="25" spans="1:14" x14ac:dyDescent="0.25">
      <c r="A25" t="s">
        <v>82</v>
      </c>
      <c r="B25">
        <v>-6.7000000000000002E-3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B03D-25F3-4824-9343-AFD99BFEDC49}">
  <dimension ref="A1:AI52"/>
  <sheetViews>
    <sheetView topLeftCell="S7" zoomScale="70" zoomScaleNormal="70" workbookViewId="0">
      <selection activeCell="AB47" sqref="AB47"/>
    </sheetView>
  </sheetViews>
  <sheetFormatPr defaultRowHeight="15" x14ac:dyDescent="0.25"/>
  <cols>
    <col min="8" max="8" width="9.140625" style="24"/>
    <col min="9" max="9" width="9.140625" style="25"/>
    <col min="10" max="10" width="9.140625" style="26"/>
    <col min="11" max="11" width="11.7109375" style="25" customWidth="1"/>
    <col min="12" max="12" width="14.85546875" style="25" customWidth="1"/>
    <col min="14" max="14" width="17.28515625" style="25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</cols>
  <sheetData>
    <row r="1" spans="1:35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3" t="s">
        <v>21</v>
      </c>
      <c r="I1" s="3" t="s">
        <v>22</v>
      </c>
      <c r="J1" s="4" t="s">
        <v>162</v>
      </c>
      <c r="K1" s="3" t="s">
        <v>163</v>
      </c>
      <c r="L1" s="3" t="s">
        <v>164</v>
      </c>
      <c r="M1" s="2" t="s">
        <v>20</v>
      </c>
      <c r="N1" s="3" t="s">
        <v>165</v>
      </c>
      <c r="O1" s="3" t="s">
        <v>166</v>
      </c>
      <c r="P1" s="2" t="s">
        <v>26</v>
      </c>
      <c r="S1" s="5" t="s">
        <v>93</v>
      </c>
      <c r="T1" s="6" t="str">
        <f t="shared" ref="T1:U1" si="0">A1</f>
        <v>sample_no</v>
      </c>
      <c r="U1" s="2" t="str">
        <f t="shared" si="0"/>
        <v>sample_id</v>
      </c>
      <c r="V1" s="2" t="str">
        <f t="shared" ref="V1:W1" si="1">F1</f>
        <v>IC_date</v>
      </c>
      <c r="W1" s="2" t="str">
        <f t="shared" si="1"/>
        <v>V_sample_ml</v>
      </c>
      <c r="X1" s="6" t="str">
        <f t="shared" ref="X1" si="2">M1</f>
        <v>dilution_factor</v>
      </c>
      <c r="Y1" s="2" t="str">
        <f t="shared" ref="Y1:AA1" si="3">H1</f>
        <v>ret_time_min</v>
      </c>
      <c r="Z1" s="2" t="str">
        <f t="shared" si="3"/>
        <v>peak_area_usmin</v>
      </c>
      <c r="AA1" s="2" t="str">
        <f t="shared" si="3"/>
        <v>c_Nitrate_ calib_ppm</v>
      </c>
      <c r="AG1" s="5" t="s">
        <v>167</v>
      </c>
    </row>
    <row r="2" spans="1:35" x14ac:dyDescent="0.25">
      <c r="A2" s="16" t="s">
        <v>27</v>
      </c>
      <c r="B2" s="16" t="s">
        <v>150</v>
      </c>
      <c r="C2" s="16"/>
      <c r="D2" s="16"/>
      <c r="E2" s="16"/>
      <c r="F2" s="16" t="s">
        <v>29</v>
      </c>
      <c r="G2" s="16">
        <v>1</v>
      </c>
      <c r="H2" s="17" t="s">
        <v>150</v>
      </c>
      <c r="I2" s="18" t="s">
        <v>150</v>
      </c>
      <c r="J2" s="18">
        <v>0</v>
      </c>
      <c r="K2" s="18" t="str">
        <f t="shared" ref="K2" si="4">IF(H2="NA", "NA", ((I2-($AH$3))/$AG$3))</f>
        <v>NA</v>
      </c>
      <c r="L2" s="18" t="s">
        <v>150</v>
      </c>
      <c r="M2" s="16">
        <v>0</v>
      </c>
      <c r="N2" s="18"/>
      <c r="O2" s="18"/>
      <c r="P2" s="16" t="s">
        <v>153</v>
      </c>
      <c r="T2" s="10" t="str">
        <f t="shared" ref="T2:U7" si="5">A3</f>
        <v>Cal 2</v>
      </c>
      <c r="U2" s="7" t="str">
        <f t="shared" si="5"/>
        <v>Blank</v>
      </c>
      <c r="V2" s="7" t="str">
        <f t="shared" ref="V2:W7" si="6">F3</f>
        <v>10.11.2023</v>
      </c>
      <c r="W2" s="7">
        <f t="shared" si="6"/>
        <v>1</v>
      </c>
      <c r="X2" s="7">
        <f t="shared" ref="X2:X7" si="7">M3</f>
        <v>0</v>
      </c>
      <c r="Y2" s="9">
        <f t="shared" ref="Y2:AA7" si="8">H3</f>
        <v>0</v>
      </c>
      <c r="Z2" s="9">
        <f t="shared" si="8"/>
        <v>0</v>
      </c>
      <c r="AA2" s="23">
        <f t="shared" si="8"/>
        <v>0</v>
      </c>
      <c r="AG2" s="2" t="s">
        <v>96</v>
      </c>
      <c r="AH2" s="2" t="s">
        <v>97</v>
      </c>
    </row>
    <row r="3" spans="1:35" x14ac:dyDescent="0.25">
      <c r="A3" s="7" t="s">
        <v>31</v>
      </c>
      <c r="B3" s="7" t="s">
        <v>28</v>
      </c>
      <c r="C3" s="7"/>
      <c r="D3" s="7"/>
      <c r="E3" s="7"/>
      <c r="F3" s="7" t="s">
        <v>29</v>
      </c>
      <c r="G3" s="7">
        <v>1</v>
      </c>
      <c r="H3" s="8">
        <v>0</v>
      </c>
      <c r="I3" s="9">
        <v>0</v>
      </c>
      <c r="J3" s="9">
        <v>0</v>
      </c>
      <c r="K3" s="9">
        <f>IF(H3="NA", "NA", ((I3-($AH$3))/$AG$3))</f>
        <v>-0.16540396660176765</v>
      </c>
      <c r="L3" s="9" t="s">
        <v>150</v>
      </c>
      <c r="M3" s="7">
        <v>0</v>
      </c>
      <c r="N3" s="9"/>
      <c r="O3" s="9"/>
      <c r="P3" s="7" t="s">
        <v>30</v>
      </c>
      <c r="T3" s="11" t="str">
        <f t="shared" si="5"/>
        <v>Cal 3</v>
      </c>
      <c r="U3" s="7" t="str">
        <f t="shared" si="5"/>
        <v>x 5</v>
      </c>
      <c r="V3" s="7" t="str">
        <f t="shared" si="6"/>
        <v>10.11.2023</v>
      </c>
      <c r="W3" s="7">
        <f t="shared" si="6"/>
        <v>1</v>
      </c>
      <c r="X3" s="7">
        <f t="shared" si="7"/>
        <v>5</v>
      </c>
      <c r="Y3" s="9">
        <f t="shared" si="8"/>
        <v>5.1829999999999998</v>
      </c>
      <c r="Z3" s="9">
        <f t="shared" si="8"/>
        <v>2.0447000000000002</v>
      </c>
      <c r="AA3" s="23">
        <f t="shared" si="8"/>
        <v>20</v>
      </c>
      <c r="AF3" t="s">
        <v>98</v>
      </c>
      <c r="AG3" s="9" cm="1">
        <f t="array" ref="AG3:AH7">LINEST(Z2:Z7,AA2:AA7, TRUE, TRUE)</f>
        <v>0.10249170506912449</v>
      </c>
      <c r="AH3" s="9">
        <v>1.6952534562211685E-2</v>
      </c>
      <c r="AI3" s="12" t="s">
        <v>99</v>
      </c>
    </row>
    <row r="4" spans="1:35" x14ac:dyDescent="0.25">
      <c r="A4" s="7" t="s">
        <v>34</v>
      </c>
      <c r="B4" s="7" t="s">
        <v>32</v>
      </c>
      <c r="C4" s="7"/>
      <c r="D4" s="7"/>
      <c r="E4" s="7"/>
      <c r="F4" s="7" t="s">
        <v>29</v>
      </c>
      <c r="G4" s="7">
        <v>1</v>
      </c>
      <c r="H4" s="8">
        <v>5.1829999999999998</v>
      </c>
      <c r="I4" s="9">
        <v>2.0447000000000002</v>
      </c>
      <c r="J4" s="9">
        <v>20</v>
      </c>
      <c r="K4" s="9">
        <f t="shared" ref="K4:K10" si="9">IF(H4="NA", "NA", ((I4-($AH$3))/$AG$3))</f>
        <v>19.784503185601164</v>
      </c>
      <c r="L4" s="9">
        <v>19.815000000000001</v>
      </c>
      <c r="M4" s="7">
        <v>5</v>
      </c>
      <c r="N4" s="9"/>
      <c r="O4" s="9"/>
      <c r="P4" s="7" t="s">
        <v>33</v>
      </c>
      <c r="T4" s="11" t="str">
        <f t="shared" si="5"/>
        <v>Cal 4</v>
      </c>
      <c r="U4" s="7" t="str">
        <f t="shared" si="5"/>
        <v>x 10</v>
      </c>
      <c r="V4" s="7" t="str">
        <f t="shared" si="6"/>
        <v>10.11.2023</v>
      </c>
      <c r="W4" s="7">
        <f t="shared" si="6"/>
        <v>1</v>
      </c>
      <c r="X4" s="7">
        <f t="shared" si="7"/>
        <v>10</v>
      </c>
      <c r="Y4" s="9">
        <f t="shared" si="8"/>
        <v>5.1870000000000003</v>
      </c>
      <c r="Z4" s="9">
        <f t="shared" si="8"/>
        <v>1.0593999999999999</v>
      </c>
      <c r="AA4" s="23">
        <f t="shared" si="8"/>
        <v>10</v>
      </c>
      <c r="AF4" t="s">
        <v>100</v>
      </c>
      <c r="AG4" s="9">
        <v>2.922043006715102E-3</v>
      </c>
      <c r="AH4" s="9">
        <v>2.7463059208504968E-2</v>
      </c>
      <c r="AI4" t="s">
        <v>101</v>
      </c>
    </row>
    <row r="5" spans="1:35" x14ac:dyDescent="0.25">
      <c r="A5" s="7" t="s">
        <v>37</v>
      </c>
      <c r="B5" s="7" t="s">
        <v>35</v>
      </c>
      <c r="C5" s="7"/>
      <c r="D5" s="7"/>
      <c r="E5" s="7"/>
      <c r="F5" s="7" t="s">
        <v>29</v>
      </c>
      <c r="G5" s="7">
        <v>1</v>
      </c>
      <c r="H5" s="8">
        <v>5.1870000000000003</v>
      </c>
      <c r="I5" s="9">
        <v>1.0593999999999999</v>
      </c>
      <c r="J5" s="9">
        <v>10</v>
      </c>
      <c r="K5" s="9">
        <f t="shared" si="9"/>
        <v>10.171042278345551</v>
      </c>
      <c r="L5" s="9">
        <v>10.151300000000001</v>
      </c>
      <c r="M5" s="7">
        <v>10</v>
      </c>
      <c r="N5" s="9"/>
      <c r="O5" s="9"/>
      <c r="P5" s="7" t="s">
        <v>36</v>
      </c>
      <c r="T5" s="11" t="str">
        <f t="shared" si="5"/>
        <v>Cal 5</v>
      </c>
      <c r="U5" s="7" t="str">
        <f t="shared" si="5"/>
        <v>x 20</v>
      </c>
      <c r="V5" s="7" t="str">
        <f t="shared" si="6"/>
        <v>10.11.2023</v>
      </c>
      <c r="W5" s="7">
        <f t="shared" si="6"/>
        <v>1</v>
      </c>
      <c r="X5" s="7">
        <f t="shared" si="7"/>
        <v>20</v>
      </c>
      <c r="Y5" s="9">
        <f t="shared" si="8"/>
        <v>5.19</v>
      </c>
      <c r="Z5" s="9">
        <f t="shared" si="8"/>
        <v>0.58109999999999995</v>
      </c>
      <c r="AA5" s="23">
        <f t="shared" si="8"/>
        <v>5</v>
      </c>
      <c r="AF5" t="s">
        <v>102</v>
      </c>
      <c r="AG5" s="9">
        <v>0.99675924622824563</v>
      </c>
      <c r="AH5" s="9">
        <v>4.9703370338855982E-2</v>
      </c>
      <c r="AI5" t="s">
        <v>103</v>
      </c>
    </row>
    <row r="6" spans="1:35" x14ac:dyDescent="0.25">
      <c r="A6" s="7" t="s">
        <v>40</v>
      </c>
      <c r="B6" s="7" t="s">
        <v>38</v>
      </c>
      <c r="C6" s="7"/>
      <c r="D6" s="7"/>
      <c r="E6" s="7"/>
      <c r="F6" s="7" t="s">
        <v>29</v>
      </c>
      <c r="G6" s="7">
        <v>1</v>
      </c>
      <c r="H6" s="8">
        <v>5.19</v>
      </c>
      <c r="I6" s="9">
        <v>0.58109999999999995</v>
      </c>
      <c r="J6" s="9">
        <v>5</v>
      </c>
      <c r="K6" s="9">
        <f t="shared" si="9"/>
        <v>5.5043231552963698</v>
      </c>
      <c r="L6" s="9">
        <v>5.4604999999999997</v>
      </c>
      <c r="M6" s="7">
        <v>20</v>
      </c>
      <c r="N6" s="9"/>
      <c r="O6" s="9"/>
      <c r="P6" s="7" t="s">
        <v>39</v>
      </c>
      <c r="T6" s="11" t="str">
        <f t="shared" si="5"/>
        <v>Cal 6</v>
      </c>
      <c r="U6" s="7" t="str">
        <f t="shared" si="5"/>
        <v>x 50</v>
      </c>
      <c r="V6" s="7" t="str">
        <f t="shared" si="6"/>
        <v>10.11.2023</v>
      </c>
      <c r="W6" s="7">
        <f t="shared" si="6"/>
        <v>1</v>
      </c>
      <c r="X6" s="7">
        <f t="shared" si="7"/>
        <v>50</v>
      </c>
      <c r="Y6" s="9">
        <f t="shared" si="8"/>
        <v>5.1929999999999996</v>
      </c>
      <c r="Z6" s="9">
        <f t="shared" si="8"/>
        <v>0.2601</v>
      </c>
      <c r="AA6" s="23">
        <f t="shared" si="8"/>
        <v>2</v>
      </c>
      <c r="AF6" t="s">
        <v>104</v>
      </c>
      <c r="AG6" s="9">
        <v>1230.2807512447018</v>
      </c>
      <c r="AH6" s="9">
        <v>4</v>
      </c>
      <c r="AI6" t="s">
        <v>105</v>
      </c>
    </row>
    <row r="7" spans="1:35" x14ac:dyDescent="0.25">
      <c r="A7" s="7" t="s">
        <v>43</v>
      </c>
      <c r="B7" s="7" t="s">
        <v>41</v>
      </c>
      <c r="C7" s="7"/>
      <c r="D7" s="7"/>
      <c r="E7" s="7"/>
      <c r="F7" s="7" t="s">
        <v>29</v>
      </c>
      <c r="G7" s="7">
        <v>1</v>
      </c>
      <c r="H7" s="8">
        <v>5.1929999999999996</v>
      </c>
      <c r="I7" s="9">
        <v>0.2601</v>
      </c>
      <c r="J7" s="9">
        <v>2</v>
      </c>
      <c r="K7" s="9">
        <f t="shared" si="9"/>
        <v>2.3723623806804657</v>
      </c>
      <c r="L7" s="9">
        <v>2.3119000000000001</v>
      </c>
      <c r="M7" s="7">
        <v>50</v>
      </c>
      <c r="N7" s="9"/>
      <c r="O7" s="9"/>
      <c r="P7" s="7" t="s">
        <v>42</v>
      </c>
      <c r="T7" s="23">
        <f t="shared" si="5"/>
        <v>1</v>
      </c>
      <c r="U7" s="7" t="str">
        <f t="shared" si="5"/>
        <v>x 100</v>
      </c>
      <c r="V7" s="7" t="str">
        <f t="shared" si="6"/>
        <v>10.11.2023</v>
      </c>
      <c r="W7" s="7">
        <f t="shared" si="6"/>
        <v>1</v>
      </c>
      <c r="X7" s="7">
        <f t="shared" si="7"/>
        <v>100</v>
      </c>
      <c r="Y7" s="9">
        <f t="shared" si="8"/>
        <v>5.1970000000000001</v>
      </c>
      <c r="Z7" s="9">
        <f t="shared" si="8"/>
        <v>5.11E-2</v>
      </c>
      <c r="AA7" s="23">
        <f t="shared" si="8"/>
        <v>1</v>
      </c>
      <c r="AF7" t="s">
        <v>106</v>
      </c>
      <c r="AG7" s="9">
        <v>3.0393163532411678</v>
      </c>
      <c r="AH7" s="9">
        <v>9.8817000921658741E-3</v>
      </c>
      <c r="AI7" t="s">
        <v>107</v>
      </c>
    </row>
    <row r="8" spans="1:35" x14ac:dyDescent="0.25">
      <c r="A8" s="7">
        <v>1</v>
      </c>
      <c r="B8" s="7" t="s">
        <v>44</v>
      </c>
      <c r="C8" s="7"/>
      <c r="D8" s="7"/>
      <c r="E8" s="7"/>
      <c r="F8" s="7" t="s">
        <v>29</v>
      </c>
      <c r="G8" s="7">
        <v>1</v>
      </c>
      <c r="H8" s="8">
        <v>5.1970000000000001</v>
      </c>
      <c r="I8" s="9">
        <v>5.11E-2</v>
      </c>
      <c r="J8" s="9">
        <v>1</v>
      </c>
      <c r="K8" s="9">
        <f t="shared" si="9"/>
        <v>0.33317296667820978</v>
      </c>
      <c r="L8" s="9">
        <v>0.26140000000000002</v>
      </c>
      <c r="M8" s="7">
        <v>100</v>
      </c>
      <c r="N8" s="9"/>
      <c r="O8" s="9"/>
      <c r="P8" s="7" t="s">
        <v>45</v>
      </c>
      <c r="S8" s="5"/>
    </row>
    <row r="9" spans="1:35" x14ac:dyDescent="0.25">
      <c r="A9" s="7">
        <v>2</v>
      </c>
      <c r="B9" s="7" t="s">
        <v>46</v>
      </c>
      <c r="C9" s="7"/>
      <c r="D9" s="7"/>
      <c r="E9" s="7"/>
      <c r="F9" s="7" t="s">
        <v>29</v>
      </c>
      <c r="G9" s="7">
        <v>1</v>
      </c>
      <c r="H9" s="8" t="s">
        <v>150</v>
      </c>
      <c r="I9" s="9" t="s">
        <v>150</v>
      </c>
      <c r="J9" s="9"/>
      <c r="K9" s="9" t="str">
        <f t="shared" si="9"/>
        <v>NA</v>
      </c>
      <c r="L9" s="9" t="s">
        <v>150</v>
      </c>
      <c r="M9" s="7">
        <v>0</v>
      </c>
      <c r="N9" s="9"/>
      <c r="O9" s="9"/>
      <c r="P9" s="7" t="s">
        <v>30</v>
      </c>
    </row>
    <row r="10" spans="1:35" x14ac:dyDescent="0.25">
      <c r="A10" s="7">
        <v>3</v>
      </c>
      <c r="B10" s="7" t="s">
        <v>47</v>
      </c>
      <c r="C10" s="7"/>
      <c r="D10" s="7"/>
      <c r="E10" s="7"/>
      <c r="F10" s="7" t="s">
        <v>29</v>
      </c>
      <c r="G10" s="7">
        <v>1</v>
      </c>
      <c r="H10" s="8">
        <v>5.1929999999999996</v>
      </c>
      <c r="I10" s="9">
        <v>0.77729999999999999</v>
      </c>
      <c r="J10" s="9"/>
      <c r="K10" s="9">
        <f t="shared" si="9"/>
        <v>7.4186244137999235</v>
      </c>
      <c r="L10" s="9">
        <v>7.3844000000000003</v>
      </c>
      <c r="M10" s="7">
        <v>20</v>
      </c>
      <c r="N10" s="9"/>
      <c r="O10" s="9"/>
      <c r="P10" s="7" t="s">
        <v>48</v>
      </c>
    </row>
    <row r="11" spans="1:35" x14ac:dyDescent="0.25">
      <c r="A11" s="7">
        <v>4</v>
      </c>
      <c r="B11" s="7" t="s">
        <v>151</v>
      </c>
      <c r="C11" s="7">
        <v>0</v>
      </c>
      <c r="D11" s="7">
        <v>50</v>
      </c>
      <c r="E11" s="7" t="s">
        <v>75</v>
      </c>
      <c r="F11" s="7" t="s">
        <v>29</v>
      </c>
      <c r="G11" s="7">
        <v>1</v>
      </c>
      <c r="H11" s="8">
        <f>IFERROR(AVERAGE(AA36:AA38), "NA")</f>
        <v>5.1920000000000002</v>
      </c>
      <c r="I11" s="9">
        <f>IFERROR(Y47, "NA")</f>
        <v>1.6366666666666665E-2</v>
      </c>
      <c r="J11" s="9"/>
      <c r="K11" s="9">
        <f>IFERROR(Y48, "NA")</f>
        <v>-5.7162469406659352E-3</v>
      </c>
      <c r="L11" s="9">
        <f>IFERROR(Y49, "NA")</f>
        <v>-7.9133333333333333E-2</v>
      </c>
      <c r="M11" s="7">
        <v>10</v>
      </c>
      <c r="N11" s="9">
        <f>IF(H11="NA", "NA",M11*K11)</f>
        <v>-5.7162469406659352E-2</v>
      </c>
      <c r="O11" s="9">
        <f>IF(H11="NA", "NA",M11*L11)</f>
        <v>-0.79133333333333333</v>
      </c>
      <c r="P11" s="7" t="s">
        <v>154</v>
      </c>
      <c r="S11" s="5" t="s">
        <v>108</v>
      </c>
      <c r="T11" s="13"/>
      <c r="U11" s="14" t="s">
        <v>109</v>
      </c>
      <c r="V11" s="15" t="s">
        <v>110</v>
      </c>
    </row>
    <row r="12" spans="1:35" x14ac:dyDescent="0.25">
      <c r="A12" s="7">
        <v>7</v>
      </c>
      <c r="B12" s="7" t="s">
        <v>58</v>
      </c>
      <c r="C12" s="7">
        <v>0</v>
      </c>
      <c r="D12" s="7">
        <v>70</v>
      </c>
      <c r="E12" s="7" t="s">
        <v>59</v>
      </c>
      <c r="F12" s="7" t="s">
        <v>29</v>
      </c>
      <c r="G12" s="7">
        <v>1</v>
      </c>
      <c r="H12" s="8" t="s">
        <v>150</v>
      </c>
      <c r="I12" s="9" t="s">
        <v>150</v>
      </c>
      <c r="J12" s="9"/>
      <c r="K12" s="9" t="str">
        <f>IF(H12="NA", "NA", ((I12-($AH$3))/$AG$3))</f>
        <v>NA</v>
      </c>
      <c r="L12" s="9" t="s">
        <v>150</v>
      </c>
      <c r="M12" s="7">
        <v>10</v>
      </c>
      <c r="N12" s="9" t="str">
        <f t="shared" ref="N12:N16" si="10">IF(H12="NA", "NA",M12*K12)</f>
        <v>NA</v>
      </c>
      <c r="O12" s="9" t="str">
        <f t="shared" ref="O12:O15" si="11">IF(H12="NA", "NA",M12*L12)</f>
        <v>NA</v>
      </c>
      <c r="P12" s="7" t="s">
        <v>60</v>
      </c>
      <c r="T12" s="19" t="s">
        <v>111</v>
      </c>
      <c r="U12" s="9" t="e">
        <f xml:space="preserve"> AVERAGE(I9,I19)+3*STDEV(I9,I19)</f>
        <v>#DIV/0!</v>
      </c>
      <c r="V12" s="9" t="e">
        <f xml:space="preserve"> AVERAGE((I9,I19))+10*STDEV(I9,I19)</f>
        <v>#DIV/0!</v>
      </c>
    </row>
    <row r="13" spans="1:35" x14ac:dyDescent="0.25">
      <c r="A13" s="7">
        <v>8</v>
      </c>
      <c r="B13" s="7" t="s">
        <v>152</v>
      </c>
      <c r="C13" s="7">
        <v>20</v>
      </c>
      <c r="D13" s="7">
        <v>60</v>
      </c>
      <c r="E13" s="7" t="s">
        <v>59</v>
      </c>
      <c r="F13" s="7" t="s">
        <v>29</v>
      </c>
      <c r="G13" s="7">
        <v>1</v>
      </c>
      <c r="H13" s="8">
        <f>IFERROR(AVERAGE(AA39:AA41), "NA")</f>
        <v>5.1909999999999998</v>
      </c>
      <c r="I13" s="9">
        <f>IFERROR(Y50, "NA")</f>
        <v>1.9100000000000002E-2</v>
      </c>
      <c r="J13" s="9"/>
      <c r="K13" s="9">
        <f>IFERROR(Y51, "NA")</f>
        <v>2.095257793145287E-2</v>
      </c>
      <c r="L13" s="9">
        <f>IFERROR(Y52, "NA")</f>
        <v>-5.1933333333333331E-2</v>
      </c>
      <c r="M13" s="7">
        <v>10</v>
      </c>
      <c r="N13" s="9">
        <f t="shared" si="10"/>
        <v>0.2095257793145287</v>
      </c>
      <c r="O13" s="9">
        <f t="shared" si="11"/>
        <v>-0.51933333333333331</v>
      </c>
      <c r="P13" s="7" t="s">
        <v>155</v>
      </c>
      <c r="T13" s="19" t="s">
        <v>112</v>
      </c>
      <c r="U13" s="9" t="e">
        <f xml:space="preserve"> AVERAGE(K9,K19)+3*STDEV(K9,K19)</f>
        <v>#DIV/0!</v>
      </c>
      <c r="V13" s="9" t="e">
        <f xml:space="preserve"> AVERAGE(K9,K19)+10*STDEV(K9,K19)</f>
        <v>#DIV/0!</v>
      </c>
    </row>
    <row r="14" spans="1:35" x14ac:dyDescent="0.25">
      <c r="A14" s="7">
        <v>11</v>
      </c>
      <c r="B14" s="7" t="s">
        <v>70</v>
      </c>
      <c r="C14" s="7">
        <v>20</v>
      </c>
      <c r="D14" s="7">
        <v>70</v>
      </c>
      <c r="E14" s="7" t="s">
        <v>59</v>
      </c>
      <c r="F14" s="7" t="s">
        <v>29</v>
      </c>
      <c r="G14" s="7">
        <v>1</v>
      </c>
      <c r="H14" s="8">
        <v>5.19</v>
      </c>
      <c r="I14" s="9">
        <v>1.67E-2</v>
      </c>
      <c r="J14" s="9"/>
      <c r="K14" s="9">
        <f t="shared" ref="K14:K19" si="12">IF(H14="NA", "NA", ((I14-($AH$3))/$AG$3))</f>
        <v>-2.4639512245538922E-3</v>
      </c>
      <c r="L14" s="9">
        <v>-7.5700000000000003E-2</v>
      </c>
      <c r="M14" s="7">
        <v>10</v>
      </c>
      <c r="N14" s="9">
        <f t="shared" si="10"/>
        <v>-2.4639512245538921E-2</v>
      </c>
      <c r="O14" s="9">
        <f t="shared" si="11"/>
        <v>-0.75700000000000001</v>
      </c>
      <c r="P14" s="7" t="s">
        <v>71</v>
      </c>
      <c r="T14" s="19" t="s">
        <v>113</v>
      </c>
      <c r="U14" s="9" t="e">
        <f xml:space="preserve"> AVERAGE(L9,L19)+3*STDEV(L9,L19)</f>
        <v>#DIV/0!</v>
      </c>
      <c r="V14" s="9" t="e">
        <f xml:space="preserve"> AVERAGE(L9,L19)+10*STDEV(L9,L19)</f>
        <v>#DIV/0!</v>
      </c>
    </row>
    <row r="15" spans="1:35" x14ac:dyDescent="0.25">
      <c r="A15" s="7">
        <v>12</v>
      </c>
      <c r="B15" s="7" t="s">
        <v>72</v>
      </c>
      <c r="C15" s="7">
        <v>20</v>
      </c>
      <c r="D15" s="7">
        <v>80</v>
      </c>
      <c r="E15" s="7" t="s">
        <v>59</v>
      </c>
      <c r="F15" s="7" t="s">
        <v>29</v>
      </c>
      <c r="G15" s="7">
        <v>1</v>
      </c>
      <c r="H15" s="8">
        <v>5.19</v>
      </c>
      <c r="I15" s="9">
        <v>1.2699999999999999E-2</v>
      </c>
      <c r="J15" s="9"/>
      <c r="K15" s="9">
        <f t="shared" si="12"/>
        <v>-4.14914998178985E-2</v>
      </c>
      <c r="L15" s="9">
        <v>-0.11459999999999999</v>
      </c>
      <c r="M15" s="7">
        <v>10</v>
      </c>
      <c r="N15" s="9">
        <f t="shared" si="10"/>
        <v>-0.41491499817898503</v>
      </c>
      <c r="O15" s="9">
        <f t="shared" si="11"/>
        <v>-1.1459999999999999</v>
      </c>
      <c r="P15" s="7" t="s">
        <v>73</v>
      </c>
    </row>
    <row r="16" spans="1:35" x14ac:dyDescent="0.25">
      <c r="A16" s="7">
        <v>13</v>
      </c>
      <c r="B16" s="7" t="s">
        <v>74</v>
      </c>
      <c r="C16" s="7">
        <v>20</v>
      </c>
      <c r="D16" s="7">
        <v>90</v>
      </c>
      <c r="E16" s="7" t="s">
        <v>75</v>
      </c>
      <c r="F16" s="7" t="s">
        <v>29</v>
      </c>
      <c r="G16" s="7">
        <v>1</v>
      </c>
      <c r="H16" s="8">
        <v>5.1929999999999996</v>
      </c>
      <c r="I16" s="9">
        <v>1.41E-2</v>
      </c>
      <c r="J16" s="9"/>
      <c r="K16" s="9">
        <f t="shared" si="12"/>
        <v>-2.7831857810227886E-2</v>
      </c>
      <c r="L16" s="9">
        <v>-0.1013</v>
      </c>
      <c r="M16" s="7">
        <v>10</v>
      </c>
      <c r="N16" s="9">
        <f t="shared" si="10"/>
        <v>-0.27831857810227889</v>
      </c>
      <c r="O16" s="9">
        <f>IF(H16="NA", "NA",M16*L16)</f>
        <v>-1.0129999999999999</v>
      </c>
      <c r="P16" s="7" t="s">
        <v>76</v>
      </c>
      <c r="S16" s="5" t="s">
        <v>114</v>
      </c>
      <c r="T16" s="6"/>
      <c r="U16" s="2" t="s">
        <v>115</v>
      </c>
      <c r="V16" s="2" t="s">
        <v>116</v>
      </c>
      <c r="W16" s="2" t="s">
        <v>117</v>
      </c>
      <c r="X16" s="2" t="s">
        <v>118</v>
      </c>
      <c r="Y16" s="6" t="s">
        <v>119</v>
      </c>
      <c r="Z16" s="2" t="s">
        <v>120</v>
      </c>
      <c r="AA16" s="2" t="s">
        <v>121</v>
      </c>
      <c r="AB16" s="2" t="s">
        <v>122</v>
      </c>
      <c r="AC16" s="2" t="s">
        <v>123</v>
      </c>
      <c r="AD16" s="2" t="s">
        <v>124</v>
      </c>
    </row>
    <row r="17" spans="1:30" x14ac:dyDescent="0.25">
      <c r="A17" s="7">
        <v>14</v>
      </c>
      <c r="B17" s="7" t="s">
        <v>77</v>
      </c>
      <c r="C17" s="7"/>
      <c r="D17" s="7"/>
      <c r="E17" s="7"/>
      <c r="F17" s="7" t="s">
        <v>29</v>
      </c>
      <c r="G17" s="7">
        <v>1</v>
      </c>
      <c r="H17" s="8" t="s">
        <v>150</v>
      </c>
      <c r="I17" s="9" t="s">
        <v>150</v>
      </c>
      <c r="J17" s="9"/>
      <c r="K17" s="9" t="str">
        <f t="shared" si="12"/>
        <v>NA</v>
      </c>
      <c r="L17" s="9" t="s">
        <v>150</v>
      </c>
      <c r="M17" s="7">
        <v>0</v>
      </c>
      <c r="N17" s="9"/>
      <c r="O17" s="9"/>
      <c r="P17" s="7" t="s">
        <v>78</v>
      </c>
      <c r="T17" s="19" t="s">
        <v>125</v>
      </c>
      <c r="U17" s="8">
        <f>AVERAGE(H4:H19)</f>
        <v>5.1907499999999995</v>
      </c>
      <c r="V17" s="8">
        <f>MEDIAN(H4:H19)</f>
        <v>5.1905000000000001</v>
      </c>
      <c r="W17" s="8">
        <f>STDEV(H4:H19)</f>
        <v>3.4673804626442054E-3</v>
      </c>
      <c r="X17" s="8">
        <f>W17/U17*100</f>
        <v>6.6799219046268954E-2</v>
      </c>
      <c r="Y17" s="8">
        <f>VAR(H4:H19)</f>
        <v>1.2022727272726745E-5</v>
      </c>
      <c r="Z17" s="8">
        <f>MAX(H4:H19)</f>
        <v>5.1970000000000001</v>
      </c>
      <c r="AA17" s="8">
        <f>MIN(H4:H19)</f>
        <v>5.1829999999999998</v>
      </c>
      <c r="AB17" s="8">
        <f>Z17-AA17</f>
        <v>1.4000000000000234E-2</v>
      </c>
      <c r="AC17" s="8">
        <f>COUNT(H4:H19)</f>
        <v>12</v>
      </c>
      <c r="AD17" s="8">
        <f>W17/SQRT(AC17)</f>
        <v>1.0009465217452407E-3</v>
      </c>
    </row>
    <row r="18" spans="1:30" x14ac:dyDescent="0.25">
      <c r="A18" s="7">
        <v>15</v>
      </c>
      <c r="B18" s="7" t="s">
        <v>47</v>
      </c>
      <c r="C18" s="7"/>
      <c r="D18" s="7"/>
      <c r="E18" s="7"/>
      <c r="F18" s="7" t="s">
        <v>29</v>
      </c>
      <c r="G18" s="7">
        <v>1</v>
      </c>
      <c r="H18" s="8">
        <v>5.19</v>
      </c>
      <c r="I18" s="9">
        <v>0.76470000000000005</v>
      </c>
      <c r="J18" s="9"/>
      <c r="K18" s="9">
        <f t="shared" si="12"/>
        <v>7.2956876357308884</v>
      </c>
      <c r="L18" s="9">
        <v>7.2609000000000004</v>
      </c>
      <c r="M18" s="7">
        <v>20</v>
      </c>
      <c r="N18" s="9"/>
      <c r="O18" s="9"/>
      <c r="P18" s="7" t="s">
        <v>48</v>
      </c>
      <c r="T18" s="19" t="s">
        <v>126</v>
      </c>
      <c r="U18" s="9">
        <f>AVERAGE(I10,I18)</f>
        <v>0.77100000000000002</v>
      </c>
      <c r="V18" s="9">
        <f>MEDIAN(I10,I18)</f>
        <v>0.77100000000000002</v>
      </c>
      <c r="W18" s="9">
        <f>STDEV(I10,I18)</f>
        <v>8.9095454429504589E-3</v>
      </c>
      <c r="X18" s="9">
        <f>W18/U18*100</f>
        <v>1.1555830665305393</v>
      </c>
      <c r="Y18" s="9">
        <f>VAR(I10,I18)</f>
        <v>7.9379999999999298E-5</v>
      </c>
      <c r="Z18" s="9">
        <f>MAX(I10,I18)</f>
        <v>0.77729999999999999</v>
      </c>
      <c r="AA18" s="9">
        <f>MIN(I10,I18)</f>
        <v>0.76470000000000005</v>
      </c>
      <c r="AB18" s="9">
        <f>Z18-AA18</f>
        <v>1.2599999999999945E-2</v>
      </c>
      <c r="AC18" s="9">
        <f>COUNT(I10,I18)</f>
        <v>2</v>
      </c>
      <c r="AD18" s="9">
        <f>W18/SQRT(AC18)</f>
        <v>6.2999999999999714E-3</v>
      </c>
    </row>
    <row r="19" spans="1:30" x14ac:dyDescent="0.25">
      <c r="A19" s="7">
        <v>16</v>
      </c>
      <c r="B19" s="7" t="s">
        <v>28</v>
      </c>
      <c r="C19" s="7"/>
      <c r="D19" s="7"/>
      <c r="E19" s="7"/>
      <c r="F19" s="7" t="s">
        <v>29</v>
      </c>
      <c r="G19" s="7">
        <v>1</v>
      </c>
      <c r="H19" s="8" t="s">
        <v>150</v>
      </c>
      <c r="I19" s="9" t="s">
        <v>150</v>
      </c>
      <c r="J19" s="9"/>
      <c r="K19" s="9" t="str">
        <f t="shared" si="12"/>
        <v>NA</v>
      </c>
      <c r="L19" s="9" t="s">
        <v>150</v>
      </c>
      <c r="M19" s="7">
        <v>0</v>
      </c>
      <c r="N19" s="9"/>
      <c r="O19" s="9"/>
      <c r="P19" s="7" t="s">
        <v>30</v>
      </c>
      <c r="T19" s="19" t="s">
        <v>127</v>
      </c>
      <c r="U19" s="9">
        <f>AVERAGE(K10,K18)</f>
        <v>7.3571560247654055</v>
      </c>
      <c r="V19" s="9">
        <f>MEDIAN(K10,K18)</f>
        <v>7.3571560247654055</v>
      </c>
      <c r="W19" s="9">
        <f>STDEV(K10,K18)</f>
        <v>8.6929429429840374E-2</v>
      </c>
      <c r="X19" s="9">
        <f>W19/U19*100</f>
        <v>1.1815629454808558</v>
      </c>
      <c r="Y19" s="9">
        <f>VAR(K10,K18)</f>
        <v>7.5567257009975988E-3</v>
      </c>
      <c r="Z19" s="9">
        <f>MAX(K10,K18)</f>
        <v>7.4186244137999235</v>
      </c>
      <c r="AA19" s="9">
        <f>MIN(K10,K18)</f>
        <v>7.2956876357308884</v>
      </c>
      <c r="AB19" s="9">
        <f>Z19-AA19</f>
        <v>0.12293677806903514</v>
      </c>
      <c r="AC19" s="9">
        <f>COUNT(K10,K18)</f>
        <v>2</v>
      </c>
      <c r="AD19" s="9">
        <f>W19/SQRT(AC19)</f>
        <v>6.1468389034517561E-2</v>
      </c>
    </row>
    <row r="20" spans="1:30" x14ac:dyDescent="0.25">
      <c r="H20"/>
      <c r="I20"/>
      <c r="K20"/>
      <c r="L20"/>
      <c r="N20"/>
      <c r="T20" s="19" t="s">
        <v>128</v>
      </c>
      <c r="U20" s="9">
        <f>AVERAGE(L10,L18)</f>
        <v>7.3226500000000003</v>
      </c>
      <c r="V20" s="9">
        <f>MEDIAN(L10,L18)</f>
        <v>7.3226500000000003</v>
      </c>
      <c r="W20" s="9">
        <f>STDEV(L10,L18)</f>
        <v>8.7327687476538574E-2</v>
      </c>
      <c r="X20" s="9">
        <f>W20/U20*100</f>
        <v>1.1925694588234939</v>
      </c>
      <c r="Y20" s="9">
        <f>VAR(L10,L18)</f>
        <v>7.6261249999999932E-3</v>
      </c>
      <c r="Z20" s="9">
        <f>MAX(L10,L18)</f>
        <v>7.3844000000000003</v>
      </c>
      <c r="AA20" s="9">
        <f>MIN(L10,L18)</f>
        <v>7.2609000000000004</v>
      </c>
      <c r="AB20" s="9">
        <f>Z20-AA20</f>
        <v>0.12349999999999994</v>
      </c>
      <c r="AC20" s="9">
        <f>COUNT(L10,L18)</f>
        <v>2</v>
      </c>
      <c r="AD20" s="9">
        <f>W20/SQRT(AC20)</f>
        <v>6.1749999999999965E-2</v>
      </c>
    </row>
    <row r="21" spans="1:30" x14ac:dyDescent="0.25">
      <c r="H21"/>
      <c r="I21"/>
      <c r="K21"/>
      <c r="L21"/>
      <c r="N21"/>
      <c r="T21" s="19" t="s">
        <v>129</v>
      </c>
      <c r="U21" s="9" t="e">
        <f>AVERAGE(I9,I19)</f>
        <v>#DIV/0!</v>
      </c>
      <c r="V21" s="9" t="e">
        <f>MEDIAN(I9,I19)</f>
        <v>#NUM!</v>
      </c>
      <c r="W21" s="9" t="e">
        <f>STDEV(I9,I19)</f>
        <v>#DIV/0!</v>
      </c>
      <c r="X21" s="9" t="e">
        <f t="shared" ref="X21:X23" si="13">W21/U21*100</f>
        <v>#DIV/0!</v>
      </c>
      <c r="Y21" s="9" t="e">
        <f>VAR(I9,I19)</f>
        <v>#DIV/0!</v>
      </c>
      <c r="Z21" s="9">
        <f>MAX(I9,I19)</f>
        <v>0</v>
      </c>
      <c r="AA21" s="9">
        <f>MIN(I9,I19)</f>
        <v>0</v>
      </c>
      <c r="AB21" s="9">
        <f t="shared" ref="AB21:AB23" si="14">Z21-AA21</f>
        <v>0</v>
      </c>
      <c r="AC21" s="9">
        <f>COUNT(I9,I19)</f>
        <v>0</v>
      </c>
      <c r="AD21" s="9" t="e">
        <f t="shared" ref="AD21:AD23" si="15">W21/SQRT(AC21)</f>
        <v>#DIV/0!</v>
      </c>
    </row>
    <row r="22" spans="1:30" x14ac:dyDescent="0.25">
      <c r="H22"/>
      <c r="I22"/>
      <c r="K22"/>
      <c r="L22"/>
      <c r="N22"/>
      <c r="T22" s="19" t="s">
        <v>130</v>
      </c>
      <c r="U22" s="9" t="e">
        <f>AVERAGE(K9,K19)</f>
        <v>#DIV/0!</v>
      </c>
      <c r="V22" s="9" t="e">
        <f>MEDIAN(K9,K19)</f>
        <v>#NUM!</v>
      </c>
      <c r="W22" s="9" t="e">
        <f>STDEV(K9,K19)</f>
        <v>#DIV/0!</v>
      </c>
      <c r="X22" s="9" t="e">
        <f t="shared" si="13"/>
        <v>#DIV/0!</v>
      </c>
      <c r="Y22" s="9" t="e">
        <f>VAR(K9,K19)</f>
        <v>#DIV/0!</v>
      </c>
      <c r="Z22" s="9">
        <f>MAX(K9,K19)</f>
        <v>0</v>
      </c>
      <c r="AA22" s="9">
        <f>MIN(K9,K19)</f>
        <v>0</v>
      </c>
      <c r="AB22" s="9">
        <f t="shared" si="14"/>
        <v>0</v>
      </c>
      <c r="AC22" s="9">
        <f>COUNT(K9,K19)</f>
        <v>0</v>
      </c>
      <c r="AD22" s="9" t="e">
        <f t="shared" si="15"/>
        <v>#DIV/0!</v>
      </c>
    </row>
    <row r="23" spans="1:30" x14ac:dyDescent="0.25">
      <c r="H23"/>
      <c r="I23"/>
      <c r="K23"/>
      <c r="L23"/>
      <c r="N23"/>
      <c r="T23" s="19" t="s">
        <v>131</v>
      </c>
      <c r="U23" s="9" t="e">
        <f>AVERAGE(L9,L19)</f>
        <v>#DIV/0!</v>
      </c>
      <c r="V23" s="9" t="e">
        <f>MEDIAN(L9,L19)</f>
        <v>#NUM!</v>
      </c>
      <c r="W23" s="9" t="e">
        <f>STDEV(L9,L19)</f>
        <v>#DIV/0!</v>
      </c>
      <c r="X23" s="9" t="e">
        <f t="shared" si="13"/>
        <v>#DIV/0!</v>
      </c>
      <c r="Y23" s="9" t="e">
        <f>VAR(L9,L19)</f>
        <v>#DIV/0!</v>
      </c>
      <c r="Z23" s="9">
        <f>MAX(L9,L19)</f>
        <v>0</v>
      </c>
      <c r="AA23" s="9">
        <f>MIN(L9,L19)</f>
        <v>0</v>
      </c>
      <c r="AB23" s="9">
        <f t="shared" si="14"/>
        <v>0</v>
      </c>
      <c r="AC23" s="9">
        <f>COUNT(L9,L19)</f>
        <v>0</v>
      </c>
      <c r="AD23" s="9" t="e">
        <f t="shared" si="15"/>
        <v>#DIV/0!</v>
      </c>
    </row>
    <row r="24" spans="1:30" x14ac:dyDescent="0.25">
      <c r="H24"/>
      <c r="I24"/>
      <c r="K24"/>
      <c r="L24"/>
      <c r="N24"/>
    </row>
    <row r="25" spans="1:30" x14ac:dyDescent="0.25">
      <c r="H25"/>
      <c r="I25"/>
      <c r="K25"/>
      <c r="L25"/>
      <c r="N25"/>
      <c r="T25" s="20"/>
    </row>
    <row r="26" spans="1:30" x14ac:dyDescent="0.25">
      <c r="H26"/>
      <c r="I26"/>
      <c r="K26"/>
      <c r="L26"/>
      <c r="N26"/>
      <c r="T26" s="10"/>
      <c r="U26" s="2" t="s">
        <v>132</v>
      </c>
      <c r="V26" s="2" t="s">
        <v>133</v>
      </c>
      <c r="W26" s="2" t="s">
        <v>134</v>
      </c>
      <c r="X26" s="2" t="s">
        <v>135</v>
      </c>
      <c r="Y26" s="2" t="s">
        <v>136</v>
      </c>
      <c r="Z26" s="2" t="s">
        <v>137</v>
      </c>
      <c r="AA26" s="2" t="s">
        <v>138</v>
      </c>
    </row>
    <row r="27" spans="1:30" ht="45" x14ac:dyDescent="0.25">
      <c r="H27"/>
      <c r="I27"/>
      <c r="K27"/>
      <c r="L27"/>
      <c r="N27"/>
      <c r="T27" s="21" t="s">
        <v>139</v>
      </c>
      <c r="U27" s="22">
        <f>K6</f>
        <v>5.5043231552963698</v>
      </c>
      <c r="V27" s="22">
        <f>L6</f>
        <v>5.4604999999999997</v>
      </c>
      <c r="W27" s="23">
        <v>102</v>
      </c>
      <c r="X27" s="23">
        <v>1</v>
      </c>
      <c r="Y27" s="22">
        <f>W27/(20)</f>
        <v>5.0999999999999996</v>
      </c>
      <c r="Z27" s="22">
        <f>V27/Y27 *100</f>
        <v>107.0686274509804</v>
      </c>
      <c r="AA27" s="22">
        <f>U27/Y27 *100</f>
        <v>107.92790500581117</v>
      </c>
    </row>
    <row r="28" spans="1:30" ht="45" x14ac:dyDescent="0.25">
      <c r="H28"/>
      <c r="I28"/>
      <c r="K28"/>
      <c r="L28"/>
      <c r="N28"/>
      <c r="T28" s="21" t="s">
        <v>140</v>
      </c>
      <c r="U28" s="22">
        <f>U19</f>
        <v>7.3571560247654055</v>
      </c>
      <c r="V28" s="22">
        <f>U20</f>
        <v>7.3226500000000003</v>
      </c>
      <c r="W28" s="23">
        <v>100</v>
      </c>
      <c r="X28" s="23">
        <v>1</v>
      </c>
      <c r="Y28" s="22">
        <f>W28/(20)</f>
        <v>5</v>
      </c>
      <c r="Z28" s="22">
        <f>V28/Y28 *100</f>
        <v>146.453</v>
      </c>
      <c r="AA28" s="22">
        <f>U28/Y28 *100</f>
        <v>147.1431204953081</v>
      </c>
    </row>
    <row r="29" spans="1:30" x14ac:dyDescent="0.25">
      <c r="H29"/>
      <c r="I29"/>
      <c r="K29"/>
      <c r="L29"/>
      <c r="N29"/>
    </row>
    <row r="30" spans="1:30" x14ac:dyDescent="0.25">
      <c r="H30"/>
      <c r="I30"/>
      <c r="K30"/>
      <c r="L30"/>
      <c r="N30"/>
    </row>
    <row r="31" spans="1:30" x14ac:dyDescent="0.25">
      <c r="H31"/>
      <c r="I31"/>
      <c r="K31"/>
      <c r="L31"/>
      <c r="N31"/>
      <c r="T31" s="7"/>
      <c r="U31" s="2" t="s">
        <v>141</v>
      </c>
      <c r="V31" s="2" t="s">
        <v>142</v>
      </c>
      <c r="W31" s="2" t="s">
        <v>143</v>
      </c>
      <c r="X31" s="2" t="s">
        <v>144</v>
      </c>
      <c r="Y31" s="2" t="s">
        <v>145</v>
      </c>
      <c r="Z31" s="2" t="s">
        <v>146</v>
      </c>
      <c r="AA31" s="2" t="s">
        <v>147</v>
      </c>
      <c r="AB31" s="2" t="s">
        <v>137</v>
      </c>
      <c r="AC31" s="2" t="s">
        <v>138</v>
      </c>
    </row>
    <row r="32" spans="1:30" x14ac:dyDescent="0.25">
      <c r="H32"/>
      <c r="I32"/>
      <c r="K32"/>
      <c r="L32"/>
      <c r="N32"/>
      <c r="T32" s="19" t="s">
        <v>148</v>
      </c>
      <c r="U32" s="9">
        <f>I6</f>
        <v>0.58109999999999995</v>
      </c>
      <c r="V32" s="9">
        <f>U18</f>
        <v>0.77100000000000002</v>
      </c>
      <c r="W32" s="9">
        <f>K6</f>
        <v>5.5043231552963698</v>
      </c>
      <c r="X32" s="9">
        <f>L6</f>
        <v>5.4604999999999997</v>
      </c>
      <c r="Y32" s="9">
        <f>U19</f>
        <v>7.3571560247654055</v>
      </c>
      <c r="Z32" s="9">
        <f>U20</f>
        <v>7.3226500000000003</v>
      </c>
      <c r="AA32" s="9">
        <f>U32/V32 *100</f>
        <v>75.369649805447452</v>
      </c>
      <c r="AB32" s="9">
        <f>W32/Y32 *100</f>
        <v>74.815908983959375</v>
      </c>
      <c r="AC32" s="9">
        <f>X32/Z32 *100</f>
        <v>74.569998566092863</v>
      </c>
    </row>
    <row r="35" spans="19:34" x14ac:dyDescent="0.25">
      <c r="S35" s="5" t="s">
        <v>149</v>
      </c>
      <c r="T35" s="2" t="s">
        <v>13</v>
      </c>
      <c r="U35" s="2" t="s">
        <v>14</v>
      </c>
      <c r="V35" s="2" t="s">
        <v>15</v>
      </c>
      <c r="W35" s="2" t="s">
        <v>16</v>
      </c>
      <c r="X35" s="2" t="s">
        <v>17</v>
      </c>
      <c r="Y35" s="2" t="s">
        <v>18</v>
      </c>
      <c r="Z35" s="2" t="s">
        <v>19</v>
      </c>
      <c r="AA35" s="3" t="s">
        <v>21</v>
      </c>
      <c r="AB35" s="3" t="s">
        <v>22</v>
      </c>
      <c r="AC35" s="3" t="s">
        <v>163</v>
      </c>
      <c r="AD35" s="3" t="s">
        <v>164</v>
      </c>
    </row>
    <row r="36" spans="19:34" x14ac:dyDescent="0.25">
      <c r="T36" s="7">
        <v>4</v>
      </c>
      <c r="U36" s="7" t="s">
        <v>49</v>
      </c>
      <c r="V36" s="7">
        <v>0</v>
      </c>
      <c r="W36" s="7">
        <v>50</v>
      </c>
      <c r="X36" s="7" t="s">
        <v>50</v>
      </c>
      <c r="Y36" s="7" t="s">
        <v>29</v>
      </c>
      <c r="Z36" s="7">
        <v>1</v>
      </c>
      <c r="AA36" s="7">
        <v>5.1929999999999996</v>
      </c>
      <c r="AB36" s="7">
        <v>1.7399999999999999E-2</v>
      </c>
      <c r="AC36" s="9">
        <f>IF(AA36="NA", "NA", ((AB36-($AH$3))/$AG$3))</f>
        <v>4.3658697792814073E-3</v>
      </c>
      <c r="AD36" s="7">
        <v>-6.8900000000000003E-2</v>
      </c>
    </row>
    <row r="37" spans="19:34" x14ac:dyDescent="0.25">
      <c r="T37" s="7">
        <v>5</v>
      </c>
      <c r="U37" s="7" t="s">
        <v>52</v>
      </c>
      <c r="V37" s="7">
        <v>0</v>
      </c>
      <c r="W37" s="7">
        <v>50</v>
      </c>
      <c r="X37" s="7" t="s">
        <v>53</v>
      </c>
      <c r="Y37" s="7" t="s">
        <v>95</v>
      </c>
      <c r="Z37" s="7">
        <v>1</v>
      </c>
      <c r="AA37" s="7">
        <v>5.1929999999999996</v>
      </c>
      <c r="AB37" s="7">
        <v>1.5900000000000001E-2</v>
      </c>
      <c r="AC37" s="9">
        <f t="shared" ref="AC37:AC41" si="16">IF(AA37="NA", "NA", ((AB37-($AH$3))/$AG$3))</f>
        <v>-1.0269460943222801E-2</v>
      </c>
      <c r="AD37" s="7">
        <v>-8.3799999999999999E-2</v>
      </c>
    </row>
    <row r="38" spans="19:34" x14ac:dyDescent="0.25">
      <c r="T38" s="7">
        <v>6</v>
      </c>
      <c r="U38" s="7" t="s">
        <v>55</v>
      </c>
      <c r="V38" s="7">
        <v>0</v>
      </c>
      <c r="W38" s="7">
        <v>50</v>
      </c>
      <c r="X38" s="7" t="s">
        <v>56</v>
      </c>
      <c r="Y38" s="7" t="s">
        <v>95</v>
      </c>
      <c r="Z38" s="7">
        <v>1</v>
      </c>
      <c r="AA38" s="7">
        <v>5.19</v>
      </c>
      <c r="AB38" s="7">
        <v>1.5800000000000002E-2</v>
      </c>
      <c r="AC38" s="9">
        <f t="shared" si="16"/>
        <v>-1.1245149658056411E-2</v>
      </c>
      <c r="AD38" s="7">
        <v>-8.4699999999999998E-2</v>
      </c>
    </row>
    <row r="39" spans="19:34" x14ac:dyDescent="0.25">
      <c r="T39" s="7">
        <v>8</v>
      </c>
      <c r="U39" s="7" t="s">
        <v>61</v>
      </c>
      <c r="V39" s="7">
        <v>20</v>
      </c>
      <c r="W39" s="7">
        <v>60</v>
      </c>
      <c r="X39" s="7" t="s">
        <v>62</v>
      </c>
      <c r="Y39" s="7" t="s">
        <v>95</v>
      </c>
      <c r="Z39" s="7">
        <v>1</v>
      </c>
      <c r="AA39" s="7">
        <v>5.19</v>
      </c>
      <c r="AB39" s="7">
        <v>1.9199999999999998E-2</v>
      </c>
      <c r="AC39" s="9">
        <f t="shared" si="16"/>
        <v>2.1928266646286478E-2</v>
      </c>
      <c r="AD39" s="7">
        <v>-5.0900000000000001E-2</v>
      </c>
    </row>
    <row r="40" spans="19:34" x14ac:dyDescent="0.25">
      <c r="T40" s="7">
        <v>9</v>
      </c>
      <c r="U40" s="7" t="s">
        <v>64</v>
      </c>
      <c r="V40" s="7">
        <v>20</v>
      </c>
      <c r="W40" s="7">
        <v>60</v>
      </c>
      <c r="X40" s="7" t="s">
        <v>65</v>
      </c>
      <c r="Y40" s="7" t="s">
        <v>95</v>
      </c>
      <c r="Z40" s="7">
        <v>1</v>
      </c>
      <c r="AA40" s="7">
        <v>5.19</v>
      </c>
      <c r="AB40" s="7">
        <v>1.9099999999999999E-2</v>
      </c>
      <c r="AC40" s="9">
        <f t="shared" si="16"/>
        <v>2.0952577931452866E-2</v>
      </c>
      <c r="AD40" s="7">
        <v>-5.1999999999999998E-2</v>
      </c>
    </row>
    <row r="41" spans="19:34" x14ac:dyDescent="0.25">
      <c r="T41" s="7">
        <v>10</v>
      </c>
      <c r="U41" s="7" t="s">
        <v>67</v>
      </c>
      <c r="V41" s="7">
        <v>20</v>
      </c>
      <c r="W41" s="7">
        <v>60</v>
      </c>
      <c r="X41" s="7" t="s">
        <v>68</v>
      </c>
      <c r="Y41" s="7" t="s">
        <v>95</v>
      </c>
      <c r="Z41" s="7">
        <v>1</v>
      </c>
      <c r="AA41" s="7">
        <v>5.1929999999999996</v>
      </c>
      <c r="AB41" s="7">
        <v>1.9E-2</v>
      </c>
      <c r="AC41" s="9">
        <f t="shared" si="16"/>
        <v>1.9976889216619258E-2</v>
      </c>
      <c r="AD41" s="7">
        <v>-5.2900000000000003E-2</v>
      </c>
    </row>
    <row r="46" spans="19:34" x14ac:dyDescent="0.25">
      <c r="T46" s="6"/>
      <c r="U46" s="2" t="s">
        <v>14</v>
      </c>
      <c r="V46" s="2" t="s">
        <v>15</v>
      </c>
      <c r="W46" s="2" t="s">
        <v>16</v>
      </c>
      <c r="X46" s="2" t="s">
        <v>17</v>
      </c>
      <c r="Y46" s="2" t="s">
        <v>115</v>
      </c>
      <c r="Z46" s="2" t="s">
        <v>116</v>
      </c>
      <c r="AA46" s="2" t="s">
        <v>117</v>
      </c>
      <c r="AB46" s="2" t="s">
        <v>118</v>
      </c>
      <c r="AC46" s="6" t="s">
        <v>119</v>
      </c>
      <c r="AD46" s="2" t="s">
        <v>120</v>
      </c>
      <c r="AE46" s="2" t="s">
        <v>121</v>
      </c>
      <c r="AF46" s="2" t="s">
        <v>122</v>
      </c>
      <c r="AG46" s="2" t="s">
        <v>123</v>
      </c>
      <c r="AH46" s="2" t="s">
        <v>124</v>
      </c>
    </row>
    <row r="47" spans="19:34" x14ac:dyDescent="0.25">
      <c r="T47" s="3" t="s">
        <v>22</v>
      </c>
      <c r="U47" s="7" t="s">
        <v>49</v>
      </c>
      <c r="V47" s="7">
        <v>0</v>
      </c>
      <c r="W47" s="7">
        <v>50</v>
      </c>
      <c r="X47" s="7" t="s">
        <v>50</v>
      </c>
      <c r="Y47" s="8">
        <f>AVERAGE(AB36:AB38)</f>
        <v>1.6366666666666665E-2</v>
      </c>
      <c r="Z47" s="8">
        <f>MEDIAN(AB36:AB38)</f>
        <v>1.5900000000000001E-2</v>
      </c>
      <c r="AA47" s="8">
        <f>STDEV(AB36:AB38)</f>
        <v>8.9628864398324875E-4</v>
      </c>
      <c r="AB47" s="8">
        <f t="shared" ref="AB47:AB52" si="17">AA47/Y47*100</f>
        <v>5.4763053603864495</v>
      </c>
      <c r="AC47" s="8">
        <f>VAR(AB36:AB38)</f>
        <v>8.0333333333333076E-7</v>
      </c>
      <c r="AD47" s="8">
        <f>MAX(AB36:AB38)</f>
        <v>1.7399999999999999E-2</v>
      </c>
      <c r="AE47" s="8">
        <f>MIN(AB36:AB38)</f>
        <v>1.5800000000000002E-2</v>
      </c>
      <c r="AF47" s="8">
        <f t="shared" ref="AF47:AF52" si="18">AD47-AE47</f>
        <v>1.5999999999999973E-3</v>
      </c>
      <c r="AG47" s="8">
        <f>COUNT(AB36:AB38)</f>
        <v>3</v>
      </c>
      <c r="AH47" s="8">
        <f t="shared" ref="AH47:AH52" si="19">AA47/SQRT(AG47)</f>
        <v>5.1747248987533338E-4</v>
      </c>
    </row>
    <row r="48" spans="19:34" x14ac:dyDescent="0.25">
      <c r="T48" s="3" t="s">
        <v>163</v>
      </c>
      <c r="U48" s="7" t="s">
        <v>52</v>
      </c>
      <c r="V48" s="7">
        <v>0</v>
      </c>
      <c r="W48" s="7">
        <v>50</v>
      </c>
      <c r="X48" s="7" t="s">
        <v>53</v>
      </c>
      <c r="Y48" s="9">
        <f>AVERAGE(AC36:AC38)</f>
        <v>-5.7162469406659352E-3</v>
      </c>
      <c r="Z48" s="9">
        <f>MEDIAN(AC36:AC38)</f>
        <v>-1.0269460943222801E-2</v>
      </c>
      <c r="AA48" s="9">
        <f>STDEV(AC36:AC38)</f>
        <v>8.7449871516797981E-3</v>
      </c>
      <c r="AB48" s="9">
        <f t="shared" si="17"/>
        <v>-152.9847685457238</v>
      </c>
      <c r="AC48" s="9">
        <f>VAR(AC36:AC38)</f>
        <v>7.6474800283044735E-5</v>
      </c>
      <c r="AD48" s="9">
        <f>MAX(AC36:AC38)</f>
        <v>4.3658697792814073E-3</v>
      </c>
      <c r="AE48" s="9">
        <f>MIN(AC36:AC38)</f>
        <v>-1.1245149658056411E-2</v>
      </c>
      <c r="AF48" s="9">
        <f t="shared" si="18"/>
        <v>1.5611019437337819E-2</v>
      </c>
      <c r="AG48" s="9">
        <f>COUNT(AC36:AC38)</f>
        <v>3</v>
      </c>
      <c r="AH48" s="9">
        <f t="shared" si="19"/>
        <v>5.0489206860821504E-3</v>
      </c>
    </row>
    <row r="49" spans="20:34" x14ac:dyDescent="0.25">
      <c r="T49" s="3" t="s">
        <v>164</v>
      </c>
      <c r="U49" s="7" t="s">
        <v>55</v>
      </c>
      <c r="V49" s="7">
        <v>0</v>
      </c>
      <c r="W49" s="7">
        <v>50</v>
      </c>
      <c r="X49" s="7" t="s">
        <v>56</v>
      </c>
      <c r="Y49" s="9">
        <f>AVERAGE(AD36:AD38)</f>
        <v>-7.9133333333333333E-2</v>
      </c>
      <c r="Z49" s="9">
        <f>MEDIAN(AD36:AD38)</f>
        <v>-8.3799999999999999E-2</v>
      </c>
      <c r="AA49" s="9">
        <f>STDEV(AD36:AD38)</f>
        <v>8.8737440425861545E-3</v>
      </c>
      <c r="AB49" s="9">
        <f t="shared" si="17"/>
        <v>-11.213661384902469</v>
      </c>
      <c r="AC49" s="9">
        <f>VAR(AD36:AD38)</f>
        <v>7.8743333333333281E-5</v>
      </c>
      <c r="AD49" s="9">
        <f>MAX(AD36:AD38)</f>
        <v>-6.8900000000000003E-2</v>
      </c>
      <c r="AE49" s="9">
        <f>MIN(AD36:AD38)</f>
        <v>-8.4699999999999998E-2</v>
      </c>
      <c r="AF49" s="9">
        <f t="shared" si="18"/>
        <v>1.5799999999999995E-2</v>
      </c>
      <c r="AG49" s="9">
        <f>COUNT(AD36:AD38)</f>
        <v>3</v>
      </c>
      <c r="AH49" s="9">
        <f t="shared" si="19"/>
        <v>5.1232585117069549E-3</v>
      </c>
    </row>
    <row r="50" spans="20:34" x14ac:dyDescent="0.25">
      <c r="T50" s="3" t="s">
        <v>22</v>
      </c>
      <c r="U50" s="7" t="s">
        <v>61</v>
      </c>
      <c r="V50" s="7">
        <v>20</v>
      </c>
      <c r="W50" s="7">
        <v>60</v>
      </c>
      <c r="X50" s="7" t="s">
        <v>62</v>
      </c>
      <c r="Y50" s="8">
        <f>AVERAGE(AB39:AB41)</f>
        <v>1.9100000000000002E-2</v>
      </c>
      <c r="Z50" s="8">
        <f>MEDIAN(AB39:AB41)</f>
        <v>1.9099999999999999E-2</v>
      </c>
      <c r="AA50" s="8">
        <f>STDEV(AB39:AB41)</f>
        <v>9.9999999999999395E-5</v>
      </c>
      <c r="AB50" s="8">
        <f t="shared" si="17"/>
        <v>0.52356020942408055</v>
      </c>
      <c r="AC50" s="8">
        <f>VAR(AB39:AB41)</f>
        <v>9.9999999999998778E-9</v>
      </c>
      <c r="AD50" s="8">
        <f>MAX(AB39:AB41)</f>
        <v>1.9199999999999998E-2</v>
      </c>
      <c r="AE50" s="8">
        <f>MIN(AB39:AB41)</f>
        <v>1.9E-2</v>
      </c>
      <c r="AF50" s="8">
        <f t="shared" si="18"/>
        <v>1.9999999999999879E-4</v>
      </c>
      <c r="AG50" s="8">
        <f>COUNT(AB39:AB41)</f>
        <v>3</v>
      </c>
      <c r="AH50" s="8">
        <f t="shared" si="19"/>
        <v>5.7735026918962233E-5</v>
      </c>
    </row>
    <row r="51" spans="20:34" x14ac:dyDescent="0.25">
      <c r="T51" s="3" t="s">
        <v>163</v>
      </c>
      <c r="U51" s="7" t="s">
        <v>64</v>
      </c>
      <c r="V51" s="7">
        <v>20</v>
      </c>
      <c r="W51" s="7">
        <v>60</v>
      </c>
      <c r="X51" s="7" t="s">
        <v>65</v>
      </c>
      <c r="Y51" s="9">
        <f>AVERAGE(AC39:AC41)</f>
        <v>2.095257793145287E-2</v>
      </c>
      <c r="Z51" s="9">
        <f>MEDIAN(AC39:AC41)</f>
        <v>2.0952577931452866E-2</v>
      </c>
      <c r="AA51" s="9">
        <f>STDEV(AC39:AC41)</f>
        <v>9.7568871483360957E-4</v>
      </c>
      <c r="AB51" s="9">
        <f t="shared" si="17"/>
        <v>4.6566523605143537</v>
      </c>
      <c r="AC51" s="9">
        <f>VAR(AC39:AC41)</f>
        <v>9.5196846825366066E-7</v>
      </c>
      <c r="AD51" s="9">
        <f>MAX(AC39:AC41)</f>
        <v>2.1928266646286478E-2</v>
      </c>
      <c r="AE51" s="9">
        <f>MIN(AC39:AC41)</f>
        <v>1.9976889216619258E-2</v>
      </c>
      <c r="AF51" s="9">
        <f t="shared" si="18"/>
        <v>1.9513774296672191E-3</v>
      </c>
      <c r="AG51" s="9">
        <f>COUNT(AC39:AC41)</f>
        <v>3</v>
      </c>
      <c r="AH51" s="9">
        <f t="shared" si="19"/>
        <v>5.633141421544645E-4</v>
      </c>
    </row>
    <row r="52" spans="20:34" x14ac:dyDescent="0.25">
      <c r="T52" s="3" t="s">
        <v>164</v>
      </c>
      <c r="U52" s="7" t="s">
        <v>67</v>
      </c>
      <c r="V52" s="7">
        <v>20</v>
      </c>
      <c r="W52" s="7">
        <v>60</v>
      </c>
      <c r="X52" s="7" t="s">
        <v>68</v>
      </c>
      <c r="Y52" s="9">
        <f>AVERAGE(AD39:AD41)</f>
        <v>-5.1933333333333331E-2</v>
      </c>
      <c r="Z52" s="9">
        <f>MEDIAN(AD39:AD41)</f>
        <v>-5.1999999999999998E-2</v>
      </c>
      <c r="AA52" s="9">
        <f>STDEV(AD39:AD41)</f>
        <v>1.0016652800877821E-3</v>
      </c>
      <c r="AB52" s="9">
        <f t="shared" si="17"/>
        <v>-1.9287521439430977</v>
      </c>
      <c r="AC52" s="9">
        <f>VAR(AD39:AD41)</f>
        <v>1.0033333333333349E-6</v>
      </c>
      <c r="AD52" s="9">
        <f>MAX(AD39:AD41)</f>
        <v>-5.0900000000000001E-2</v>
      </c>
      <c r="AE52" s="9">
        <f>MIN(AD39:AD41)</f>
        <v>-5.2900000000000003E-2</v>
      </c>
      <c r="AF52" s="9">
        <f t="shared" si="18"/>
        <v>2.0000000000000018E-3</v>
      </c>
      <c r="AG52" s="9">
        <f>COUNT(AD39:AD41)</f>
        <v>3</v>
      </c>
      <c r="AH52" s="9">
        <f t="shared" si="19"/>
        <v>5.7831171909658292E-4</v>
      </c>
    </row>
  </sheetData>
  <conditionalFormatting sqref="I2:I19">
    <cfRule type="cellIs" dxfId="35" priority="3" operator="lessThan">
      <formula>$U$12</formula>
    </cfRule>
    <cfRule type="cellIs" dxfId="34" priority="4" operator="lessThan">
      <formula>$V$12</formula>
    </cfRule>
  </conditionalFormatting>
  <conditionalFormatting sqref="K1:K19">
    <cfRule type="cellIs" dxfId="33" priority="1" operator="lessThan">
      <formula>$U$13</formula>
    </cfRule>
    <cfRule type="cellIs" dxfId="32" priority="2" operator="lessThan">
      <formula>$V$13</formula>
    </cfRule>
  </conditionalFormatting>
  <conditionalFormatting sqref="L1:L19">
    <cfRule type="cellIs" dxfId="31" priority="5" operator="lessThan">
      <formula>$U$14</formula>
    </cfRule>
    <cfRule type="cellIs" dxfId="30" priority="6" operator="lessThan">
      <formula>$V$14</formula>
    </cfRule>
  </conditionalFormatting>
  <conditionalFormatting sqref="T48">
    <cfRule type="cellIs" dxfId="29" priority="21" operator="lessThan">
      <formula>$U$13</formula>
    </cfRule>
    <cfRule type="cellIs" dxfId="28" priority="22" operator="lessThan">
      <formula>$V$13</formula>
    </cfRule>
  </conditionalFormatting>
  <conditionalFormatting sqref="T49">
    <cfRule type="cellIs" dxfId="27" priority="19" operator="lessThan">
      <formula>$U$14</formula>
    </cfRule>
    <cfRule type="cellIs" dxfId="26" priority="20" operator="lessThan">
      <formula>$V$14</formula>
    </cfRule>
  </conditionalFormatting>
  <conditionalFormatting sqref="T51">
    <cfRule type="cellIs" dxfId="25" priority="17" operator="lessThan">
      <formula>$U$13</formula>
    </cfRule>
    <cfRule type="cellIs" dxfId="24" priority="18" operator="lessThan">
      <formula>$V$13</formula>
    </cfRule>
  </conditionalFormatting>
  <conditionalFormatting sqref="T52">
    <cfRule type="cellIs" dxfId="23" priority="15" operator="lessThan">
      <formula>$U$14</formula>
    </cfRule>
    <cfRule type="cellIs" dxfId="22" priority="16" operator="lessThan">
      <formula>$V$14</formula>
    </cfRule>
  </conditionalFormatting>
  <conditionalFormatting sqref="AC35">
    <cfRule type="cellIs" dxfId="21" priority="23" operator="lessThan">
      <formula>$U$13</formula>
    </cfRule>
    <cfRule type="cellIs" dxfId="20" priority="24" operator="lessThan">
      <formula>$V$13</formula>
    </cfRule>
  </conditionalFormatting>
  <conditionalFormatting sqref="AD35">
    <cfRule type="cellIs" dxfId="19" priority="25" operator="lessThan">
      <formula>$U$14</formula>
    </cfRule>
    <cfRule type="cellIs" dxfId="18" priority="26" operator="lessThan">
      <formula>$V$14</formula>
    </cfRule>
  </conditionalFormatting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F385-6A4E-4818-A353-544C43E338B7}">
  <dimension ref="A1:O25"/>
  <sheetViews>
    <sheetView workbookViewId="0">
      <selection activeCell="M16" sqref="M16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86</v>
      </c>
      <c r="L1" t="s">
        <v>87</v>
      </c>
      <c r="M1" t="s">
        <v>88</v>
      </c>
      <c r="N1" t="s">
        <v>26</v>
      </c>
    </row>
    <row r="2" spans="1:15" x14ac:dyDescent="0.25">
      <c r="A2" t="s">
        <v>27</v>
      </c>
      <c r="B2" t="s">
        <v>28</v>
      </c>
      <c r="F2" t="s">
        <v>29</v>
      </c>
      <c r="G2">
        <v>1</v>
      </c>
      <c r="H2">
        <v>0</v>
      </c>
      <c r="I2" t="s">
        <v>80</v>
      </c>
      <c r="J2" t="s">
        <v>80</v>
      </c>
      <c r="K2">
        <v>0</v>
      </c>
      <c r="L2" t="e">
        <f t="shared" ref="L2:L8" si="0">(J2+$B$25)/$B$24</f>
        <v>#VALUE!</v>
      </c>
      <c r="M2" t="e">
        <f>H2*L2</f>
        <v>#VALUE!</v>
      </c>
      <c r="N2" t="s">
        <v>30</v>
      </c>
    </row>
    <row r="3" spans="1:15" x14ac:dyDescent="0.25">
      <c r="A3" t="s">
        <v>31</v>
      </c>
      <c r="B3" t="s">
        <v>32</v>
      </c>
      <c r="F3" t="s">
        <v>29</v>
      </c>
      <c r="G3">
        <v>1</v>
      </c>
      <c r="H3">
        <v>5</v>
      </c>
      <c r="I3">
        <v>6.4329999999999998</v>
      </c>
      <c r="J3">
        <v>1.7072000000000001</v>
      </c>
      <c r="K3">
        <v>40</v>
      </c>
      <c r="L3">
        <f>(J3+$B$25)/$B$24</f>
        <v>39.780373831775705</v>
      </c>
      <c r="M3">
        <f t="shared" ref="M3:M22" si="1">H3*L3</f>
        <v>198.90186915887853</v>
      </c>
      <c r="N3" t="s">
        <v>33</v>
      </c>
    </row>
    <row r="4" spans="1:15" x14ac:dyDescent="0.25">
      <c r="A4" t="s">
        <v>34</v>
      </c>
      <c r="B4" t="s">
        <v>35</v>
      </c>
      <c r="F4" t="s">
        <v>29</v>
      </c>
      <c r="G4">
        <v>1</v>
      </c>
      <c r="H4">
        <v>10</v>
      </c>
      <c r="I4">
        <v>6.4370000000000003</v>
      </c>
      <c r="J4">
        <v>0.87749999999999995</v>
      </c>
      <c r="K4">
        <v>20</v>
      </c>
      <c r="L4">
        <f t="shared" si="0"/>
        <v>20.394859813084111</v>
      </c>
      <c r="M4">
        <f t="shared" si="1"/>
        <v>203.94859813084111</v>
      </c>
      <c r="N4" t="s">
        <v>36</v>
      </c>
    </row>
    <row r="5" spans="1:15" x14ac:dyDescent="0.25">
      <c r="A5" t="s">
        <v>37</v>
      </c>
      <c r="B5" t="s">
        <v>38</v>
      </c>
      <c r="F5" t="s">
        <v>29</v>
      </c>
      <c r="G5">
        <v>1</v>
      </c>
      <c r="H5">
        <v>20</v>
      </c>
      <c r="I5">
        <v>6.44</v>
      </c>
      <c r="J5">
        <v>0.42720000000000002</v>
      </c>
      <c r="K5">
        <v>10</v>
      </c>
      <c r="L5">
        <f t="shared" si="0"/>
        <v>9.8738317757009355</v>
      </c>
      <c r="M5">
        <f t="shared" si="1"/>
        <v>197.47663551401871</v>
      </c>
      <c r="N5" t="s">
        <v>39</v>
      </c>
    </row>
    <row r="6" spans="1:15" x14ac:dyDescent="0.25">
      <c r="A6" t="s">
        <v>40</v>
      </c>
      <c r="B6" t="s">
        <v>41</v>
      </c>
      <c r="F6" t="s">
        <v>29</v>
      </c>
      <c r="G6">
        <v>1</v>
      </c>
      <c r="H6">
        <v>50</v>
      </c>
      <c r="I6">
        <v>6.44</v>
      </c>
      <c r="J6">
        <v>0.1799</v>
      </c>
      <c r="K6">
        <v>4</v>
      </c>
      <c r="L6">
        <f t="shared" si="0"/>
        <v>4.0957943925233646</v>
      </c>
      <c r="M6">
        <f t="shared" si="1"/>
        <v>204.78971962616822</v>
      </c>
      <c r="N6" t="s">
        <v>42</v>
      </c>
    </row>
    <row r="7" spans="1:15" x14ac:dyDescent="0.25">
      <c r="A7" t="s">
        <v>43</v>
      </c>
      <c r="B7" t="s">
        <v>44</v>
      </c>
      <c r="F7" t="s">
        <v>29</v>
      </c>
      <c r="G7">
        <v>1</v>
      </c>
      <c r="H7">
        <v>100</v>
      </c>
      <c r="I7">
        <v>6.4470000000000001</v>
      </c>
      <c r="J7">
        <v>8.5400000000000004E-2</v>
      </c>
      <c r="K7">
        <v>2</v>
      </c>
      <c r="L7">
        <f t="shared" si="0"/>
        <v>1.8878504672897201</v>
      </c>
      <c r="M7">
        <f t="shared" si="1"/>
        <v>188.78504672897202</v>
      </c>
      <c r="N7" t="s">
        <v>45</v>
      </c>
    </row>
    <row r="8" spans="1:15" x14ac:dyDescent="0.25">
      <c r="A8">
        <v>1</v>
      </c>
      <c r="B8" t="s">
        <v>46</v>
      </c>
      <c r="F8" t="s">
        <v>29</v>
      </c>
      <c r="G8">
        <v>1</v>
      </c>
      <c r="H8">
        <v>0</v>
      </c>
      <c r="I8" t="s">
        <v>80</v>
      </c>
      <c r="J8" t="s">
        <v>80</v>
      </c>
      <c r="L8" t="e">
        <f t="shared" si="0"/>
        <v>#VALUE!</v>
      </c>
      <c r="M8" t="e">
        <f t="shared" si="1"/>
        <v>#VALUE!</v>
      </c>
      <c r="N8" t="s">
        <v>30</v>
      </c>
    </row>
    <row r="9" spans="1:15" x14ac:dyDescent="0.25">
      <c r="A9">
        <v>2</v>
      </c>
      <c r="B9" t="s">
        <v>47</v>
      </c>
      <c r="F9" t="s">
        <v>29</v>
      </c>
      <c r="G9">
        <v>1</v>
      </c>
      <c r="H9">
        <v>20</v>
      </c>
      <c r="I9">
        <v>6.44</v>
      </c>
      <c r="J9">
        <v>0.48849999999999999</v>
      </c>
      <c r="L9">
        <f>(J9+$B$25)/$B$24</f>
        <v>11.30607476635514</v>
      </c>
      <c r="M9">
        <f t="shared" si="1"/>
        <v>226.12149532710279</v>
      </c>
      <c r="N9" t="s">
        <v>48</v>
      </c>
    </row>
    <row r="10" spans="1:15" x14ac:dyDescent="0.25">
      <c r="A10">
        <v>3</v>
      </c>
      <c r="B10" t="s">
        <v>49</v>
      </c>
      <c r="C10">
        <v>0</v>
      </c>
      <c r="D10">
        <v>50</v>
      </c>
      <c r="E10" t="s">
        <v>50</v>
      </c>
      <c r="F10" t="s">
        <v>29</v>
      </c>
      <c r="G10">
        <v>1</v>
      </c>
      <c r="H10">
        <v>10</v>
      </c>
      <c r="I10" t="s">
        <v>80</v>
      </c>
      <c r="J10" t="s">
        <v>80</v>
      </c>
      <c r="L10" t="e">
        <f t="shared" ref="L10:L22" si="2">(J10+$B$25)/$B$24</f>
        <v>#VALUE!</v>
      </c>
      <c r="M10" t="e">
        <f t="shared" si="1"/>
        <v>#VALUE!</v>
      </c>
      <c r="N10" t="s">
        <v>51</v>
      </c>
      <c r="O10" t="e">
        <f>AVERAGE(L10:L12)</f>
        <v>#VALUE!</v>
      </c>
    </row>
    <row r="11" spans="1:15" x14ac:dyDescent="0.25">
      <c r="A11">
        <v>4</v>
      </c>
      <c r="B11" t="s">
        <v>52</v>
      </c>
      <c r="C11">
        <v>0</v>
      </c>
      <c r="D11">
        <v>50</v>
      </c>
      <c r="E11" t="s">
        <v>53</v>
      </c>
      <c r="F11" t="s">
        <v>29</v>
      </c>
      <c r="G11">
        <v>1</v>
      </c>
      <c r="H11">
        <v>10</v>
      </c>
      <c r="I11" t="s">
        <v>80</v>
      </c>
      <c r="J11" t="s">
        <v>80</v>
      </c>
      <c r="L11" t="e">
        <f t="shared" si="2"/>
        <v>#VALUE!</v>
      </c>
      <c r="M11" t="e">
        <f t="shared" si="1"/>
        <v>#VALUE!</v>
      </c>
      <c r="N11" t="s">
        <v>54</v>
      </c>
    </row>
    <row r="12" spans="1:15" x14ac:dyDescent="0.25">
      <c r="A12">
        <v>5</v>
      </c>
      <c r="B12" t="s">
        <v>55</v>
      </c>
      <c r="C12">
        <v>0</v>
      </c>
      <c r="D12">
        <v>50</v>
      </c>
      <c r="E12" t="s">
        <v>56</v>
      </c>
      <c r="F12" t="s">
        <v>29</v>
      </c>
      <c r="G12">
        <v>1</v>
      </c>
      <c r="H12">
        <v>10</v>
      </c>
      <c r="I12" t="s">
        <v>80</v>
      </c>
      <c r="J12" t="s">
        <v>80</v>
      </c>
      <c r="L12" t="e">
        <f t="shared" si="2"/>
        <v>#VALUE!</v>
      </c>
      <c r="M12" t="e">
        <f t="shared" si="1"/>
        <v>#VALUE!</v>
      </c>
      <c r="N12" t="s">
        <v>57</v>
      </c>
    </row>
    <row r="13" spans="1:15" x14ac:dyDescent="0.25">
      <c r="A13">
        <v>6</v>
      </c>
      <c r="B13" t="s">
        <v>58</v>
      </c>
      <c r="C13">
        <v>0</v>
      </c>
      <c r="D13">
        <v>70</v>
      </c>
      <c r="E13" t="s">
        <v>59</v>
      </c>
      <c r="F13" t="s">
        <v>29</v>
      </c>
      <c r="G13">
        <v>1</v>
      </c>
      <c r="H13">
        <v>10</v>
      </c>
      <c r="I13" t="s">
        <v>80</v>
      </c>
      <c r="J13" t="s">
        <v>80</v>
      </c>
      <c r="L13" t="e">
        <f t="shared" si="2"/>
        <v>#VALUE!</v>
      </c>
      <c r="M13" t="e">
        <f t="shared" si="1"/>
        <v>#VALUE!</v>
      </c>
      <c r="N13" t="s">
        <v>60</v>
      </c>
    </row>
    <row r="14" spans="1:15" x14ac:dyDescent="0.25">
      <c r="A14">
        <v>7</v>
      </c>
      <c r="B14" t="s">
        <v>61</v>
      </c>
      <c r="C14">
        <v>20</v>
      </c>
      <c r="D14">
        <v>60</v>
      </c>
      <c r="E14" t="s">
        <v>62</v>
      </c>
      <c r="F14" t="s">
        <v>29</v>
      </c>
      <c r="G14">
        <v>1</v>
      </c>
      <c r="H14">
        <v>10</v>
      </c>
      <c r="I14" t="s">
        <v>80</v>
      </c>
      <c r="J14" t="s">
        <v>80</v>
      </c>
      <c r="L14" t="e">
        <f t="shared" si="2"/>
        <v>#VALUE!</v>
      </c>
      <c r="M14" t="e">
        <f t="shared" si="1"/>
        <v>#VALUE!</v>
      </c>
      <c r="N14" t="s">
        <v>63</v>
      </c>
      <c r="O14" t="e">
        <f>AVERAGE(L14:L16)</f>
        <v>#VALUE!</v>
      </c>
    </row>
    <row r="15" spans="1:15" x14ac:dyDescent="0.25">
      <c r="A15">
        <v>8</v>
      </c>
      <c r="B15" t="s">
        <v>64</v>
      </c>
      <c r="C15">
        <v>20</v>
      </c>
      <c r="D15">
        <v>60</v>
      </c>
      <c r="E15" t="s">
        <v>65</v>
      </c>
      <c r="F15" t="s">
        <v>29</v>
      </c>
      <c r="G15">
        <v>1</v>
      </c>
      <c r="H15">
        <v>10</v>
      </c>
      <c r="I15" t="s">
        <v>80</v>
      </c>
      <c r="J15" t="s">
        <v>80</v>
      </c>
      <c r="L15" t="e">
        <f t="shared" si="2"/>
        <v>#VALUE!</v>
      </c>
      <c r="M15" t="e">
        <f t="shared" si="1"/>
        <v>#VALUE!</v>
      </c>
      <c r="N15" t="s">
        <v>66</v>
      </c>
    </row>
    <row r="16" spans="1:15" x14ac:dyDescent="0.25">
      <c r="A16">
        <v>9</v>
      </c>
      <c r="B16" t="s">
        <v>67</v>
      </c>
      <c r="C16">
        <v>20</v>
      </c>
      <c r="D16">
        <v>60</v>
      </c>
      <c r="E16" t="s">
        <v>68</v>
      </c>
      <c r="F16" t="s">
        <v>29</v>
      </c>
      <c r="G16">
        <v>1</v>
      </c>
      <c r="H16">
        <v>10</v>
      </c>
      <c r="I16">
        <v>6.47</v>
      </c>
      <c r="J16">
        <v>1.3599999999999999E-2</v>
      </c>
      <c r="L16">
        <f t="shared" si="2"/>
        <v>0.2102803738317757</v>
      </c>
      <c r="M16">
        <f t="shared" si="1"/>
        <v>2.1028037383177569</v>
      </c>
      <c r="N16" t="s">
        <v>69</v>
      </c>
    </row>
    <row r="17" spans="1:14" x14ac:dyDescent="0.25">
      <c r="A17">
        <v>10</v>
      </c>
      <c r="B17" t="s">
        <v>70</v>
      </c>
      <c r="C17">
        <v>20</v>
      </c>
      <c r="D17">
        <v>70</v>
      </c>
      <c r="E17" t="s">
        <v>59</v>
      </c>
      <c r="F17" t="s">
        <v>29</v>
      </c>
      <c r="G17">
        <v>1</v>
      </c>
      <c r="H17">
        <v>10</v>
      </c>
      <c r="I17" t="s">
        <v>80</v>
      </c>
      <c r="J17" t="s">
        <v>80</v>
      </c>
      <c r="L17" t="e">
        <f t="shared" si="2"/>
        <v>#VALUE!</v>
      </c>
      <c r="M17" t="e">
        <f t="shared" si="1"/>
        <v>#VALUE!</v>
      </c>
      <c r="N17" t="s">
        <v>71</v>
      </c>
    </row>
    <row r="18" spans="1:14" x14ac:dyDescent="0.25">
      <c r="A18">
        <v>11</v>
      </c>
      <c r="B18" t="s">
        <v>72</v>
      </c>
      <c r="C18">
        <v>20</v>
      </c>
      <c r="D18">
        <v>80</v>
      </c>
      <c r="E18" t="s">
        <v>59</v>
      </c>
      <c r="F18" t="s">
        <v>29</v>
      </c>
      <c r="G18">
        <v>1</v>
      </c>
      <c r="H18">
        <v>10</v>
      </c>
      <c r="I18" t="s">
        <v>80</v>
      </c>
      <c r="J18" t="s">
        <v>80</v>
      </c>
      <c r="L18" t="e">
        <f t="shared" si="2"/>
        <v>#VALUE!</v>
      </c>
      <c r="M18" t="e">
        <f t="shared" si="1"/>
        <v>#VALUE!</v>
      </c>
      <c r="N18" t="s">
        <v>73</v>
      </c>
    </row>
    <row r="19" spans="1:14" x14ac:dyDescent="0.25">
      <c r="A19">
        <v>12</v>
      </c>
      <c r="B19" t="s">
        <v>74</v>
      </c>
      <c r="C19">
        <v>20</v>
      </c>
      <c r="D19">
        <v>90</v>
      </c>
      <c r="E19" t="s">
        <v>75</v>
      </c>
      <c r="F19" t="s">
        <v>29</v>
      </c>
      <c r="G19">
        <v>1</v>
      </c>
      <c r="H19">
        <v>10</v>
      </c>
      <c r="I19" t="s">
        <v>80</v>
      </c>
      <c r="J19" t="s">
        <v>80</v>
      </c>
      <c r="L19" t="e">
        <f t="shared" si="2"/>
        <v>#VALUE!</v>
      </c>
      <c r="M19" t="e">
        <f t="shared" si="1"/>
        <v>#VALUE!</v>
      </c>
      <c r="N19" t="s">
        <v>76</v>
      </c>
    </row>
    <row r="20" spans="1:14" x14ac:dyDescent="0.25">
      <c r="A20">
        <v>13</v>
      </c>
      <c r="B20" t="s">
        <v>77</v>
      </c>
      <c r="F20" t="s">
        <v>29</v>
      </c>
      <c r="G20">
        <v>1</v>
      </c>
      <c r="H20">
        <v>0</v>
      </c>
      <c r="I20" t="s">
        <v>80</v>
      </c>
      <c r="J20" t="s">
        <v>80</v>
      </c>
      <c r="L20" t="e">
        <f t="shared" si="2"/>
        <v>#VALUE!</v>
      </c>
      <c r="M20" t="e">
        <f t="shared" si="1"/>
        <v>#VALUE!</v>
      </c>
      <c r="N20" t="s">
        <v>78</v>
      </c>
    </row>
    <row r="21" spans="1:14" x14ac:dyDescent="0.25">
      <c r="A21">
        <v>14</v>
      </c>
      <c r="B21" t="s">
        <v>47</v>
      </c>
      <c r="F21" t="s">
        <v>29</v>
      </c>
      <c r="G21">
        <v>1</v>
      </c>
      <c r="H21">
        <v>20</v>
      </c>
      <c r="I21">
        <v>6.4370000000000003</v>
      </c>
      <c r="J21">
        <v>0.46310000000000001</v>
      </c>
      <c r="K21">
        <v>1</v>
      </c>
      <c r="L21">
        <f t="shared" si="2"/>
        <v>10.712616822429908</v>
      </c>
      <c r="M21">
        <f t="shared" si="1"/>
        <v>214.25233644859816</v>
      </c>
      <c r="N21" t="s">
        <v>48</v>
      </c>
    </row>
    <row r="22" spans="1:14" x14ac:dyDescent="0.25">
      <c r="A22">
        <v>15</v>
      </c>
      <c r="B22" t="s">
        <v>28</v>
      </c>
      <c r="F22" t="s">
        <v>29</v>
      </c>
      <c r="G22">
        <v>1</v>
      </c>
      <c r="H22">
        <v>0</v>
      </c>
      <c r="I22" t="s">
        <v>80</v>
      </c>
      <c r="J22" t="s">
        <v>80</v>
      </c>
      <c r="K22">
        <v>0</v>
      </c>
      <c r="L22" t="e">
        <f t="shared" si="2"/>
        <v>#VALUE!</v>
      </c>
      <c r="M22" t="e">
        <f t="shared" si="1"/>
        <v>#VALUE!</v>
      </c>
      <c r="N22" t="s">
        <v>30</v>
      </c>
    </row>
    <row r="23" spans="1:14" x14ac:dyDescent="0.25">
      <c r="A23" s="1"/>
    </row>
    <row r="24" spans="1:14" x14ac:dyDescent="0.25">
      <c r="A24" t="s">
        <v>81</v>
      </c>
      <c r="B24">
        <v>4.2799999999999998E-2</v>
      </c>
    </row>
    <row r="25" spans="1:14" x14ac:dyDescent="0.25">
      <c r="A25" t="s">
        <v>82</v>
      </c>
      <c r="B25">
        <v>-4.5999999999999999E-3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C516-9729-4C1E-B3E2-BA1F062C4DF6}">
  <dimension ref="A1:AI52"/>
  <sheetViews>
    <sheetView topLeftCell="T22" zoomScale="85" zoomScaleNormal="85" workbookViewId="0">
      <selection activeCell="Y51" sqref="Y51"/>
    </sheetView>
  </sheetViews>
  <sheetFormatPr defaultRowHeight="15" x14ac:dyDescent="0.25"/>
  <cols>
    <col min="8" max="8" width="9.140625" style="24"/>
    <col min="9" max="9" width="9.140625" style="25"/>
    <col min="10" max="10" width="9.140625" style="26"/>
    <col min="11" max="11" width="11.7109375" style="25" customWidth="1"/>
    <col min="12" max="12" width="14.85546875" style="25" customWidth="1"/>
    <col min="14" max="14" width="17.28515625" style="25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</cols>
  <sheetData>
    <row r="1" spans="1:35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3" t="s">
        <v>21</v>
      </c>
      <c r="I1" s="3" t="s">
        <v>22</v>
      </c>
      <c r="J1" s="4" t="s">
        <v>169</v>
      </c>
      <c r="K1" s="3" t="s">
        <v>170</v>
      </c>
      <c r="L1" s="3" t="s">
        <v>171</v>
      </c>
      <c r="M1" s="2" t="s">
        <v>20</v>
      </c>
      <c r="N1" s="3" t="s">
        <v>172</v>
      </c>
      <c r="O1" s="3" t="s">
        <v>173</v>
      </c>
      <c r="P1" s="2" t="s">
        <v>26</v>
      </c>
      <c r="S1" s="5" t="s">
        <v>93</v>
      </c>
      <c r="T1" s="6" t="str">
        <f t="shared" ref="T1:U1" si="0">A1</f>
        <v>sample_no</v>
      </c>
      <c r="U1" s="2" t="str">
        <f t="shared" si="0"/>
        <v>sample_id</v>
      </c>
      <c r="V1" s="2" t="str">
        <f t="shared" ref="V1:W1" si="1">F1</f>
        <v>IC_date</v>
      </c>
      <c r="W1" s="2" t="str">
        <f t="shared" si="1"/>
        <v>V_sample_ml</v>
      </c>
      <c r="X1" s="6" t="str">
        <f t="shared" ref="X1" si="2">M1</f>
        <v>dilution_factor</v>
      </c>
      <c r="Y1" s="2" t="str">
        <f t="shared" ref="Y1:AA1" si="3">H1</f>
        <v>ret_time_min</v>
      </c>
      <c r="Z1" s="2" t="str">
        <f t="shared" si="3"/>
        <v>peak_area_usmin</v>
      </c>
      <c r="AA1" s="2" t="str">
        <f t="shared" si="3"/>
        <v>c_Sulfate_ calib_ppm</v>
      </c>
      <c r="AG1" s="5" t="s">
        <v>168</v>
      </c>
    </row>
    <row r="2" spans="1:35" x14ac:dyDescent="0.25">
      <c r="A2" s="16" t="s">
        <v>27</v>
      </c>
      <c r="B2" s="16" t="s">
        <v>150</v>
      </c>
      <c r="C2" s="16"/>
      <c r="D2" s="16"/>
      <c r="E2" s="16"/>
      <c r="F2" s="16" t="s">
        <v>29</v>
      </c>
      <c r="G2" s="16">
        <v>1</v>
      </c>
      <c r="H2" s="17" t="s">
        <v>150</v>
      </c>
      <c r="I2" s="18" t="s">
        <v>150</v>
      </c>
      <c r="J2" s="18">
        <v>0</v>
      </c>
      <c r="K2" s="18" t="str">
        <f t="shared" ref="K2" si="4">IF(H2="NA", "NA", ((I2-($AH$3))/$AG$3))</f>
        <v>NA</v>
      </c>
      <c r="L2" s="18" t="s">
        <v>150</v>
      </c>
      <c r="M2" s="16">
        <v>0</v>
      </c>
      <c r="N2" s="18"/>
      <c r="O2" s="18"/>
      <c r="P2" s="16" t="s">
        <v>153</v>
      </c>
      <c r="T2" s="10" t="str">
        <f t="shared" ref="T2:U7" si="5">A3</f>
        <v>Cal 2</v>
      </c>
      <c r="U2" s="7" t="str">
        <f t="shared" si="5"/>
        <v>Blank</v>
      </c>
      <c r="V2" s="7" t="str">
        <f t="shared" ref="V2:W7" si="6">F3</f>
        <v>10.11.2023</v>
      </c>
      <c r="W2" s="7">
        <f t="shared" si="6"/>
        <v>1</v>
      </c>
      <c r="X2" s="7">
        <f t="shared" ref="X2:X7" si="7">M3</f>
        <v>0</v>
      </c>
      <c r="Y2" s="9">
        <f t="shared" ref="Y2:AA7" si="8">H3</f>
        <v>7.16</v>
      </c>
      <c r="Z2" s="9">
        <f t="shared" si="8"/>
        <v>2.7099999999999999E-2</v>
      </c>
      <c r="AA2" s="23">
        <f t="shared" si="8"/>
        <v>0</v>
      </c>
      <c r="AG2" s="2" t="s">
        <v>96</v>
      </c>
      <c r="AH2" s="2" t="s">
        <v>97</v>
      </c>
    </row>
    <row r="3" spans="1:35" x14ac:dyDescent="0.25">
      <c r="A3" s="7" t="s">
        <v>31</v>
      </c>
      <c r="B3" s="7" t="s">
        <v>28</v>
      </c>
      <c r="C3" s="7"/>
      <c r="D3" s="7"/>
      <c r="E3" s="7"/>
      <c r="F3" s="7" t="s">
        <v>29</v>
      </c>
      <c r="G3" s="7">
        <v>1</v>
      </c>
      <c r="H3" s="8">
        <v>7.16</v>
      </c>
      <c r="I3" s="9">
        <v>2.7099999999999999E-2</v>
      </c>
      <c r="J3" s="9">
        <v>0</v>
      </c>
      <c r="K3" s="9">
        <f>IF(H3="NA", "NA", ((I3-($AH$3))/$AG$3))</f>
        <v>5.799042310873348E-2</v>
      </c>
      <c r="L3" s="9">
        <v>5.8099999999999999E-2</v>
      </c>
      <c r="M3" s="7">
        <v>0</v>
      </c>
      <c r="N3" s="9"/>
      <c r="O3" s="9"/>
      <c r="P3" s="7" t="s">
        <v>30</v>
      </c>
      <c r="T3" s="11" t="str">
        <f t="shared" si="5"/>
        <v>Cal 3</v>
      </c>
      <c r="U3" s="7" t="str">
        <f t="shared" si="5"/>
        <v>x 5</v>
      </c>
      <c r="V3" s="7" t="str">
        <f t="shared" si="6"/>
        <v>10.11.2023</v>
      </c>
      <c r="W3" s="7">
        <f t="shared" si="6"/>
        <v>1</v>
      </c>
      <c r="X3" s="7">
        <f t="shared" si="7"/>
        <v>5</v>
      </c>
      <c r="Y3" s="9">
        <f t="shared" si="8"/>
        <v>7.2229999999999999</v>
      </c>
      <c r="Z3" s="9">
        <f t="shared" si="8"/>
        <v>2.5909</v>
      </c>
      <c r="AA3" s="23">
        <f t="shared" si="8"/>
        <v>20</v>
      </c>
      <c r="AF3" t="s">
        <v>98</v>
      </c>
      <c r="AG3" s="9" cm="1">
        <f t="array" ref="AG3:AH7">LINEST(Z2:Z7,AA2:AA7, TRUE, TRUE)</f>
        <v>0.12912707373271889</v>
      </c>
      <c r="AH3" s="9">
        <v>1.9611866359447006E-2</v>
      </c>
      <c r="AI3" s="12" t="s">
        <v>99</v>
      </c>
    </row>
    <row r="4" spans="1:35" x14ac:dyDescent="0.25">
      <c r="A4" s="7" t="s">
        <v>34</v>
      </c>
      <c r="B4" s="7" t="s">
        <v>32</v>
      </c>
      <c r="C4" s="7"/>
      <c r="D4" s="7"/>
      <c r="E4" s="7"/>
      <c r="F4" s="7" t="s">
        <v>29</v>
      </c>
      <c r="G4" s="7">
        <v>1</v>
      </c>
      <c r="H4" s="8">
        <v>7.2229999999999999</v>
      </c>
      <c r="I4" s="9">
        <v>2.5909</v>
      </c>
      <c r="J4" s="9">
        <v>20</v>
      </c>
      <c r="K4" s="9">
        <f t="shared" ref="K4:K10" si="9">IF(H4="NA", "NA", ((I4-($AH$3))/$AG$3))</f>
        <v>19.912850646355402</v>
      </c>
      <c r="L4" s="9">
        <v>19.912800000000001</v>
      </c>
      <c r="M4" s="7">
        <v>5</v>
      </c>
      <c r="N4" s="9"/>
      <c r="O4" s="9"/>
      <c r="P4" s="7" t="s">
        <v>33</v>
      </c>
      <c r="T4" s="11" t="str">
        <f t="shared" si="5"/>
        <v>Cal 4</v>
      </c>
      <c r="U4" s="7" t="str">
        <f t="shared" si="5"/>
        <v>x 10</v>
      </c>
      <c r="V4" s="7" t="str">
        <f t="shared" si="6"/>
        <v>10.11.2023</v>
      </c>
      <c r="W4" s="7">
        <f t="shared" si="6"/>
        <v>1</v>
      </c>
      <c r="X4" s="7">
        <f t="shared" si="7"/>
        <v>10</v>
      </c>
      <c r="Y4" s="9">
        <f t="shared" si="8"/>
        <v>7.2130000000000001</v>
      </c>
      <c r="Z4" s="9">
        <f t="shared" si="8"/>
        <v>1.3312999999999999</v>
      </c>
      <c r="AA4" s="23">
        <f t="shared" si="8"/>
        <v>10</v>
      </c>
      <c r="AF4" t="s">
        <v>100</v>
      </c>
      <c r="AG4" s="9">
        <v>1.0627827310572483E-3</v>
      </c>
      <c r="AH4" s="9">
        <v>9.9886500649466886E-3</v>
      </c>
      <c r="AI4" t="s">
        <v>101</v>
      </c>
    </row>
    <row r="5" spans="1:35" x14ac:dyDescent="0.25">
      <c r="A5" s="7" t="s">
        <v>37</v>
      </c>
      <c r="B5" s="7" t="s">
        <v>35</v>
      </c>
      <c r="C5" s="7"/>
      <c r="D5" s="7"/>
      <c r="E5" s="7"/>
      <c r="F5" s="7" t="s">
        <v>29</v>
      </c>
      <c r="G5" s="7">
        <v>1</v>
      </c>
      <c r="H5" s="8">
        <v>7.2130000000000001</v>
      </c>
      <c r="I5" s="9">
        <v>1.3312999999999999</v>
      </c>
      <c r="J5" s="9">
        <v>10</v>
      </c>
      <c r="K5" s="9">
        <f t="shared" si="9"/>
        <v>10.158118632469177</v>
      </c>
      <c r="L5" s="9">
        <v>10.1584</v>
      </c>
      <c r="M5" s="7">
        <v>10</v>
      </c>
      <c r="N5" s="9"/>
      <c r="O5" s="9"/>
      <c r="P5" s="7" t="s">
        <v>36</v>
      </c>
      <c r="T5" s="11" t="str">
        <f t="shared" si="5"/>
        <v>Cal 5</v>
      </c>
      <c r="U5" s="7" t="str">
        <f t="shared" si="5"/>
        <v>x 20</v>
      </c>
      <c r="V5" s="7" t="str">
        <f t="shared" si="6"/>
        <v>10.11.2023</v>
      </c>
      <c r="W5" s="7">
        <f t="shared" si="6"/>
        <v>1</v>
      </c>
      <c r="X5" s="7">
        <f t="shared" si="7"/>
        <v>20</v>
      </c>
      <c r="Y5" s="9">
        <f t="shared" si="8"/>
        <v>7.2069999999999999</v>
      </c>
      <c r="Z5" s="9">
        <f t="shared" si="8"/>
        <v>0.67510000000000003</v>
      </c>
      <c r="AA5" s="23">
        <f t="shared" si="8"/>
        <v>5</v>
      </c>
      <c r="AF5" t="s">
        <v>102</v>
      </c>
      <c r="AG5" s="9">
        <v>0.99972910768286993</v>
      </c>
      <c r="AH5" s="9">
        <v>1.8077722863792708E-2</v>
      </c>
      <c r="AI5" t="s">
        <v>103</v>
      </c>
    </row>
    <row r="6" spans="1:35" x14ac:dyDescent="0.25">
      <c r="A6" s="7" t="s">
        <v>40</v>
      </c>
      <c r="B6" s="7" t="s">
        <v>38</v>
      </c>
      <c r="C6" s="7"/>
      <c r="D6" s="7"/>
      <c r="E6" s="7"/>
      <c r="F6" s="7" t="s">
        <v>29</v>
      </c>
      <c r="G6" s="7">
        <v>1</v>
      </c>
      <c r="H6" s="8">
        <v>7.2069999999999999</v>
      </c>
      <c r="I6" s="9">
        <v>0.67510000000000003</v>
      </c>
      <c r="J6" s="9">
        <v>5</v>
      </c>
      <c r="K6" s="9">
        <f t="shared" si="9"/>
        <v>5.0763028595951374</v>
      </c>
      <c r="L6" s="9">
        <v>5.0762</v>
      </c>
      <c r="M6" s="7">
        <v>20</v>
      </c>
      <c r="N6" s="9"/>
      <c r="O6" s="9"/>
      <c r="P6" s="7" t="s">
        <v>39</v>
      </c>
      <c r="T6" s="11" t="str">
        <f t="shared" si="5"/>
        <v>Cal 6</v>
      </c>
      <c r="U6" s="7" t="str">
        <f t="shared" si="5"/>
        <v>x 50</v>
      </c>
      <c r="V6" s="7" t="str">
        <f t="shared" si="6"/>
        <v>10.11.2023</v>
      </c>
      <c r="W6" s="7">
        <f t="shared" si="6"/>
        <v>1</v>
      </c>
      <c r="X6" s="7">
        <f t="shared" si="7"/>
        <v>50</v>
      </c>
      <c r="Y6" s="9">
        <f t="shared" si="8"/>
        <v>7.2</v>
      </c>
      <c r="Z6" s="9">
        <f t="shared" si="8"/>
        <v>0.27600000000000002</v>
      </c>
      <c r="AA6" s="23">
        <f t="shared" si="8"/>
        <v>2</v>
      </c>
      <c r="AF6" t="s">
        <v>104</v>
      </c>
      <c r="AG6" s="9">
        <v>14762.014933088201</v>
      </c>
      <c r="AH6" s="9">
        <v>4</v>
      </c>
      <c r="AI6" t="s">
        <v>105</v>
      </c>
    </row>
    <row r="7" spans="1:35" x14ac:dyDescent="0.25">
      <c r="A7" s="7" t="s">
        <v>43</v>
      </c>
      <c r="B7" s="7" t="s">
        <v>41</v>
      </c>
      <c r="C7" s="7"/>
      <c r="D7" s="7"/>
      <c r="E7" s="7"/>
      <c r="F7" s="7" t="s">
        <v>29</v>
      </c>
      <c r="G7" s="7">
        <v>1</v>
      </c>
      <c r="H7" s="8">
        <v>7.2</v>
      </c>
      <c r="I7" s="9">
        <v>0.27600000000000002</v>
      </c>
      <c r="J7" s="9">
        <v>2</v>
      </c>
      <c r="K7" s="9">
        <f t="shared" si="9"/>
        <v>1.985549011752971</v>
      </c>
      <c r="L7" s="9">
        <v>1.9855</v>
      </c>
      <c r="M7" s="7">
        <v>50</v>
      </c>
      <c r="N7" s="9"/>
      <c r="O7" s="9"/>
      <c r="P7" s="7" t="s">
        <v>42</v>
      </c>
      <c r="T7" s="23">
        <f t="shared" si="5"/>
        <v>1</v>
      </c>
      <c r="U7" s="7" t="str">
        <f t="shared" si="5"/>
        <v>x 100</v>
      </c>
      <c r="V7" s="7" t="str">
        <f t="shared" si="6"/>
        <v>10.11.2023</v>
      </c>
      <c r="W7" s="7">
        <f t="shared" si="6"/>
        <v>1</v>
      </c>
      <c r="X7" s="7">
        <f t="shared" si="7"/>
        <v>100</v>
      </c>
      <c r="Y7" s="9">
        <f t="shared" si="8"/>
        <v>7.2030000000000003</v>
      </c>
      <c r="Z7" s="9">
        <f t="shared" si="8"/>
        <v>0.1241</v>
      </c>
      <c r="AA7" s="23">
        <f t="shared" si="8"/>
        <v>1</v>
      </c>
      <c r="AF7" t="s">
        <v>106</v>
      </c>
      <c r="AG7" s="9">
        <v>4.8242864720775733</v>
      </c>
      <c r="AH7" s="9">
        <v>1.3072162557603744E-3</v>
      </c>
      <c r="AI7" t="s">
        <v>107</v>
      </c>
    </row>
    <row r="8" spans="1:35" x14ac:dyDescent="0.25">
      <c r="A8" s="7">
        <v>1</v>
      </c>
      <c r="B8" s="7" t="s">
        <v>44</v>
      </c>
      <c r="C8" s="7"/>
      <c r="D8" s="7"/>
      <c r="E8" s="7"/>
      <c r="F8" s="7" t="s">
        <v>29</v>
      </c>
      <c r="G8" s="7">
        <v>1</v>
      </c>
      <c r="H8" s="8">
        <v>7.2030000000000003</v>
      </c>
      <c r="I8" s="9">
        <v>0.1241</v>
      </c>
      <c r="J8" s="9">
        <v>1</v>
      </c>
      <c r="K8" s="9">
        <f t="shared" si="9"/>
        <v>0.80918842671858093</v>
      </c>
      <c r="L8" s="9">
        <v>0.80910000000000004</v>
      </c>
      <c r="M8" s="7">
        <v>100</v>
      </c>
      <c r="N8" s="9"/>
      <c r="O8" s="9"/>
      <c r="P8" s="7" t="s">
        <v>45</v>
      </c>
      <c r="S8" s="5"/>
    </row>
    <row r="9" spans="1:35" x14ac:dyDescent="0.25">
      <c r="A9" s="7">
        <v>2</v>
      </c>
      <c r="B9" s="7" t="s">
        <v>46</v>
      </c>
      <c r="C9" s="7"/>
      <c r="D9" s="7"/>
      <c r="E9" s="7"/>
      <c r="F9" s="7" t="s">
        <v>29</v>
      </c>
      <c r="G9" s="7">
        <v>1</v>
      </c>
      <c r="H9" s="8" t="s">
        <v>150</v>
      </c>
      <c r="I9" s="9" t="s">
        <v>150</v>
      </c>
      <c r="J9" s="9"/>
      <c r="K9" s="9" t="str">
        <f t="shared" si="9"/>
        <v>NA</v>
      </c>
      <c r="L9" s="9" t="s">
        <v>150</v>
      </c>
      <c r="M9" s="7">
        <v>0</v>
      </c>
      <c r="N9" s="9"/>
      <c r="O9" s="9"/>
      <c r="P9" s="7" t="s">
        <v>30</v>
      </c>
    </row>
    <row r="10" spans="1:35" x14ac:dyDescent="0.25">
      <c r="A10" s="7">
        <v>3</v>
      </c>
      <c r="B10" s="7" t="s">
        <v>47</v>
      </c>
      <c r="C10" s="7"/>
      <c r="D10" s="7"/>
      <c r="E10" s="7"/>
      <c r="F10" s="7" t="s">
        <v>29</v>
      </c>
      <c r="G10" s="7">
        <v>1</v>
      </c>
      <c r="H10" s="8">
        <v>7.21</v>
      </c>
      <c r="I10" s="9">
        <v>0.76380000000000003</v>
      </c>
      <c r="J10" s="9"/>
      <c r="K10" s="9">
        <f t="shared" si="9"/>
        <v>5.7632230958857917</v>
      </c>
      <c r="L10" s="9">
        <v>5.7632000000000003</v>
      </c>
      <c r="M10" s="7">
        <v>20</v>
      </c>
      <c r="N10" s="9"/>
      <c r="O10" s="9"/>
      <c r="P10" s="7" t="s">
        <v>48</v>
      </c>
    </row>
    <row r="11" spans="1:35" x14ac:dyDescent="0.25">
      <c r="A11" s="7">
        <v>4</v>
      </c>
      <c r="B11" s="7" t="s">
        <v>151</v>
      </c>
      <c r="C11" s="7">
        <v>0</v>
      </c>
      <c r="D11" s="7">
        <v>50</v>
      </c>
      <c r="E11" s="7" t="s">
        <v>75</v>
      </c>
      <c r="F11" s="7" t="s">
        <v>29</v>
      </c>
      <c r="G11" s="7">
        <v>1</v>
      </c>
      <c r="H11" s="8">
        <f>IFERROR(AVERAGE(AA36:AA38), "NA")</f>
        <v>7.1956666666666669</v>
      </c>
      <c r="I11" s="9">
        <f>IFERROR(Y47, "NA")</f>
        <v>8.0266666666666667E-2</v>
      </c>
      <c r="J11" s="9"/>
      <c r="K11" s="9">
        <f>IFERROR(Y48, "NA")</f>
        <v>0.46972953505296261</v>
      </c>
      <c r="L11" s="9">
        <f>IFERROR(Y49, "NA")</f>
        <v>0.46970000000000001</v>
      </c>
      <c r="M11" s="7">
        <v>10</v>
      </c>
      <c r="N11" s="9">
        <f>IF(H11="NA", "NA",M11*K11)</f>
        <v>4.6972953505296262</v>
      </c>
      <c r="O11" s="9">
        <f>IF(H11="NA", "NA",M11*L11)</f>
        <v>4.6970000000000001</v>
      </c>
      <c r="P11" s="7" t="s">
        <v>154</v>
      </c>
      <c r="S11" s="5" t="s">
        <v>108</v>
      </c>
      <c r="T11" s="13"/>
      <c r="U11" s="14" t="s">
        <v>109</v>
      </c>
      <c r="V11" s="15" t="s">
        <v>110</v>
      </c>
    </row>
    <row r="12" spans="1:35" x14ac:dyDescent="0.25">
      <c r="A12" s="7">
        <v>7</v>
      </c>
      <c r="B12" s="7" t="s">
        <v>58</v>
      </c>
      <c r="C12" s="7">
        <v>0</v>
      </c>
      <c r="D12" s="7">
        <v>70</v>
      </c>
      <c r="E12" s="7" t="s">
        <v>59</v>
      </c>
      <c r="F12" s="7" t="s">
        <v>29</v>
      </c>
      <c r="G12" s="7">
        <v>1</v>
      </c>
      <c r="H12" s="8">
        <v>7.1829999999999998</v>
      </c>
      <c r="I12" s="9">
        <v>6.3600000000000004E-2</v>
      </c>
      <c r="J12" s="9"/>
      <c r="K12" s="9">
        <f>IF(H12="NA", "NA", ((I12-($AH$3))/$AG$3))</f>
        <v>0.34065771312687199</v>
      </c>
      <c r="L12" s="9">
        <v>0.34079999999999999</v>
      </c>
      <c r="M12" s="7">
        <v>10</v>
      </c>
      <c r="N12" s="9">
        <f t="shared" ref="N12:N16" si="10">IF(H12="NA", "NA",M12*K12)</f>
        <v>3.4065771312687199</v>
      </c>
      <c r="O12" s="9">
        <f t="shared" ref="O12:O15" si="11">IF(H12="NA", "NA",M12*L12)</f>
        <v>3.4079999999999999</v>
      </c>
      <c r="P12" s="7" t="s">
        <v>60</v>
      </c>
      <c r="T12" s="19" t="s">
        <v>111</v>
      </c>
      <c r="U12" s="9" t="e">
        <f xml:space="preserve"> AVERAGE(I9,I19)+3*STDEV(I9,I19)</f>
        <v>#DIV/0!</v>
      </c>
      <c r="V12" s="9" t="e">
        <f xml:space="preserve"> AVERAGE((I9,I19))+10*STDEV(I9,I19)</f>
        <v>#DIV/0!</v>
      </c>
    </row>
    <row r="13" spans="1:35" x14ac:dyDescent="0.25">
      <c r="A13" s="7">
        <v>8</v>
      </c>
      <c r="B13" s="7" t="s">
        <v>152</v>
      </c>
      <c r="C13" s="7">
        <v>20</v>
      </c>
      <c r="D13" s="7">
        <v>60</v>
      </c>
      <c r="E13" s="7" t="s">
        <v>59</v>
      </c>
      <c r="F13" s="7" t="s">
        <v>29</v>
      </c>
      <c r="G13" s="7">
        <v>1</v>
      </c>
      <c r="H13" s="8">
        <f>IFERROR(AVERAGE(AA39:AA41), "NA")</f>
        <v>7.1870000000000003</v>
      </c>
      <c r="I13" s="9">
        <f>IFERROR(Y50, "NA")</f>
        <v>1.7666666666666667E-2</v>
      </c>
      <c r="J13" s="9"/>
      <c r="K13" s="9">
        <f>IFERROR(Y51, "NA")</f>
        <v>-1.5064228101433798E-2</v>
      </c>
      <c r="L13" s="9">
        <f>IFERROR(Y52, "NA")</f>
        <v>-1.526666666666667E-2</v>
      </c>
      <c r="M13" s="7">
        <v>10</v>
      </c>
      <c r="N13" s="9">
        <f t="shared" si="10"/>
        <v>-0.15064228101433796</v>
      </c>
      <c r="O13" s="9">
        <f t="shared" si="11"/>
        <v>-0.1526666666666667</v>
      </c>
      <c r="P13" s="7" t="s">
        <v>155</v>
      </c>
      <c r="T13" s="19" t="s">
        <v>112</v>
      </c>
      <c r="U13" s="9" t="e">
        <f xml:space="preserve"> AVERAGE(K9,K19)+3*STDEV(K9,K19)</f>
        <v>#DIV/0!</v>
      </c>
      <c r="V13" s="9" t="e">
        <f xml:space="preserve"> AVERAGE(K9,K19)+10*STDEV(K9,K19)</f>
        <v>#DIV/0!</v>
      </c>
    </row>
    <row r="14" spans="1:35" x14ac:dyDescent="0.25">
      <c r="A14" s="7">
        <v>11</v>
      </c>
      <c r="B14" s="7" t="s">
        <v>70</v>
      </c>
      <c r="C14" s="7">
        <v>20</v>
      </c>
      <c r="D14" s="7">
        <v>70</v>
      </c>
      <c r="E14" s="7" t="s">
        <v>59</v>
      </c>
      <c r="F14" s="7" t="s">
        <v>29</v>
      </c>
      <c r="G14" s="7">
        <v>1</v>
      </c>
      <c r="H14" s="8">
        <v>7.19</v>
      </c>
      <c r="I14" s="9">
        <v>4.7800000000000002E-2</v>
      </c>
      <c r="J14" s="9"/>
      <c r="K14" s="9">
        <f t="shared" ref="K14:K19" si="12">IF(H14="NA", "NA", ((I14-($AH$3))/$AG$3))</f>
        <v>0.21829762594093804</v>
      </c>
      <c r="L14" s="9">
        <v>0.21820000000000001</v>
      </c>
      <c r="M14" s="7">
        <v>10</v>
      </c>
      <c r="N14" s="9">
        <f t="shared" si="10"/>
        <v>2.1829762594093802</v>
      </c>
      <c r="O14" s="9">
        <f t="shared" si="11"/>
        <v>2.1819999999999999</v>
      </c>
      <c r="P14" s="7" t="s">
        <v>71</v>
      </c>
      <c r="T14" s="19" t="s">
        <v>113</v>
      </c>
      <c r="U14" s="9" t="e">
        <f xml:space="preserve"> AVERAGE(L9,L19)+3*STDEV(L9,L19)</f>
        <v>#DIV/0!</v>
      </c>
      <c r="V14" s="9" t="e">
        <f xml:space="preserve"> AVERAGE(L9,L19)+10*STDEV(L9,L19)</f>
        <v>#DIV/0!</v>
      </c>
    </row>
    <row r="15" spans="1:35" x14ac:dyDescent="0.25">
      <c r="A15" s="7">
        <v>12</v>
      </c>
      <c r="B15" s="7" t="s">
        <v>72</v>
      </c>
      <c r="C15" s="7">
        <v>20</v>
      </c>
      <c r="D15" s="7">
        <v>80</v>
      </c>
      <c r="E15" s="7" t="s">
        <v>59</v>
      </c>
      <c r="F15" s="7" t="s">
        <v>29</v>
      </c>
      <c r="G15" s="7">
        <v>1</v>
      </c>
      <c r="H15" s="8">
        <v>7.1870000000000003</v>
      </c>
      <c r="I15" s="9">
        <v>3.1300000000000001E-2</v>
      </c>
      <c r="J15" s="9"/>
      <c r="K15" s="9">
        <f t="shared" si="12"/>
        <v>9.0516522234108332E-2</v>
      </c>
      <c r="L15" s="9">
        <v>9.01E-2</v>
      </c>
      <c r="M15" s="7">
        <v>10</v>
      </c>
      <c r="N15" s="9">
        <f t="shared" si="10"/>
        <v>0.90516522234108332</v>
      </c>
      <c r="O15" s="9">
        <f t="shared" si="11"/>
        <v>0.90100000000000002</v>
      </c>
      <c r="P15" s="7" t="s">
        <v>73</v>
      </c>
    </row>
    <row r="16" spans="1:35" x14ac:dyDescent="0.25">
      <c r="A16" s="7">
        <v>13</v>
      </c>
      <c r="B16" s="7" t="s">
        <v>74</v>
      </c>
      <c r="C16" s="7">
        <v>20</v>
      </c>
      <c r="D16" s="7">
        <v>90</v>
      </c>
      <c r="E16" s="7" t="s">
        <v>75</v>
      </c>
      <c r="F16" s="7" t="s">
        <v>29</v>
      </c>
      <c r="G16" s="7">
        <v>1</v>
      </c>
      <c r="H16" s="8">
        <v>7.19</v>
      </c>
      <c r="I16" s="9">
        <v>4.0099999999999997E-2</v>
      </c>
      <c r="J16" s="9"/>
      <c r="K16" s="9">
        <f t="shared" si="12"/>
        <v>0.15866644421108414</v>
      </c>
      <c r="L16" s="9">
        <v>0.1583</v>
      </c>
      <c r="M16" s="7">
        <v>10</v>
      </c>
      <c r="N16" s="9">
        <f t="shared" si="10"/>
        <v>1.5866644421108413</v>
      </c>
      <c r="O16" s="9">
        <f>IF(H16="NA", "NA",M16*L16)</f>
        <v>1.583</v>
      </c>
      <c r="P16" s="7" t="s">
        <v>76</v>
      </c>
      <c r="S16" s="5" t="s">
        <v>114</v>
      </c>
      <c r="T16" s="6"/>
      <c r="U16" s="2" t="s">
        <v>115</v>
      </c>
      <c r="V16" s="2" t="s">
        <v>116</v>
      </c>
      <c r="W16" s="2" t="s">
        <v>117</v>
      </c>
      <c r="X16" s="2" t="s">
        <v>118</v>
      </c>
      <c r="Y16" s="6" t="s">
        <v>119</v>
      </c>
      <c r="Z16" s="2" t="s">
        <v>120</v>
      </c>
      <c r="AA16" s="2" t="s">
        <v>121</v>
      </c>
      <c r="AB16" s="2" t="s">
        <v>122</v>
      </c>
      <c r="AC16" s="2" t="s">
        <v>123</v>
      </c>
      <c r="AD16" s="2" t="s">
        <v>124</v>
      </c>
    </row>
    <row r="17" spans="1:30" x14ac:dyDescent="0.25">
      <c r="A17" s="7">
        <v>14</v>
      </c>
      <c r="B17" s="7" t="s">
        <v>77</v>
      </c>
      <c r="C17" s="7"/>
      <c r="D17" s="7"/>
      <c r="E17" s="7"/>
      <c r="F17" s="7" t="s">
        <v>29</v>
      </c>
      <c r="G17" s="7">
        <v>1</v>
      </c>
      <c r="H17" s="8" t="s">
        <v>150</v>
      </c>
      <c r="I17" s="9" t="s">
        <v>150</v>
      </c>
      <c r="J17" s="9"/>
      <c r="K17" s="9" t="str">
        <f t="shared" si="12"/>
        <v>NA</v>
      </c>
      <c r="L17" s="9" t="s">
        <v>150</v>
      </c>
      <c r="M17" s="7">
        <v>0</v>
      </c>
      <c r="N17" s="9"/>
      <c r="O17" s="9"/>
      <c r="P17" s="7" t="s">
        <v>78</v>
      </c>
      <c r="T17" s="19" t="s">
        <v>125</v>
      </c>
      <c r="U17" s="8">
        <f>AVERAGE(H2:H19)</f>
        <v>7.1968333333333323</v>
      </c>
      <c r="V17" s="8">
        <f>MEDIAN(H2:H19)</f>
        <v>7.1978333333333335</v>
      </c>
      <c r="W17" s="8">
        <f>STDEV(H2:H19)</f>
        <v>1.5714738033228197E-2</v>
      </c>
      <c r="X17" s="8">
        <f>W17/U17*100</f>
        <v>0.21835628679134156</v>
      </c>
      <c r="Y17" s="8">
        <f>VAR(H2:H19)</f>
        <v>2.4695299145298887E-4</v>
      </c>
      <c r="Z17" s="8">
        <f>MAX(H2:H19)</f>
        <v>7.2229999999999999</v>
      </c>
      <c r="AA17" s="8">
        <f>MIN(H2:H19)</f>
        <v>7.16</v>
      </c>
      <c r="AB17" s="8">
        <f>Z17-AA17</f>
        <v>6.2999999999999723E-2</v>
      </c>
      <c r="AC17" s="8">
        <f>COUNT(H2:H19)</f>
        <v>14</v>
      </c>
      <c r="AD17" s="8">
        <f>W17/SQRT(AC17)</f>
        <v>4.1999404030889772E-3</v>
      </c>
    </row>
    <row r="18" spans="1:30" x14ac:dyDescent="0.25">
      <c r="A18" s="7">
        <v>15</v>
      </c>
      <c r="B18" s="7" t="s">
        <v>47</v>
      </c>
      <c r="C18" s="7"/>
      <c r="D18" s="7"/>
      <c r="E18" s="7"/>
      <c r="F18" s="7" t="s">
        <v>29</v>
      </c>
      <c r="G18" s="7">
        <v>1</v>
      </c>
      <c r="H18" s="8">
        <v>7.2069999999999999</v>
      </c>
      <c r="I18" s="9">
        <v>0.7097</v>
      </c>
      <c r="J18" s="9"/>
      <c r="K18" s="9">
        <f t="shared" si="12"/>
        <v>5.3442559619137011</v>
      </c>
      <c r="L18" s="9">
        <v>5.3441000000000001</v>
      </c>
      <c r="M18" s="7">
        <v>20</v>
      </c>
      <c r="N18" s="9"/>
      <c r="O18" s="9"/>
      <c r="P18" s="7" t="s">
        <v>48</v>
      </c>
      <c r="T18" s="19" t="s">
        <v>126</v>
      </c>
      <c r="U18" s="9">
        <f>AVERAGE(I10,I18)</f>
        <v>0.73675000000000002</v>
      </c>
      <c r="V18" s="9">
        <f>MEDIAN(I10,I18)</f>
        <v>0.73675000000000002</v>
      </c>
      <c r="W18" s="9">
        <f>STDEV(I10,I18)</f>
        <v>3.8254476862192251E-2</v>
      </c>
      <c r="X18" s="9">
        <f>W18/U18*100</f>
        <v>5.1923280437315578</v>
      </c>
      <c r="Y18" s="9">
        <f>VAR(I10,I18)</f>
        <v>1.463405000000002E-3</v>
      </c>
      <c r="Z18" s="9">
        <f>MAX(I10,I18)</f>
        <v>0.76380000000000003</v>
      </c>
      <c r="AA18" s="9">
        <f>MIN(I10,I18)</f>
        <v>0.7097</v>
      </c>
      <c r="AB18" s="9">
        <f>Z18-AA18</f>
        <v>5.4100000000000037E-2</v>
      </c>
      <c r="AC18" s="9">
        <f>COUNT(I10,I18)</f>
        <v>2</v>
      </c>
      <c r="AD18" s="9">
        <f>W18/SQRT(AC18)</f>
        <v>2.7050000000000018E-2</v>
      </c>
    </row>
    <row r="19" spans="1:30" x14ac:dyDescent="0.25">
      <c r="A19" s="7">
        <v>16</v>
      </c>
      <c r="B19" s="7" t="s">
        <v>28</v>
      </c>
      <c r="C19" s="7"/>
      <c r="D19" s="7"/>
      <c r="E19" s="7"/>
      <c r="F19" s="7" t="s">
        <v>29</v>
      </c>
      <c r="G19" s="7">
        <v>1</v>
      </c>
      <c r="H19" s="8" t="s">
        <v>150</v>
      </c>
      <c r="I19" s="9" t="s">
        <v>150</v>
      </c>
      <c r="J19" s="9"/>
      <c r="K19" s="9" t="str">
        <f t="shared" si="12"/>
        <v>NA</v>
      </c>
      <c r="L19" s="9" t="s">
        <v>150</v>
      </c>
      <c r="M19" s="7">
        <v>0</v>
      </c>
      <c r="N19" s="9"/>
      <c r="O19" s="9"/>
      <c r="P19" s="7" t="s">
        <v>30</v>
      </c>
      <c r="T19" s="19" t="s">
        <v>127</v>
      </c>
      <c r="U19" s="9">
        <f>AVERAGE(K10,K18)</f>
        <v>5.5537395288997464</v>
      </c>
      <c r="V19" s="9">
        <f>MEDIAN(K10,K18)</f>
        <v>5.5537395288997464</v>
      </c>
      <c r="W19" s="9">
        <f>STDEV(K10,K18)</f>
        <v>0.296254501525958</v>
      </c>
      <c r="X19" s="9">
        <f>W19/U19*100</f>
        <v>5.3343247371316505</v>
      </c>
      <c r="Y19" s="9">
        <f>VAR(K10,K18)</f>
        <v>8.7766729674393862E-2</v>
      </c>
      <c r="Z19" s="9">
        <f>MAX(K10,K18)</f>
        <v>5.7632230958857917</v>
      </c>
      <c r="AA19" s="9">
        <f>MIN(K10,K18)</f>
        <v>5.3442559619137011</v>
      </c>
      <c r="AB19" s="9">
        <f>Z19-AA19</f>
        <v>0.41896713397209062</v>
      </c>
      <c r="AC19" s="9">
        <f>COUNT(K10,K18)</f>
        <v>2</v>
      </c>
      <c r="AD19" s="9">
        <f>W19/SQRT(AC19)</f>
        <v>0.20948356698604528</v>
      </c>
    </row>
    <row r="20" spans="1:30" x14ac:dyDescent="0.25">
      <c r="H20"/>
      <c r="I20"/>
      <c r="K20"/>
      <c r="L20"/>
      <c r="N20"/>
      <c r="T20" s="19" t="s">
        <v>128</v>
      </c>
      <c r="U20" s="9">
        <f>AVERAGE(L10,L18)</f>
        <v>5.5536500000000002</v>
      </c>
      <c r="V20" s="9">
        <f>MEDIAN(L10,L18)</f>
        <v>5.5536500000000002</v>
      </c>
      <c r="W20" s="9">
        <f>STDEV(L10,L18)</f>
        <v>0.29634845199528226</v>
      </c>
      <c r="X20" s="9">
        <f>W20/U20*100</f>
        <v>5.3361024190448125</v>
      </c>
      <c r="Y20" s="9">
        <f>VAR(L10,L18)</f>
        <v>8.7822405000000103E-2</v>
      </c>
      <c r="Z20" s="9">
        <f>MAX(L10,L18)</f>
        <v>5.7632000000000003</v>
      </c>
      <c r="AA20" s="9">
        <f>MIN(L10,L18)</f>
        <v>5.3441000000000001</v>
      </c>
      <c r="AB20" s="9">
        <f>Z20-AA20</f>
        <v>0.41910000000000025</v>
      </c>
      <c r="AC20" s="9">
        <f>COUNT(L10,L18)</f>
        <v>2</v>
      </c>
      <c r="AD20" s="9">
        <f>W20/SQRT(AC20)</f>
        <v>0.20955000000000013</v>
      </c>
    </row>
    <row r="21" spans="1:30" x14ac:dyDescent="0.25">
      <c r="H21"/>
      <c r="I21"/>
      <c r="K21"/>
      <c r="L21"/>
      <c r="N21"/>
      <c r="T21" s="19" t="s">
        <v>129</v>
      </c>
      <c r="U21" s="9" t="e">
        <f>AVERAGE(I9,I19)</f>
        <v>#DIV/0!</v>
      </c>
      <c r="V21" s="9" t="e">
        <f>MEDIAN(I9,I19)</f>
        <v>#NUM!</v>
      </c>
      <c r="W21" s="9" t="e">
        <f>STDEV(I9,I19)</f>
        <v>#DIV/0!</v>
      </c>
      <c r="X21" s="9" t="e">
        <f t="shared" ref="X21:X23" si="13">W21/U21*100</f>
        <v>#DIV/0!</v>
      </c>
      <c r="Y21" s="9" t="e">
        <f>VAR(I9,I19)</f>
        <v>#DIV/0!</v>
      </c>
      <c r="Z21" s="9">
        <f>MAX(I9,I19)</f>
        <v>0</v>
      </c>
      <c r="AA21" s="9">
        <f>MIN(I9,I19)</f>
        <v>0</v>
      </c>
      <c r="AB21" s="9">
        <f t="shared" ref="AB21:AB23" si="14">Z21-AA21</f>
        <v>0</v>
      </c>
      <c r="AC21" s="9">
        <f>COUNT(I9,I19)</f>
        <v>0</v>
      </c>
      <c r="AD21" s="9" t="e">
        <f t="shared" ref="AD21:AD23" si="15">W21/SQRT(AC21)</f>
        <v>#DIV/0!</v>
      </c>
    </row>
    <row r="22" spans="1:30" x14ac:dyDescent="0.25">
      <c r="H22"/>
      <c r="I22"/>
      <c r="K22"/>
      <c r="L22"/>
      <c r="N22"/>
      <c r="T22" s="19" t="s">
        <v>130</v>
      </c>
      <c r="U22" s="9" t="e">
        <f>AVERAGE(K9,K19)</f>
        <v>#DIV/0!</v>
      </c>
      <c r="V22" s="9" t="e">
        <f>MEDIAN(K9,K19)</f>
        <v>#NUM!</v>
      </c>
      <c r="W22" s="9" t="e">
        <f>STDEV(K9,K19)</f>
        <v>#DIV/0!</v>
      </c>
      <c r="X22" s="9" t="e">
        <f t="shared" si="13"/>
        <v>#DIV/0!</v>
      </c>
      <c r="Y22" s="9" t="e">
        <f>VAR(K9,K19)</f>
        <v>#DIV/0!</v>
      </c>
      <c r="Z22" s="9">
        <f>MAX(K9,K19)</f>
        <v>0</v>
      </c>
      <c r="AA22" s="9">
        <f>MIN(K9,K19)</f>
        <v>0</v>
      </c>
      <c r="AB22" s="9">
        <f t="shared" si="14"/>
        <v>0</v>
      </c>
      <c r="AC22" s="9">
        <f>COUNT(K9,K19)</f>
        <v>0</v>
      </c>
      <c r="AD22" s="9" t="e">
        <f t="shared" si="15"/>
        <v>#DIV/0!</v>
      </c>
    </row>
    <row r="23" spans="1:30" x14ac:dyDescent="0.25">
      <c r="H23"/>
      <c r="I23"/>
      <c r="K23"/>
      <c r="L23"/>
      <c r="N23"/>
      <c r="T23" s="19" t="s">
        <v>131</v>
      </c>
      <c r="U23" s="9" t="e">
        <f>AVERAGE(L9,L19)</f>
        <v>#DIV/0!</v>
      </c>
      <c r="V23" s="9" t="e">
        <f>MEDIAN(L9,L19)</f>
        <v>#NUM!</v>
      </c>
      <c r="W23" s="9" t="e">
        <f>STDEV(L9,L19)</f>
        <v>#DIV/0!</v>
      </c>
      <c r="X23" s="9" t="e">
        <f t="shared" si="13"/>
        <v>#DIV/0!</v>
      </c>
      <c r="Y23" s="9" t="e">
        <f>VAR(L9,L19)</f>
        <v>#DIV/0!</v>
      </c>
      <c r="Z23" s="9">
        <f>MAX(L9,L19)</f>
        <v>0</v>
      </c>
      <c r="AA23" s="9">
        <f>MIN(L9,L19)</f>
        <v>0</v>
      </c>
      <c r="AB23" s="9">
        <f t="shared" si="14"/>
        <v>0</v>
      </c>
      <c r="AC23" s="9">
        <f>COUNT(L9,L19)</f>
        <v>0</v>
      </c>
      <c r="AD23" s="9" t="e">
        <f t="shared" si="15"/>
        <v>#DIV/0!</v>
      </c>
    </row>
    <row r="24" spans="1:30" x14ac:dyDescent="0.25">
      <c r="H24"/>
      <c r="I24"/>
      <c r="K24"/>
      <c r="L24"/>
      <c r="N24"/>
    </row>
    <row r="25" spans="1:30" x14ac:dyDescent="0.25">
      <c r="H25"/>
      <c r="I25"/>
      <c r="K25"/>
      <c r="L25"/>
      <c r="N25"/>
      <c r="T25" s="20"/>
    </row>
    <row r="26" spans="1:30" x14ac:dyDescent="0.25">
      <c r="H26"/>
      <c r="I26"/>
      <c r="K26"/>
      <c r="L26"/>
      <c r="N26"/>
      <c r="T26" s="10"/>
      <c r="U26" s="2" t="s">
        <v>132</v>
      </c>
      <c r="V26" s="2" t="s">
        <v>133</v>
      </c>
      <c r="W26" s="2" t="s">
        <v>134</v>
      </c>
      <c r="X26" s="2" t="s">
        <v>135</v>
      </c>
      <c r="Y26" s="2" t="s">
        <v>136</v>
      </c>
      <c r="Z26" s="2" t="s">
        <v>137</v>
      </c>
      <c r="AA26" s="2" t="s">
        <v>138</v>
      </c>
    </row>
    <row r="27" spans="1:30" ht="45" x14ac:dyDescent="0.25">
      <c r="H27"/>
      <c r="I27"/>
      <c r="K27"/>
      <c r="L27"/>
      <c r="N27"/>
      <c r="T27" s="21" t="s">
        <v>139</v>
      </c>
      <c r="U27" s="22">
        <f>K6</f>
        <v>5.0763028595951374</v>
      </c>
      <c r="V27" s="22">
        <f>L6</f>
        <v>5.0762</v>
      </c>
      <c r="W27" s="23">
        <v>101</v>
      </c>
      <c r="X27" s="23">
        <v>1</v>
      </c>
      <c r="Y27" s="22">
        <f>W27/(20)</f>
        <v>5.05</v>
      </c>
      <c r="Z27" s="22">
        <f>V27/Y27 *100</f>
        <v>100.51881188118811</v>
      </c>
      <c r="AA27" s="22">
        <f>U27/Y27 *100</f>
        <v>100.5208487048542</v>
      </c>
    </row>
    <row r="28" spans="1:30" ht="45" x14ac:dyDescent="0.25">
      <c r="H28"/>
      <c r="I28"/>
      <c r="K28"/>
      <c r="L28"/>
      <c r="N28"/>
      <c r="T28" s="21" t="s">
        <v>140</v>
      </c>
      <c r="U28" s="22">
        <f>U19</f>
        <v>5.5537395288997464</v>
      </c>
      <c r="V28" s="22">
        <f>U20</f>
        <v>5.5536500000000002</v>
      </c>
      <c r="W28" s="23">
        <v>100</v>
      </c>
      <c r="X28" s="23">
        <v>1</v>
      </c>
      <c r="Y28" s="22">
        <f>W28/(20)</f>
        <v>5</v>
      </c>
      <c r="Z28" s="22">
        <f>V28/Y28 *100</f>
        <v>111.07299999999999</v>
      </c>
      <c r="AA28" s="22">
        <f>U28/Y28 *100</f>
        <v>111.07479057799492</v>
      </c>
    </row>
    <row r="29" spans="1:30" x14ac:dyDescent="0.25">
      <c r="H29"/>
      <c r="I29"/>
      <c r="K29"/>
      <c r="L29"/>
      <c r="N29"/>
    </row>
    <row r="30" spans="1:30" x14ac:dyDescent="0.25">
      <c r="H30"/>
      <c r="I30"/>
      <c r="K30"/>
      <c r="L30"/>
      <c r="N30"/>
    </row>
    <row r="31" spans="1:30" x14ac:dyDescent="0.25">
      <c r="H31"/>
      <c r="I31"/>
      <c r="K31"/>
      <c r="L31"/>
      <c r="N31"/>
      <c r="T31" s="7"/>
      <c r="U31" s="2" t="s">
        <v>141</v>
      </c>
      <c r="V31" s="2" t="s">
        <v>142</v>
      </c>
      <c r="W31" s="2" t="s">
        <v>143</v>
      </c>
      <c r="X31" s="2" t="s">
        <v>144</v>
      </c>
      <c r="Y31" s="2" t="s">
        <v>145</v>
      </c>
      <c r="Z31" s="2" t="s">
        <v>146</v>
      </c>
      <c r="AA31" s="2" t="s">
        <v>147</v>
      </c>
      <c r="AB31" s="2" t="s">
        <v>137</v>
      </c>
      <c r="AC31" s="2" t="s">
        <v>138</v>
      </c>
    </row>
    <row r="32" spans="1:30" x14ac:dyDescent="0.25">
      <c r="H32"/>
      <c r="I32"/>
      <c r="K32"/>
      <c r="L32"/>
      <c r="N32"/>
      <c r="T32" s="19" t="s">
        <v>148</v>
      </c>
      <c r="U32" s="9">
        <f>I6</f>
        <v>0.67510000000000003</v>
      </c>
      <c r="V32" s="9">
        <f>U18</f>
        <v>0.73675000000000002</v>
      </c>
      <c r="W32" s="9">
        <f>K6</f>
        <v>5.0763028595951374</v>
      </c>
      <c r="X32" s="9">
        <f>L6</f>
        <v>5.0762</v>
      </c>
      <c r="Y32" s="9">
        <f>U19</f>
        <v>5.5537395288997464</v>
      </c>
      <c r="Z32" s="9">
        <f>U20</f>
        <v>5.5536500000000002</v>
      </c>
      <c r="AA32" s="9">
        <f>U32/V32 *100</f>
        <v>91.632168306752632</v>
      </c>
      <c r="AB32" s="9">
        <f>W32/Y32 *100</f>
        <v>91.403329831725216</v>
      </c>
      <c r="AC32" s="9">
        <f>X32/Z32 *100</f>
        <v>91.402951212265805</v>
      </c>
    </row>
    <row r="35" spans="19:34" x14ac:dyDescent="0.25">
      <c r="S35" s="5" t="s">
        <v>149</v>
      </c>
      <c r="T35" s="2" t="s">
        <v>13</v>
      </c>
      <c r="U35" s="2" t="s">
        <v>14</v>
      </c>
      <c r="V35" s="2" t="s">
        <v>15</v>
      </c>
      <c r="W35" s="2" t="s">
        <v>16</v>
      </c>
      <c r="X35" s="2" t="s">
        <v>17</v>
      </c>
      <c r="Y35" s="2" t="s">
        <v>18</v>
      </c>
      <c r="Z35" s="2" t="s">
        <v>19</v>
      </c>
      <c r="AA35" s="3" t="s">
        <v>21</v>
      </c>
      <c r="AB35" s="3" t="s">
        <v>22</v>
      </c>
      <c r="AC35" s="3" t="s">
        <v>170</v>
      </c>
      <c r="AD35" s="3" t="s">
        <v>171</v>
      </c>
    </row>
    <row r="36" spans="19:34" x14ac:dyDescent="0.25">
      <c r="T36" s="7">
        <v>4</v>
      </c>
      <c r="U36" s="7" t="s">
        <v>49</v>
      </c>
      <c r="V36" s="7">
        <v>0</v>
      </c>
      <c r="W36" s="7">
        <v>50</v>
      </c>
      <c r="X36" s="7" t="s">
        <v>50</v>
      </c>
      <c r="Y36" s="7" t="s">
        <v>29</v>
      </c>
      <c r="Z36" s="7">
        <v>1</v>
      </c>
      <c r="AA36" s="7">
        <v>7.1970000000000001</v>
      </c>
      <c r="AB36" s="7">
        <v>8.1500000000000003E-2</v>
      </c>
      <c r="AC36" s="9">
        <f>IF(AA36="NA", "NA", ((AB36-($AH$3))/$AG$3))</f>
        <v>0.4792808498754933</v>
      </c>
      <c r="AD36" s="7">
        <v>0.4793</v>
      </c>
    </row>
    <row r="37" spans="19:34" x14ac:dyDescent="0.25">
      <c r="T37" s="7">
        <v>5</v>
      </c>
      <c r="U37" s="7" t="s">
        <v>52</v>
      </c>
      <c r="V37" s="7">
        <v>0</v>
      </c>
      <c r="W37" s="7">
        <v>50</v>
      </c>
      <c r="X37" s="7" t="s">
        <v>53</v>
      </c>
      <c r="Y37" s="7" t="s">
        <v>95</v>
      </c>
      <c r="Z37" s="7">
        <v>1</v>
      </c>
      <c r="AA37" s="7">
        <v>7.2</v>
      </c>
      <c r="AB37" s="7">
        <v>7.9299999999999995E-2</v>
      </c>
      <c r="AC37" s="9">
        <f t="shared" ref="AC37:AC41" si="16">IF(AA37="NA", "NA", ((AB37-($AH$3))/$AG$3))</f>
        <v>0.46224336938124927</v>
      </c>
      <c r="AD37" s="7">
        <v>0.46189999999999998</v>
      </c>
    </row>
    <row r="38" spans="19:34" x14ac:dyDescent="0.25">
      <c r="T38" s="7">
        <v>6</v>
      </c>
      <c r="U38" s="7" t="s">
        <v>55</v>
      </c>
      <c r="V38" s="7">
        <v>0</v>
      </c>
      <c r="W38" s="7">
        <v>50</v>
      </c>
      <c r="X38" s="7" t="s">
        <v>56</v>
      </c>
      <c r="Y38" s="7" t="s">
        <v>95</v>
      </c>
      <c r="Z38" s="7">
        <v>1</v>
      </c>
      <c r="AA38" s="7">
        <v>7.19</v>
      </c>
      <c r="AB38" s="7">
        <v>0.08</v>
      </c>
      <c r="AC38" s="9">
        <f t="shared" si="16"/>
        <v>0.46766438590214515</v>
      </c>
      <c r="AD38" s="7">
        <v>0.46789999999999998</v>
      </c>
    </row>
    <row r="39" spans="19:34" x14ac:dyDescent="0.25">
      <c r="T39" s="7">
        <v>8</v>
      </c>
      <c r="U39" s="7" t="s">
        <v>61</v>
      </c>
      <c r="V39" s="7">
        <v>20</v>
      </c>
      <c r="W39" s="7">
        <v>60</v>
      </c>
      <c r="X39" s="7" t="s">
        <v>62</v>
      </c>
      <c r="Y39" s="7" t="s">
        <v>95</v>
      </c>
      <c r="Z39" s="7">
        <v>1</v>
      </c>
      <c r="AA39" s="7">
        <v>7.1870000000000003</v>
      </c>
      <c r="AB39" s="7">
        <v>1.7000000000000001E-2</v>
      </c>
      <c r="AC39" s="9">
        <f t="shared" si="16"/>
        <v>-2.0227100978477418E-2</v>
      </c>
      <c r="AD39" s="7">
        <v>-2.0500000000000001E-2</v>
      </c>
    </row>
    <row r="40" spans="19:34" x14ac:dyDescent="0.25">
      <c r="T40" s="7">
        <v>9</v>
      </c>
      <c r="U40" s="7" t="s">
        <v>64</v>
      </c>
      <c r="V40" s="7">
        <v>20</v>
      </c>
      <c r="W40" s="7">
        <v>60</v>
      </c>
      <c r="X40" s="7" t="s">
        <v>65</v>
      </c>
      <c r="Y40" s="7" t="s">
        <v>95</v>
      </c>
      <c r="Z40" s="7">
        <v>1</v>
      </c>
      <c r="AA40" s="7">
        <v>7.1870000000000003</v>
      </c>
      <c r="AB40" s="7">
        <v>1.7000000000000001E-2</v>
      </c>
      <c r="AC40" s="9">
        <f t="shared" si="16"/>
        <v>-2.0227100978477418E-2</v>
      </c>
      <c r="AD40" s="7">
        <v>-2.0400000000000001E-2</v>
      </c>
    </row>
    <row r="41" spans="19:34" x14ac:dyDescent="0.25">
      <c r="T41" s="7">
        <v>10</v>
      </c>
      <c r="U41" s="7" t="s">
        <v>67</v>
      </c>
      <c r="V41" s="7">
        <v>20</v>
      </c>
      <c r="W41" s="7">
        <v>60</v>
      </c>
      <c r="X41" s="7" t="s">
        <v>68</v>
      </c>
      <c r="Y41" s="7" t="s">
        <v>95</v>
      </c>
      <c r="Z41" s="7">
        <v>1</v>
      </c>
      <c r="AA41" s="7">
        <v>7.1870000000000003</v>
      </c>
      <c r="AB41" s="7">
        <v>1.9E-2</v>
      </c>
      <c r="AC41" s="9">
        <f t="shared" si="16"/>
        <v>-4.7384823473465591E-3</v>
      </c>
      <c r="AD41" s="7">
        <v>-4.8999999999999998E-3</v>
      </c>
    </row>
    <row r="46" spans="19:34" x14ac:dyDescent="0.25">
      <c r="T46" s="6"/>
      <c r="U46" s="2" t="s">
        <v>14</v>
      </c>
      <c r="V46" s="2" t="s">
        <v>15</v>
      </c>
      <c r="W46" s="2" t="s">
        <v>16</v>
      </c>
      <c r="X46" s="2" t="s">
        <v>17</v>
      </c>
      <c r="Y46" s="2" t="s">
        <v>115</v>
      </c>
      <c r="Z46" s="2" t="s">
        <v>116</v>
      </c>
      <c r="AA46" s="2" t="s">
        <v>117</v>
      </c>
      <c r="AB46" s="2" t="s">
        <v>118</v>
      </c>
      <c r="AC46" s="6" t="s">
        <v>119</v>
      </c>
      <c r="AD46" s="2" t="s">
        <v>120</v>
      </c>
      <c r="AE46" s="2" t="s">
        <v>121</v>
      </c>
      <c r="AF46" s="2" t="s">
        <v>122</v>
      </c>
      <c r="AG46" s="2" t="s">
        <v>123</v>
      </c>
      <c r="AH46" s="2" t="s">
        <v>124</v>
      </c>
    </row>
    <row r="47" spans="19:34" x14ac:dyDescent="0.25">
      <c r="T47" s="3" t="s">
        <v>22</v>
      </c>
      <c r="U47" s="7" t="s">
        <v>49</v>
      </c>
      <c r="V47" s="7">
        <v>0</v>
      </c>
      <c r="W47" s="7">
        <v>50</v>
      </c>
      <c r="X47" s="7" t="s">
        <v>50</v>
      </c>
      <c r="Y47" s="8">
        <f>AVERAGE(AB36:AB38)</f>
        <v>8.0266666666666667E-2</v>
      </c>
      <c r="Z47" s="8">
        <f>MEDIAN(AB36:AB38)</f>
        <v>0.08</v>
      </c>
      <c r="AA47" s="8">
        <f>STDEV(AB36:AB38)</f>
        <v>1.1239810200058277E-3</v>
      </c>
      <c r="AB47" s="8">
        <f t="shared" ref="AB47:AB52" si="17">AA47/Y47*100</f>
        <v>1.4003085797414798</v>
      </c>
      <c r="AC47" s="8">
        <f>VAR(AB36:AB38)</f>
        <v>1.2633333333333409E-6</v>
      </c>
      <c r="AD47" s="8">
        <f>MAX(AB36:AB38)</f>
        <v>8.1500000000000003E-2</v>
      </c>
      <c r="AE47" s="8">
        <f>MIN(AB36:AB38)</f>
        <v>7.9299999999999995E-2</v>
      </c>
      <c r="AF47" s="8">
        <f t="shared" ref="AF47:AF52" si="18">AD47-AE47</f>
        <v>2.2000000000000075E-3</v>
      </c>
      <c r="AG47" s="8">
        <f>COUNT(AB36:AB38)</f>
        <v>3</v>
      </c>
      <c r="AH47" s="8">
        <f t="shared" ref="AH47:AH52" si="19">AA47/SQRT(AG47)</f>
        <v>6.4893074446439479E-4</v>
      </c>
    </row>
    <row r="48" spans="19:34" x14ac:dyDescent="0.25">
      <c r="T48" s="3" t="s">
        <v>170</v>
      </c>
      <c r="U48" s="7" t="s">
        <v>52</v>
      </c>
      <c r="V48" s="7">
        <v>0</v>
      </c>
      <c r="W48" s="7">
        <v>50</v>
      </c>
      <c r="X48" s="7" t="s">
        <v>53</v>
      </c>
      <c r="Y48" s="9">
        <f>AVERAGE(AC36:AC38)</f>
        <v>0.46972953505296261</v>
      </c>
      <c r="Z48" s="9">
        <f>MEDIAN(AC36:AC38)</f>
        <v>0.46766438590214515</v>
      </c>
      <c r="AA48" s="9">
        <f>STDEV(AC36:AC38)</f>
        <v>8.7044566837498755E-3</v>
      </c>
      <c r="AB48" s="9">
        <f t="shared" si="17"/>
        <v>1.8530784279443779</v>
      </c>
      <c r="AC48" s="9">
        <f>VAR(AC36:AC38)</f>
        <v>7.5767566159277874E-5</v>
      </c>
      <c r="AD48" s="9">
        <f>MAX(AC36:AC38)</f>
        <v>0.4792808498754933</v>
      </c>
      <c r="AE48" s="9">
        <f>MIN(AC36:AC38)</f>
        <v>0.46224336938124927</v>
      </c>
      <c r="AF48" s="9">
        <f t="shared" si="18"/>
        <v>1.7037480494244028E-2</v>
      </c>
      <c r="AG48" s="9">
        <f>COUNT(AC36:AC38)</f>
        <v>3</v>
      </c>
      <c r="AH48" s="9">
        <f t="shared" si="19"/>
        <v>5.0255204095124278E-3</v>
      </c>
    </row>
    <row r="49" spans="20:34" x14ac:dyDescent="0.25">
      <c r="T49" s="3" t="s">
        <v>171</v>
      </c>
      <c r="U49" s="7" t="s">
        <v>55</v>
      </c>
      <c r="V49" s="7">
        <v>0</v>
      </c>
      <c r="W49" s="7">
        <v>50</v>
      </c>
      <c r="X49" s="7" t="s">
        <v>56</v>
      </c>
      <c r="Y49" s="9">
        <f>AVERAGE(AD36:AD38)</f>
        <v>0.46970000000000001</v>
      </c>
      <c r="Z49" s="9">
        <f>MEDIAN(AD36:AD38)</f>
        <v>0.46789999999999998</v>
      </c>
      <c r="AA49" s="9">
        <f>STDEV(AD36:AD38)</f>
        <v>8.8385519175937545E-3</v>
      </c>
      <c r="AB49" s="9">
        <f t="shared" si="17"/>
        <v>1.8817440744291578</v>
      </c>
      <c r="AC49" s="9">
        <f>VAR(AD36:AD38)</f>
        <v>7.8120000000000248E-5</v>
      </c>
      <c r="AD49" s="9">
        <f>MAX(AD36:AD38)</f>
        <v>0.4793</v>
      </c>
      <c r="AE49" s="9">
        <f>MIN(AD36:AD38)</f>
        <v>0.46189999999999998</v>
      </c>
      <c r="AF49" s="9">
        <f t="shared" si="18"/>
        <v>1.7400000000000027E-2</v>
      </c>
      <c r="AG49" s="9">
        <f>COUNT(AD36:AD38)</f>
        <v>3</v>
      </c>
      <c r="AH49" s="9">
        <f t="shared" si="19"/>
        <v>5.1029403288692377E-3</v>
      </c>
    </row>
    <row r="50" spans="20:34" x14ac:dyDescent="0.25">
      <c r="T50" s="3" t="s">
        <v>22</v>
      </c>
      <c r="U50" s="7" t="s">
        <v>61</v>
      </c>
      <c r="V50" s="7">
        <v>20</v>
      </c>
      <c r="W50" s="7">
        <v>60</v>
      </c>
      <c r="X50" s="7" t="s">
        <v>62</v>
      </c>
      <c r="Y50" s="8">
        <f>AVERAGE(AB39:AB41)</f>
        <v>1.7666666666666667E-2</v>
      </c>
      <c r="Z50" s="8">
        <f>MEDIAN(AB39:AB41)</f>
        <v>1.7000000000000001E-2</v>
      </c>
      <c r="AA50" s="8">
        <f>STDEV(AB39:AB41)</f>
        <v>1.1547005383792505E-3</v>
      </c>
      <c r="AB50" s="8">
        <f>AA50/Y50*100</f>
        <v>6.5360407832787768</v>
      </c>
      <c r="AC50" s="8">
        <f>VAR(AB39:AB41)</f>
        <v>1.3333333333333311E-6</v>
      </c>
      <c r="AD50" s="8">
        <f>MAX(AB39:AB41)</f>
        <v>1.9E-2</v>
      </c>
      <c r="AE50" s="8">
        <f>MIN(AB39:AB41)</f>
        <v>1.7000000000000001E-2</v>
      </c>
      <c r="AF50" s="8">
        <f t="shared" si="18"/>
        <v>1.9999999999999983E-3</v>
      </c>
      <c r="AG50" s="8">
        <f>COUNT(AB39:AB41)</f>
        <v>3</v>
      </c>
      <c r="AH50" s="8">
        <f t="shared" si="19"/>
        <v>6.666666666666661E-4</v>
      </c>
    </row>
    <row r="51" spans="20:34" x14ac:dyDescent="0.25">
      <c r="T51" s="3" t="s">
        <v>170</v>
      </c>
      <c r="U51" s="7" t="s">
        <v>64</v>
      </c>
      <c r="V51" s="7">
        <v>20</v>
      </c>
      <c r="W51" s="7">
        <v>60</v>
      </c>
      <c r="X51" s="7" t="s">
        <v>65</v>
      </c>
      <c r="Y51" s="9">
        <f>AVERAGE(AC39:AC41)</f>
        <v>-1.5064228101433798E-2</v>
      </c>
      <c r="Z51" s="9">
        <f>MEDIAN(AC39:AC41)</f>
        <v>-2.0227100978477418E-2</v>
      </c>
      <c r="AA51" s="9">
        <f>STDEV(AC39:AC41)</f>
        <v>8.9423581360588561E-3</v>
      </c>
      <c r="AB51" s="9">
        <f t="shared" si="17"/>
        <v>-59.36154229640038</v>
      </c>
      <c r="AC51" s="9">
        <f>VAR(AC39:AC41)</f>
        <v>7.9965769033538006E-5</v>
      </c>
      <c r="AD51" s="9">
        <f>MAX(AC39:AC41)</f>
        <v>-4.7384823473465591E-3</v>
      </c>
      <c r="AE51" s="9">
        <f>MIN(AC39:AC41)</f>
        <v>-2.0227100978477418E-2</v>
      </c>
      <c r="AF51" s="9">
        <f t="shared" si="18"/>
        <v>1.5488618631130859E-2</v>
      </c>
      <c r="AG51" s="9">
        <f>COUNT(AC39:AC41)</f>
        <v>3</v>
      </c>
      <c r="AH51" s="9">
        <f t="shared" si="19"/>
        <v>5.1628728770436207E-3</v>
      </c>
    </row>
    <row r="52" spans="20:34" x14ac:dyDescent="0.25">
      <c r="T52" s="3" t="s">
        <v>171</v>
      </c>
      <c r="U52" s="7" t="s">
        <v>67</v>
      </c>
      <c r="V52" s="7">
        <v>20</v>
      </c>
      <c r="W52" s="7">
        <v>60</v>
      </c>
      <c r="X52" s="7" t="s">
        <v>68</v>
      </c>
      <c r="Y52" s="9">
        <f>AVERAGE(AD39:AD41)</f>
        <v>-1.526666666666667E-2</v>
      </c>
      <c r="Z52" s="9">
        <f>MEDIAN(AD39:AD41)</f>
        <v>-2.0400000000000001E-2</v>
      </c>
      <c r="AA52" s="9">
        <f>STDEV(AD39:AD41)</f>
        <v>8.9779359171990765E-3</v>
      </c>
      <c r="AB52" s="9">
        <f t="shared" si="17"/>
        <v>-58.807440505670797</v>
      </c>
      <c r="AC52" s="9">
        <f>VAR(AD39:AD41)</f>
        <v>8.0603333333333213E-5</v>
      </c>
      <c r="AD52" s="9">
        <f>MAX(AD39:AD41)</f>
        <v>-4.8999999999999998E-3</v>
      </c>
      <c r="AE52" s="9">
        <f>MIN(AD39:AD41)</f>
        <v>-2.0500000000000001E-2</v>
      </c>
      <c r="AF52" s="9">
        <f t="shared" si="18"/>
        <v>1.5600000000000001E-2</v>
      </c>
      <c r="AG52" s="9">
        <f>COUNT(AD39:AD41)</f>
        <v>3</v>
      </c>
      <c r="AH52" s="9">
        <f t="shared" si="19"/>
        <v>5.1834137185620965E-3</v>
      </c>
    </row>
  </sheetData>
  <conditionalFormatting sqref="I2:I19">
    <cfRule type="cellIs" dxfId="17" priority="3" operator="lessThan">
      <formula>$U$12</formula>
    </cfRule>
    <cfRule type="cellIs" dxfId="16" priority="4" operator="lessThan">
      <formula>$V$12</formula>
    </cfRule>
  </conditionalFormatting>
  <conditionalFormatting sqref="K1:K19">
    <cfRule type="cellIs" dxfId="15" priority="1" operator="lessThan">
      <formula>$U$13</formula>
    </cfRule>
    <cfRule type="cellIs" dxfId="14" priority="2" operator="lessThan">
      <formula>$V$13</formula>
    </cfRule>
  </conditionalFormatting>
  <conditionalFormatting sqref="L1:L19">
    <cfRule type="cellIs" dxfId="13" priority="5" operator="lessThan">
      <formula>$U$14</formula>
    </cfRule>
    <cfRule type="cellIs" dxfId="12" priority="6" operator="lessThan">
      <formula>$V$14</formula>
    </cfRule>
  </conditionalFormatting>
  <conditionalFormatting sqref="T48">
    <cfRule type="cellIs" dxfId="11" priority="21" operator="lessThan">
      <formula>$U$13</formula>
    </cfRule>
    <cfRule type="cellIs" dxfId="10" priority="22" operator="lessThan">
      <formula>$V$13</formula>
    </cfRule>
  </conditionalFormatting>
  <conditionalFormatting sqref="T49">
    <cfRule type="cellIs" dxfId="9" priority="19" operator="lessThan">
      <formula>$U$14</formula>
    </cfRule>
    <cfRule type="cellIs" dxfId="8" priority="20" operator="lessThan">
      <formula>$V$14</formula>
    </cfRule>
  </conditionalFormatting>
  <conditionalFormatting sqref="T51">
    <cfRule type="cellIs" dxfId="7" priority="17" operator="lessThan">
      <formula>$U$13</formula>
    </cfRule>
    <cfRule type="cellIs" dxfId="6" priority="18" operator="lessThan">
      <formula>$V$13</formula>
    </cfRule>
  </conditionalFormatting>
  <conditionalFormatting sqref="T52">
    <cfRule type="cellIs" dxfId="5" priority="15" operator="lessThan">
      <formula>$U$14</formula>
    </cfRule>
    <cfRule type="cellIs" dxfId="4" priority="16" operator="lessThan">
      <formula>$V$14</formula>
    </cfRule>
  </conditionalFormatting>
  <conditionalFormatting sqref="AC35">
    <cfRule type="cellIs" dxfId="3" priority="23" operator="lessThan">
      <formula>$U$13</formula>
    </cfRule>
    <cfRule type="cellIs" dxfId="2" priority="24" operator="lessThan">
      <formula>$V$13</formula>
    </cfRule>
  </conditionalFormatting>
  <conditionalFormatting sqref="AD35">
    <cfRule type="cellIs" dxfId="1" priority="25" operator="lessThan">
      <formula>$U$14</formula>
    </cfRule>
    <cfRule type="cellIs" dxfId="0" priority="26" operator="lessThan">
      <formula>$V$14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BBF2AEC72E54A96B9CEEB3639AD2B" ma:contentTypeVersion="17" ma:contentTypeDescription="Create a new document." ma:contentTypeScope="" ma:versionID="7010c0a6269079e21613b7d96089c7ae">
  <xsd:schema xmlns:xsd="http://www.w3.org/2001/XMLSchema" xmlns:xs="http://www.w3.org/2001/XMLSchema" xmlns:p="http://schemas.microsoft.com/office/2006/metadata/properties" xmlns:ns3="b9494818-4157-4856-becf-245aaf201f85" xmlns:ns4="fdb7c1ac-29a4-4544-9ce2-fbe0ce024e61" targetNamespace="http://schemas.microsoft.com/office/2006/metadata/properties" ma:root="true" ma:fieldsID="7ec94fa1e5f2936bee832cd056caf156" ns3:_="" ns4:_="">
    <xsd:import namespace="b9494818-4157-4856-becf-245aaf201f85"/>
    <xsd:import namespace="fdb7c1ac-29a4-4544-9ce2-fbe0ce024e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94818-4157-4856-becf-245aaf201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7c1ac-29a4-4544-9ce2-fbe0ce024e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494818-4157-4856-becf-245aaf201f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9DA6F7-5464-48F4-A91B-6EB855B0A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94818-4157-4856-becf-245aaf201f85"/>
    <ds:schemaRef ds:uri="fdb7c1ac-29a4-4544-9ce2-fbe0ce02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17A07-87C5-4B82-A532-5CCFB3B9F2DF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fdb7c1ac-29a4-4544-9ce2-fbe0ce024e61"/>
    <ds:schemaRef ds:uri="http://schemas.microsoft.com/office/infopath/2007/PartnerControls"/>
    <ds:schemaRef ds:uri="b9494818-4157-4856-becf-245aaf201f85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F62E27-3307-4364-8032-BD7DAF98B3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calibration</vt:lpstr>
      <vt:lpstr>IC_101123_F</vt:lpstr>
      <vt:lpstr>IC_101123_Cl</vt:lpstr>
      <vt:lpstr>IC_101123_Nitrite</vt:lpstr>
      <vt:lpstr>IC_101123_Br</vt:lpstr>
      <vt:lpstr>IC_101123_Nitrate</vt:lpstr>
      <vt:lpstr>IC_101123_PO4</vt:lpstr>
      <vt:lpstr>IC_101123_SO4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Knoblauch</dc:creator>
  <cp:keywords/>
  <dc:description/>
  <cp:lastModifiedBy>Alexandra Knoblauch</cp:lastModifiedBy>
  <cp:revision/>
  <dcterms:created xsi:type="dcterms:W3CDTF">2023-12-03T15:24:57Z</dcterms:created>
  <dcterms:modified xsi:type="dcterms:W3CDTF">2024-01-19T19:56:24Z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0x010100177BBF2AEC72E54A96B9CEEB3639AD2B</vt:lpwstr>
  </property>
</Properties>
</file>