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/"/>
    </mc:Choice>
  </mc:AlternateContent>
  <xr:revisionPtr revIDLastSave="7" documentId="8_{880D356F-F3A4-45B4-A884-D6E81F14F1FE}" xr6:coauthVersionLast="47" xr6:coauthVersionMax="47" xr10:uidLastSave="{C6EC741A-5D6B-4BBB-84FD-1127B9A6785B}"/>
  <bookViews>
    <workbookView xWindow="14505" yWindow="2370" windowWidth="14355" windowHeight="11385" firstSheet="1" activeTab="2" xr2:uid="{756351D9-AD74-40E8-8DCA-70EF970528E2}"/>
  </bookViews>
  <sheets>
    <sheet name="calibration" sheetId="8" r:id="rId1"/>
    <sheet name="IC_171123_F" sheetId="1" r:id="rId2"/>
    <sheet name="IC_171123_Cl" sheetId="2" r:id="rId3"/>
    <sheet name="IC_171123_Nitrite" sheetId="3" r:id="rId4"/>
    <sheet name="IC_171123_Br" sheetId="4" r:id="rId5"/>
    <sheet name="IC_171123_Nitrate" sheetId="5" r:id="rId6"/>
    <sheet name="IC_171123_PO4" sheetId="6" r:id="rId7"/>
    <sheet name="IC_171123_SO4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0" i="7" l="1"/>
  <c r="AB50" i="7"/>
  <c r="U17" i="7"/>
  <c r="V17" i="7"/>
  <c r="W17" i="7"/>
  <c r="X17" i="7" s="1"/>
  <c r="Y17" i="7"/>
  <c r="Z17" i="7"/>
  <c r="AB17" i="7" s="1"/>
  <c r="AA17" i="7"/>
  <c r="AC17" i="7"/>
  <c r="AD17" i="7" s="1"/>
  <c r="AC17" i="5"/>
  <c r="AA17" i="5"/>
  <c r="Z17" i="5"/>
  <c r="AB17" i="5" s="1"/>
  <c r="Y17" i="5"/>
  <c r="W17" i="5"/>
  <c r="AD17" i="5" s="1"/>
  <c r="V17" i="5"/>
  <c r="U17" i="5"/>
  <c r="AC17" i="3"/>
  <c r="AA17" i="3"/>
  <c r="Z17" i="3"/>
  <c r="Y17" i="3"/>
  <c r="W17" i="3"/>
  <c r="V17" i="3"/>
  <c r="U17" i="3"/>
  <c r="AA47" i="2"/>
  <c r="AB47" i="2" s="1"/>
  <c r="AA49" i="2"/>
  <c r="Y47" i="2"/>
  <c r="I10" i="2" s="1"/>
  <c r="Y48" i="2"/>
  <c r="L12" i="7"/>
  <c r="I12" i="7"/>
  <c r="H12" i="7"/>
  <c r="L11" i="7"/>
  <c r="I11" i="7"/>
  <c r="H11" i="7"/>
  <c r="L10" i="7"/>
  <c r="I10" i="7"/>
  <c r="H10" i="7"/>
  <c r="AG55" i="7"/>
  <c r="AE55" i="7"/>
  <c r="AF55" i="7" s="1"/>
  <c r="AD55" i="7"/>
  <c r="AC55" i="7"/>
  <c r="AA55" i="7"/>
  <c r="AB55" i="7" s="1"/>
  <c r="Z55" i="7"/>
  <c r="Y55" i="7"/>
  <c r="AG53" i="7"/>
  <c r="AE53" i="7"/>
  <c r="AD53" i="7"/>
  <c r="AF53" i="7" s="1"/>
  <c r="AC53" i="7"/>
  <c r="AA53" i="7"/>
  <c r="AB53" i="7" s="1"/>
  <c r="Z53" i="7"/>
  <c r="Y53" i="7"/>
  <c r="AG52" i="7"/>
  <c r="AE52" i="7"/>
  <c r="AF52" i="7" s="1"/>
  <c r="AD52" i="7"/>
  <c r="AC52" i="7"/>
  <c r="AA52" i="7"/>
  <c r="AH52" i="7" s="1"/>
  <c r="Z52" i="7"/>
  <c r="Y52" i="7"/>
  <c r="AG50" i="7"/>
  <c r="AE50" i="7"/>
  <c r="AD50" i="7"/>
  <c r="AC50" i="7"/>
  <c r="Z50" i="7"/>
  <c r="Y50" i="7"/>
  <c r="AG49" i="7"/>
  <c r="AE49" i="7"/>
  <c r="AF49" i="7" s="1"/>
  <c r="AD49" i="7"/>
  <c r="AC49" i="7"/>
  <c r="AA49" i="7"/>
  <c r="AH49" i="7" s="1"/>
  <c r="Z49" i="7"/>
  <c r="Y49" i="7"/>
  <c r="AG47" i="7"/>
  <c r="AE47" i="7"/>
  <c r="AD47" i="7"/>
  <c r="AC47" i="7"/>
  <c r="AB47" i="7"/>
  <c r="AA47" i="7"/>
  <c r="AH47" i="7" s="1"/>
  <c r="Z47" i="7"/>
  <c r="Y47" i="7"/>
  <c r="X32" i="7"/>
  <c r="U32" i="7"/>
  <c r="O29" i="7"/>
  <c r="Y28" i="7"/>
  <c r="O28" i="7"/>
  <c r="Y27" i="7"/>
  <c r="Z27" i="7" s="1"/>
  <c r="V27" i="7"/>
  <c r="O27" i="7"/>
  <c r="O26" i="7"/>
  <c r="O25" i="7"/>
  <c r="O24" i="7"/>
  <c r="AC23" i="7"/>
  <c r="AA23" i="7"/>
  <c r="Z23" i="7"/>
  <c r="Y23" i="7"/>
  <c r="W23" i="7"/>
  <c r="V23" i="7"/>
  <c r="U23" i="7"/>
  <c r="O23" i="7"/>
  <c r="O22" i="7"/>
  <c r="AC21" i="7"/>
  <c r="AA21" i="7"/>
  <c r="Z21" i="7"/>
  <c r="Y21" i="7"/>
  <c r="W21" i="7"/>
  <c r="V21" i="7"/>
  <c r="U21" i="7"/>
  <c r="O21" i="7"/>
  <c r="AC20" i="7"/>
  <c r="AA20" i="7"/>
  <c r="Z20" i="7"/>
  <c r="Y20" i="7"/>
  <c r="W20" i="7"/>
  <c r="V20" i="7"/>
  <c r="U20" i="7"/>
  <c r="V28" i="7" s="1"/>
  <c r="Z28" i="7" s="1"/>
  <c r="O20" i="7"/>
  <c r="O19" i="7"/>
  <c r="AC18" i="7"/>
  <c r="AA18" i="7"/>
  <c r="Z18" i="7"/>
  <c r="Y18" i="7"/>
  <c r="W18" i="7"/>
  <c r="V18" i="7"/>
  <c r="U18" i="7"/>
  <c r="V32" i="7" s="1"/>
  <c r="O18" i="7"/>
  <c r="O15" i="7"/>
  <c r="V14" i="7"/>
  <c r="U14" i="7"/>
  <c r="O14" i="7"/>
  <c r="O13" i="7"/>
  <c r="V12" i="7"/>
  <c r="U12" i="7"/>
  <c r="O11" i="7"/>
  <c r="AA7" i="7"/>
  <c r="Z7" i="7"/>
  <c r="Y7" i="7"/>
  <c r="X7" i="7"/>
  <c r="W7" i="7"/>
  <c r="V7" i="7"/>
  <c r="U7" i="7"/>
  <c r="T7" i="7"/>
  <c r="AA6" i="7"/>
  <c r="Z6" i="7"/>
  <c r="Y6" i="7"/>
  <c r="X6" i="7"/>
  <c r="W6" i="7"/>
  <c r="V6" i="7"/>
  <c r="U6" i="7"/>
  <c r="T6" i="7"/>
  <c r="AA5" i="7"/>
  <c r="Z5" i="7"/>
  <c r="Y5" i="7"/>
  <c r="X5" i="7"/>
  <c r="W5" i="7"/>
  <c r="V5" i="7"/>
  <c r="U5" i="7"/>
  <c r="T5" i="7"/>
  <c r="AA4" i="7"/>
  <c r="Z4" i="7"/>
  <c r="Y4" i="7"/>
  <c r="X4" i="7"/>
  <c r="W4" i="7"/>
  <c r="V4" i="7"/>
  <c r="U4" i="7"/>
  <c r="T4" i="7"/>
  <c r="AA3" i="7"/>
  <c r="Z3" i="7"/>
  <c r="Y3" i="7"/>
  <c r="X3" i="7"/>
  <c r="W3" i="7"/>
  <c r="V3" i="7"/>
  <c r="U3" i="7"/>
  <c r="T3" i="7"/>
  <c r="AA2" i="7"/>
  <c r="Z2" i="7"/>
  <c r="Y2" i="7"/>
  <c r="X2" i="7"/>
  <c r="W2" i="7"/>
  <c r="V2" i="7"/>
  <c r="U2" i="7"/>
  <c r="T2" i="7"/>
  <c r="AA1" i="7"/>
  <c r="Z1" i="7"/>
  <c r="Y1" i="7"/>
  <c r="X1" i="7"/>
  <c r="W1" i="7"/>
  <c r="V1" i="7"/>
  <c r="U1" i="7"/>
  <c r="T1" i="7"/>
  <c r="K13" i="5"/>
  <c r="AG3" i="5" a="1"/>
  <c r="AG3" i="5" s="1"/>
  <c r="L12" i="5"/>
  <c r="I12" i="5"/>
  <c r="H12" i="5"/>
  <c r="L11" i="5"/>
  <c r="I11" i="5"/>
  <c r="H11" i="5"/>
  <c r="I10" i="5"/>
  <c r="H10" i="5"/>
  <c r="AG55" i="5"/>
  <c r="AE55" i="5"/>
  <c r="AD55" i="5"/>
  <c r="AC55" i="5"/>
  <c r="AA55" i="5"/>
  <c r="Z55" i="5"/>
  <c r="Y55" i="5"/>
  <c r="AG53" i="5"/>
  <c r="AH53" i="5" s="1"/>
  <c r="AE53" i="5"/>
  <c r="AD53" i="5"/>
  <c r="AF53" i="5" s="1"/>
  <c r="AC53" i="5"/>
  <c r="AA53" i="5"/>
  <c r="Z53" i="5"/>
  <c r="Y53" i="5"/>
  <c r="AG52" i="5"/>
  <c r="AE52" i="5"/>
  <c r="AD52" i="5"/>
  <c r="AF52" i="5" s="1"/>
  <c r="AC52" i="5"/>
  <c r="AA52" i="5"/>
  <c r="AH52" i="5" s="1"/>
  <c r="Z52" i="5"/>
  <c r="Y52" i="5"/>
  <c r="AH50" i="5"/>
  <c r="AG50" i="5"/>
  <c r="AE50" i="5"/>
  <c r="AD50" i="5"/>
  <c r="AC50" i="5"/>
  <c r="AA50" i="5"/>
  <c r="Z50" i="5"/>
  <c r="Y50" i="5"/>
  <c r="AG49" i="5"/>
  <c r="AF49" i="5"/>
  <c r="AE49" i="5"/>
  <c r="AD49" i="5"/>
  <c r="AC49" i="5"/>
  <c r="AA49" i="5"/>
  <c r="Z49" i="5"/>
  <c r="Y49" i="5"/>
  <c r="L10" i="5" s="1"/>
  <c r="AG47" i="5"/>
  <c r="AE47" i="5"/>
  <c r="AD47" i="5"/>
  <c r="AC47" i="5"/>
  <c r="AA47" i="5"/>
  <c r="AH47" i="5" s="1"/>
  <c r="Z47" i="5"/>
  <c r="Y47" i="5"/>
  <c r="X32" i="5"/>
  <c r="U32" i="5"/>
  <c r="O29" i="5"/>
  <c r="Y28" i="5"/>
  <c r="O28" i="5"/>
  <c r="Y27" i="5"/>
  <c r="V27" i="5"/>
  <c r="Z27" i="5" s="1"/>
  <c r="O27" i="5"/>
  <c r="O26" i="5"/>
  <c r="O25" i="5"/>
  <c r="O24" i="5"/>
  <c r="AC23" i="5"/>
  <c r="AA23" i="5"/>
  <c r="Z23" i="5"/>
  <c r="Y23" i="5"/>
  <c r="W23" i="5"/>
  <c r="V23" i="5"/>
  <c r="U23" i="5"/>
  <c r="O23" i="5"/>
  <c r="O22" i="5"/>
  <c r="AC21" i="5"/>
  <c r="AA21" i="5"/>
  <c r="Z21" i="5"/>
  <c r="Y21" i="5"/>
  <c r="W21" i="5"/>
  <c r="V21" i="5"/>
  <c r="U21" i="5"/>
  <c r="O21" i="5"/>
  <c r="AC20" i="5"/>
  <c r="AA20" i="5"/>
  <c r="Z20" i="5"/>
  <c r="AB20" i="5" s="1"/>
  <c r="Y20" i="5"/>
  <c r="W20" i="5"/>
  <c r="V20" i="5"/>
  <c r="U20" i="5"/>
  <c r="Z32" i="5" s="1"/>
  <c r="O20" i="5"/>
  <c r="O19" i="5"/>
  <c r="AC18" i="5"/>
  <c r="AA18" i="5"/>
  <c r="Z18" i="5"/>
  <c r="Y18" i="5"/>
  <c r="W18" i="5"/>
  <c r="V18" i="5"/>
  <c r="U18" i="5"/>
  <c r="V32" i="5" s="1"/>
  <c r="O18" i="5"/>
  <c r="O15" i="5"/>
  <c r="V14" i="5"/>
  <c r="U14" i="5"/>
  <c r="O14" i="5"/>
  <c r="O13" i="5"/>
  <c r="V12" i="5"/>
  <c r="U12" i="5"/>
  <c r="O12" i="5"/>
  <c r="O11" i="5"/>
  <c r="AA7" i="5"/>
  <c r="Z7" i="5"/>
  <c r="Y7" i="5"/>
  <c r="X7" i="5"/>
  <c r="W7" i="5"/>
  <c r="V7" i="5"/>
  <c r="U7" i="5"/>
  <c r="T7" i="5"/>
  <c r="AA6" i="5"/>
  <c r="Z6" i="5"/>
  <c r="Y6" i="5"/>
  <c r="X6" i="5"/>
  <c r="W6" i="5"/>
  <c r="V6" i="5"/>
  <c r="U6" i="5"/>
  <c r="T6" i="5"/>
  <c r="AA5" i="5"/>
  <c r="Z5" i="5"/>
  <c r="Y5" i="5"/>
  <c r="X5" i="5"/>
  <c r="W5" i="5"/>
  <c r="V5" i="5"/>
  <c r="U5" i="5"/>
  <c r="T5" i="5"/>
  <c r="AA4" i="5"/>
  <c r="Z4" i="5"/>
  <c r="Y4" i="5"/>
  <c r="X4" i="5"/>
  <c r="W4" i="5"/>
  <c r="V4" i="5"/>
  <c r="U4" i="5"/>
  <c r="T4" i="5"/>
  <c r="AA3" i="5"/>
  <c r="Z3" i="5"/>
  <c r="Y3" i="5"/>
  <c r="X3" i="5"/>
  <c r="W3" i="5"/>
  <c r="V3" i="5"/>
  <c r="U3" i="5"/>
  <c r="T3" i="5"/>
  <c r="AA2" i="5"/>
  <c r="Z2" i="5"/>
  <c r="Y2" i="5"/>
  <c r="X2" i="5"/>
  <c r="W2" i="5"/>
  <c r="V2" i="5"/>
  <c r="U2" i="5"/>
  <c r="T2" i="5"/>
  <c r="AA1" i="5"/>
  <c r="Z1" i="5"/>
  <c r="Y1" i="5"/>
  <c r="X1" i="5"/>
  <c r="W1" i="5"/>
  <c r="V1" i="5"/>
  <c r="U1" i="5"/>
  <c r="T1" i="5"/>
  <c r="U12" i="3"/>
  <c r="H12" i="2"/>
  <c r="H11" i="2"/>
  <c r="H10" i="2"/>
  <c r="H12" i="3"/>
  <c r="H11" i="3"/>
  <c r="H10" i="3"/>
  <c r="N10" i="3"/>
  <c r="AC37" i="2"/>
  <c r="AC38" i="2"/>
  <c r="AD48" i="2" s="1"/>
  <c r="AC39" i="2"/>
  <c r="AC40" i="2"/>
  <c r="AC41" i="2"/>
  <c r="AC42" i="2"/>
  <c r="AE54" i="2" s="1"/>
  <c r="AC43" i="2"/>
  <c r="AC44" i="2"/>
  <c r="Z51" i="2"/>
  <c r="AC36" i="2"/>
  <c r="I12" i="2"/>
  <c r="I11" i="2"/>
  <c r="L12" i="3"/>
  <c r="I12" i="3"/>
  <c r="I11" i="3"/>
  <c r="L11" i="3"/>
  <c r="L10" i="3"/>
  <c r="I10" i="3"/>
  <c r="AC37" i="3"/>
  <c r="AC38" i="3"/>
  <c r="AC39" i="3"/>
  <c r="AC40" i="3"/>
  <c r="AC41" i="3"/>
  <c r="AC36" i="3"/>
  <c r="AG55" i="3"/>
  <c r="AE55" i="3"/>
  <c r="AD55" i="3"/>
  <c r="AC55" i="3"/>
  <c r="AA55" i="3"/>
  <c r="AH55" i="3" s="1"/>
  <c r="Z55" i="3"/>
  <c r="Y55" i="3"/>
  <c r="AG53" i="3"/>
  <c r="AE53" i="3"/>
  <c r="AD53" i="3"/>
  <c r="AC53" i="3"/>
  <c r="AA53" i="3"/>
  <c r="Z53" i="3"/>
  <c r="Y53" i="3"/>
  <c r="AG52" i="3"/>
  <c r="AE52" i="3"/>
  <c r="AD52" i="3"/>
  <c r="AF52" i="3" s="1"/>
  <c r="AC52" i="3"/>
  <c r="AA52" i="3"/>
  <c r="Z52" i="3"/>
  <c r="Y52" i="3"/>
  <c r="AG50" i="3"/>
  <c r="AE50" i="3"/>
  <c r="AD50" i="3"/>
  <c r="AC50" i="3"/>
  <c r="AA50" i="3"/>
  <c r="Z50" i="3"/>
  <c r="Y50" i="3"/>
  <c r="AG49" i="3"/>
  <c r="AE49" i="3"/>
  <c r="AD49" i="3"/>
  <c r="AC49" i="3"/>
  <c r="AA49" i="3"/>
  <c r="Z49" i="3"/>
  <c r="Y49" i="3"/>
  <c r="AG47" i="3"/>
  <c r="AE47" i="3"/>
  <c r="AD47" i="3"/>
  <c r="AC47" i="3"/>
  <c r="AA47" i="3"/>
  <c r="Z47" i="3"/>
  <c r="Y47" i="3"/>
  <c r="X32" i="3"/>
  <c r="U32" i="3"/>
  <c r="O29" i="3"/>
  <c r="Y28" i="3"/>
  <c r="O28" i="3"/>
  <c r="Y27" i="3"/>
  <c r="V27" i="3"/>
  <c r="Z27" i="3" s="1"/>
  <c r="O27" i="3"/>
  <c r="O26" i="3"/>
  <c r="O25" i="3"/>
  <c r="O24" i="3"/>
  <c r="AC23" i="3"/>
  <c r="AA23" i="3"/>
  <c r="Z23" i="3"/>
  <c r="Y23" i="3"/>
  <c r="W23" i="3"/>
  <c r="V23" i="3"/>
  <c r="U23" i="3"/>
  <c r="O23" i="3"/>
  <c r="O22" i="3"/>
  <c r="AC21" i="3"/>
  <c r="AA21" i="3"/>
  <c r="Z21" i="3"/>
  <c r="Y21" i="3"/>
  <c r="W21" i="3"/>
  <c r="V21" i="3"/>
  <c r="U21" i="3"/>
  <c r="O21" i="3"/>
  <c r="AC20" i="3"/>
  <c r="AA20" i="3"/>
  <c r="Z20" i="3"/>
  <c r="Y20" i="3"/>
  <c r="W20" i="3"/>
  <c r="V20" i="3"/>
  <c r="U20" i="3"/>
  <c r="Z32" i="3" s="1"/>
  <c r="O20" i="3"/>
  <c r="O19" i="3"/>
  <c r="AC18" i="3"/>
  <c r="AA18" i="3"/>
  <c r="Z18" i="3"/>
  <c r="Y18" i="3"/>
  <c r="W18" i="3"/>
  <c r="V18" i="3"/>
  <c r="U18" i="3"/>
  <c r="V32" i="3" s="1"/>
  <c r="O18" i="3"/>
  <c r="O15" i="3"/>
  <c r="V14" i="3"/>
  <c r="U14" i="3"/>
  <c r="O14" i="3"/>
  <c r="O13" i="3"/>
  <c r="V12" i="3"/>
  <c r="AA7" i="3"/>
  <c r="Z7" i="3"/>
  <c r="Y7" i="3"/>
  <c r="X7" i="3"/>
  <c r="W7" i="3"/>
  <c r="V7" i="3"/>
  <c r="U7" i="3"/>
  <c r="T7" i="3"/>
  <c r="AA6" i="3"/>
  <c r="Z6" i="3"/>
  <c r="Y6" i="3"/>
  <c r="X6" i="3"/>
  <c r="W6" i="3"/>
  <c r="V6" i="3"/>
  <c r="U6" i="3"/>
  <c r="T6" i="3"/>
  <c r="AA5" i="3"/>
  <c r="Z5" i="3"/>
  <c r="Y5" i="3"/>
  <c r="X5" i="3"/>
  <c r="W5" i="3"/>
  <c r="V5" i="3"/>
  <c r="U5" i="3"/>
  <c r="T5" i="3"/>
  <c r="AA4" i="3"/>
  <c r="Z4" i="3"/>
  <c r="Y4" i="3"/>
  <c r="X4" i="3"/>
  <c r="W4" i="3"/>
  <c r="V4" i="3"/>
  <c r="U4" i="3"/>
  <c r="T4" i="3"/>
  <c r="AA3" i="3"/>
  <c r="Z3" i="3"/>
  <c r="Y3" i="3"/>
  <c r="X3" i="3"/>
  <c r="W3" i="3"/>
  <c r="V3" i="3"/>
  <c r="U3" i="3"/>
  <c r="T3" i="3"/>
  <c r="AA2" i="3"/>
  <c r="Z2" i="3"/>
  <c r="Y2" i="3"/>
  <c r="X2" i="3"/>
  <c r="W2" i="3"/>
  <c r="V2" i="3"/>
  <c r="U2" i="3"/>
  <c r="T2" i="3"/>
  <c r="AA1" i="3"/>
  <c r="Z1" i="3"/>
  <c r="Y1" i="3"/>
  <c r="X1" i="3"/>
  <c r="W1" i="3"/>
  <c r="V1" i="3"/>
  <c r="U1" i="3"/>
  <c r="T1" i="3"/>
  <c r="U18" i="2"/>
  <c r="V32" i="2"/>
  <c r="Y32" i="2"/>
  <c r="W32" i="2"/>
  <c r="U32" i="2"/>
  <c r="U28" i="2"/>
  <c r="U27" i="2"/>
  <c r="AC23" i="2"/>
  <c r="AA23" i="2"/>
  <c r="Z23" i="2"/>
  <c r="Y23" i="2"/>
  <c r="W23" i="2"/>
  <c r="V23" i="2"/>
  <c r="U23" i="2"/>
  <c r="AC22" i="2"/>
  <c r="AA22" i="2"/>
  <c r="Z22" i="2"/>
  <c r="Y22" i="2"/>
  <c r="W22" i="2"/>
  <c r="V22" i="2"/>
  <c r="U22" i="2"/>
  <c r="AC21" i="2"/>
  <c r="AA21" i="2"/>
  <c r="Z21" i="2"/>
  <c r="Y21" i="2"/>
  <c r="W21" i="2"/>
  <c r="V21" i="2"/>
  <c r="U21" i="2"/>
  <c r="AC20" i="2"/>
  <c r="AA20" i="2"/>
  <c r="Z20" i="2"/>
  <c r="Y20" i="2"/>
  <c r="W20" i="2"/>
  <c r="V20" i="2"/>
  <c r="U20" i="2"/>
  <c r="AC19" i="2"/>
  <c r="AA19" i="2"/>
  <c r="Z19" i="2"/>
  <c r="Y19" i="2"/>
  <c r="W19" i="2"/>
  <c r="V19" i="2"/>
  <c r="U19" i="2"/>
  <c r="AB19" i="2"/>
  <c r="AC18" i="2"/>
  <c r="AA18" i="2"/>
  <c r="Z18" i="2"/>
  <c r="Y18" i="2"/>
  <c r="W18" i="2"/>
  <c r="V18" i="2"/>
  <c r="Y53" i="2"/>
  <c r="Z53" i="2"/>
  <c r="AA53" i="2"/>
  <c r="AB53" i="2" s="1"/>
  <c r="AC53" i="2"/>
  <c r="AD53" i="2"/>
  <c r="AE53" i="2"/>
  <c r="AF53" i="2" s="1"/>
  <c r="AG53" i="2"/>
  <c r="AG54" i="2"/>
  <c r="Y55" i="2"/>
  <c r="L12" i="2" s="1"/>
  <c r="Z55" i="2"/>
  <c r="AA55" i="2"/>
  <c r="AH55" i="2" s="1"/>
  <c r="AC55" i="2"/>
  <c r="AD55" i="2"/>
  <c r="AE55" i="2"/>
  <c r="AG55" i="2"/>
  <c r="Y50" i="2"/>
  <c r="Z50" i="2"/>
  <c r="AA50" i="2"/>
  <c r="AC50" i="2"/>
  <c r="AD50" i="2"/>
  <c r="AE50" i="2"/>
  <c r="AG50" i="2"/>
  <c r="AC51" i="2"/>
  <c r="Y52" i="2"/>
  <c r="L11" i="2" s="1"/>
  <c r="Z52" i="2"/>
  <c r="AA52" i="2"/>
  <c r="AB52" i="2" s="1"/>
  <c r="AC52" i="2"/>
  <c r="AD52" i="2"/>
  <c r="AE52" i="2"/>
  <c r="AG52" i="2"/>
  <c r="AH52" i="2" s="1"/>
  <c r="AG49" i="2"/>
  <c r="AD49" i="2"/>
  <c r="AE49" i="2"/>
  <c r="AC49" i="2"/>
  <c r="Z49" i="2"/>
  <c r="AE48" i="2"/>
  <c r="AC48" i="2"/>
  <c r="Z48" i="2"/>
  <c r="Y49" i="2"/>
  <c r="L10" i="2" s="1"/>
  <c r="AG47" i="2"/>
  <c r="AE47" i="2"/>
  <c r="AD47" i="2"/>
  <c r="AC47" i="2"/>
  <c r="Z47" i="2"/>
  <c r="V14" i="2"/>
  <c r="V12" i="2"/>
  <c r="U12" i="2"/>
  <c r="U14" i="2"/>
  <c r="K19" i="2"/>
  <c r="K20" i="2"/>
  <c r="N20" i="2" s="1"/>
  <c r="K21" i="2"/>
  <c r="N21" i="2" s="1"/>
  <c r="K22" i="2"/>
  <c r="K23" i="2"/>
  <c r="K24" i="2"/>
  <c r="N24" i="2" s="1"/>
  <c r="K25" i="2"/>
  <c r="N25" i="2" s="1"/>
  <c r="K26" i="2"/>
  <c r="N26" i="2" s="1"/>
  <c r="K27" i="2"/>
  <c r="K28" i="2"/>
  <c r="K29" i="2"/>
  <c r="N29" i="2" s="1"/>
  <c r="K30" i="2"/>
  <c r="K31" i="2"/>
  <c r="O29" i="2"/>
  <c r="O28" i="2"/>
  <c r="N28" i="2"/>
  <c r="O27" i="2"/>
  <c r="N27" i="2"/>
  <c r="O26" i="2"/>
  <c r="O25" i="2"/>
  <c r="O24" i="2"/>
  <c r="O23" i="2"/>
  <c r="N23" i="2"/>
  <c r="O22" i="2"/>
  <c r="N22" i="2"/>
  <c r="O21" i="2"/>
  <c r="O20" i="2"/>
  <c r="O19" i="2"/>
  <c r="N19" i="2"/>
  <c r="O18" i="2"/>
  <c r="O13" i="2"/>
  <c r="AG3" i="2" a="1"/>
  <c r="AG3" i="2" s="1"/>
  <c r="Y28" i="2"/>
  <c r="Y27" i="2"/>
  <c r="AD21" i="2"/>
  <c r="O15" i="2"/>
  <c r="O14" i="2"/>
  <c r="AD18" i="2"/>
  <c r="AA7" i="2"/>
  <c r="Z7" i="2"/>
  <c r="Y7" i="2"/>
  <c r="X7" i="2"/>
  <c r="W7" i="2"/>
  <c r="V7" i="2"/>
  <c r="U7" i="2"/>
  <c r="T7" i="2"/>
  <c r="AA6" i="2"/>
  <c r="Z6" i="2"/>
  <c r="Y6" i="2"/>
  <c r="X6" i="2"/>
  <c r="W6" i="2"/>
  <c r="V6" i="2"/>
  <c r="U6" i="2"/>
  <c r="T6" i="2"/>
  <c r="AA5" i="2"/>
  <c r="Z5" i="2"/>
  <c r="Y5" i="2"/>
  <c r="X5" i="2"/>
  <c r="W5" i="2"/>
  <c r="V5" i="2"/>
  <c r="U5" i="2"/>
  <c r="T5" i="2"/>
  <c r="X32" i="2"/>
  <c r="AA4" i="2"/>
  <c r="Z4" i="2"/>
  <c r="Y4" i="2"/>
  <c r="X4" i="2"/>
  <c r="W4" i="2"/>
  <c r="V4" i="2"/>
  <c r="U4" i="2"/>
  <c r="T4" i="2"/>
  <c r="AA3" i="2"/>
  <c r="Z3" i="2"/>
  <c r="Y3" i="2"/>
  <c r="X3" i="2"/>
  <c r="W3" i="2"/>
  <c r="V3" i="2"/>
  <c r="U3" i="2"/>
  <c r="T3" i="2"/>
  <c r="AA2" i="2"/>
  <c r="Z2" i="2"/>
  <c r="Y2" i="2"/>
  <c r="X2" i="2"/>
  <c r="W2" i="2"/>
  <c r="V2" i="2"/>
  <c r="U2" i="2"/>
  <c r="T2" i="2"/>
  <c r="AA1" i="2"/>
  <c r="Z1" i="2"/>
  <c r="Y1" i="2"/>
  <c r="X1" i="2"/>
  <c r="W1" i="2"/>
  <c r="V1" i="2"/>
  <c r="U1" i="2"/>
  <c r="T1" i="2"/>
  <c r="O16" i="6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O13" i="1" s="1"/>
  <c r="L12" i="1"/>
  <c r="M12" i="1" s="1"/>
  <c r="L11" i="1"/>
  <c r="M11" i="1" s="1"/>
  <c r="L10" i="1"/>
  <c r="M10" i="1" s="1"/>
  <c r="O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L37" i="4"/>
  <c r="M37" i="4" s="1"/>
  <c r="L36" i="4"/>
  <c r="M36" i="4" s="1"/>
  <c r="L35" i="4"/>
  <c r="M35" i="4" s="1"/>
  <c r="L34" i="4"/>
  <c r="M34" i="4" s="1"/>
  <c r="L33" i="4"/>
  <c r="M33" i="4" s="1"/>
  <c r="L32" i="4"/>
  <c r="M32" i="4" s="1"/>
  <c r="L31" i="4"/>
  <c r="M31" i="4" s="1"/>
  <c r="L30" i="4"/>
  <c r="M30" i="4" s="1"/>
  <c r="L29" i="4"/>
  <c r="M29" i="4" s="1"/>
  <c r="L28" i="4"/>
  <c r="M28" i="4" s="1"/>
  <c r="L27" i="4"/>
  <c r="M27" i="4" s="1"/>
  <c r="L26" i="4"/>
  <c r="M26" i="4" s="1"/>
  <c r="L25" i="4"/>
  <c r="M25" i="4" s="1"/>
  <c r="L24" i="4"/>
  <c r="M24" i="4" s="1"/>
  <c r="L23" i="4"/>
  <c r="M23" i="4" s="1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L16" i="4"/>
  <c r="M16" i="4" s="1"/>
  <c r="O16" i="4" s="1"/>
  <c r="L15" i="4"/>
  <c r="M15" i="4" s="1"/>
  <c r="L14" i="4"/>
  <c r="M14" i="4" s="1"/>
  <c r="L13" i="4"/>
  <c r="M13" i="4" s="1"/>
  <c r="O13" i="4" s="1"/>
  <c r="L12" i="4"/>
  <c r="M12" i="4" s="1"/>
  <c r="L11" i="4"/>
  <c r="M11" i="4" s="1"/>
  <c r="L10" i="4"/>
  <c r="M10" i="4" s="1"/>
  <c r="O10" i="4" s="1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2" i="4"/>
  <c r="M2" i="4" s="1"/>
  <c r="L37" i="6"/>
  <c r="M37" i="6" s="1"/>
  <c r="L36" i="6"/>
  <c r="M36" i="6" s="1"/>
  <c r="L35" i="6"/>
  <c r="M35" i="6" s="1"/>
  <c r="L34" i="6"/>
  <c r="M34" i="6" s="1"/>
  <c r="L33" i="6"/>
  <c r="M33" i="6" s="1"/>
  <c r="L32" i="6"/>
  <c r="M32" i="6" s="1"/>
  <c r="L31" i="6"/>
  <c r="M31" i="6" s="1"/>
  <c r="L30" i="6"/>
  <c r="M30" i="6" s="1"/>
  <c r="L29" i="6"/>
  <c r="M29" i="6" s="1"/>
  <c r="L28" i="6"/>
  <c r="M28" i="6" s="1"/>
  <c r="L27" i="6"/>
  <c r="M27" i="6" s="1"/>
  <c r="L26" i="6"/>
  <c r="M26" i="6" s="1"/>
  <c r="L25" i="6"/>
  <c r="M25" i="6" s="1"/>
  <c r="L24" i="6"/>
  <c r="M24" i="6" s="1"/>
  <c r="L23" i="6"/>
  <c r="M23" i="6" s="1"/>
  <c r="L22" i="6"/>
  <c r="M22" i="6" s="1"/>
  <c r="L21" i="6"/>
  <c r="M21" i="6" s="1"/>
  <c r="L20" i="6"/>
  <c r="M20" i="6" s="1"/>
  <c r="L19" i="6"/>
  <c r="M19" i="6" s="1"/>
  <c r="L18" i="6"/>
  <c r="M18" i="6" s="1"/>
  <c r="L17" i="6"/>
  <c r="M17" i="6" s="1"/>
  <c r="L16" i="6"/>
  <c r="M16" i="6" s="1"/>
  <c r="L15" i="6"/>
  <c r="M15" i="6" s="1"/>
  <c r="L14" i="6"/>
  <c r="M14" i="6" s="1"/>
  <c r="L13" i="6"/>
  <c r="M13" i="6" s="1"/>
  <c r="O13" i="6" s="1"/>
  <c r="L12" i="6"/>
  <c r="M12" i="6" s="1"/>
  <c r="L11" i="6"/>
  <c r="M11" i="6" s="1"/>
  <c r="L10" i="6"/>
  <c r="M10" i="6" s="1"/>
  <c r="O10" i="6" s="1"/>
  <c r="L9" i="6"/>
  <c r="M9" i="6" s="1"/>
  <c r="L8" i="6"/>
  <c r="M8" i="6" s="1"/>
  <c r="L7" i="6"/>
  <c r="M7" i="6" s="1"/>
  <c r="L6" i="6"/>
  <c r="M6" i="6" s="1"/>
  <c r="L5" i="6"/>
  <c r="M5" i="6" s="1"/>
  <c r="L4" i="6"/>
  <c r="M4" i="6" s="1"/>
  <c r="L3" i="6"/>
  <c r="M3" i="6" s="1"/>
  <c r="L2" i="6"/>
  <c r="M2" i="6" s="1"/>
  <c r="F8" i="8"/>
  <c r="E8" i="8"/>
  <c r="D8" i="8"/>
  <c r="C8" i="8"/>
  <c r="B8" i="8"/>
  <c r="F7" i="8"/>
  <c r="E7" i="8"/>
  <c r="D7" i="8"/>
  <c r="B7" i="8"/>
  <c r="C7" i="8" s="1"/>
  <c r="F6" i="8"/>
  <c r="E6" i="8"/>
  <c r="D6" i="8"/>
  <c r="B6" i="8"/>
  <c r="C6" i="8" s="1"/>
  <c r="F5" i="8"/>
  <c r="E5" i="8"/>
  <c r="D5" i="8"/>
  <c r="B5" i="8"/>
  <c r="C5" i="8" s="1"/>
  <c r="F4" i="8"/>
  <c r="E4" i="8"/>
  <c r="D4" i="8"/>
  <c r="C4" i="8"/>
  <c r="B4" i="8"/>
  <c r="F3" i="8"/>
  <c r="E3" i="8"/>
  <c r="D3" i="8"/>
  <c r="B3" i="8"/>
  <c r="C3" i="8" s="1"/>
  <c r="F2" i="8"/>
  <c r="E2" i="8"/>
  <c r="D2" i="8"/>
  <c r="B2" i="8"/>
  <c r="C2" i="8" s="1"/>
  <c r="X17" i="5" l="1"/>
  <c r="K10" i="2"/>
  <c r="AB21" i="7"/>
  <c r="AF50" i="7"/>
  <c r="AF47" i="7"/>
  <c r="AH53" i="7"/>
  <c r="AH50" i="7"/>
  <c r="AB23" i="7"/>
  <c r="AB18" i="7"/>
  <c r="AD23" i="7"/>
  <c r="AD20" i="7"/>
  <c r="AB20" i="7"/>
  <c r="X21" i="7"/>
  <c r="AD18" i="7"/>
  <c r="AG3" i="7" a="1"/>
  <c r="AD21" i="7"/>
  <c r="O12" i="7"/>
  <c r="AA32" i="7"/>
  <c r="X23" i="7"/>
  <c r="AB49" i="7"/>
  <c r="AB52" i="7"/>
  <c r="AH55" i="7"/>
  <c r="X18" i="7"/>
  <c r="Z32" i="7"/>
  <c r="AC32" i="7" s="1"/>
  <c r="O10" i="7"/>
  <c r="X20" i="7"/>
  <c r="AD21" i="5"/>
  <c r="AH49" i="5"/>
  <c r="AH55" i="5"/>
  <c r="AF55" i="5"/>
  <c r="AF50" i="5"/>
  <c r="AF47" i="5"/>
  <c r="AC32" i="5"/>
  <c r="AB23" i="5"/>
  <c r="AD18" i="5"/>
  <c r="AB18" i="5"/>
  <c r="AD20" i="5"/>
  <c r="AD23" i="5"/>
  <c r="X18" i="5"/>
  <c r="AB21" i="5"/>
  <c r="AA32" i="5"/>
  <c r="O10" i="5"/>
  <c r="X20" i="5"/>
  <c r="X21" i="5"/>
  <c r="V28" i="5"/>
  <c r="Z28" i="5" s="1"/>
  <c r="AB47" i="5"/>
  <c r="AB50" i="5"/>
  <c r="AB53" i="5"/>
  <c r="X23" i="5"/>
  <c r="AB49" i="5"/>
  <c r="AB52" i="5"/>
  <c r="AB55" i="5"/>
  <c r="AG3" i="3" a="1"/>
  <c r="AB20" i="3"/>
  <c r="AD23" i="3"/>
  <c r="O11" i="2"/>
  <c r="W17" i="2"/>
  <c r="O12" i="3"/>
  <c r="O10" i="3"/>
  <c r="V17" i="2"/>
  <c r="O12" i="2"/>
  <c r="Y17" i="2"/>
  <c r="Z17" i="2"/>
  <c r="AC17" i="2"/>
  <c r="U17" i="2"/>
  <c r="AA17" i="2"/>
  <c r="O10" i="2"/>
  <c r="AD54" i="2"/>
  <c r="AF54" i="2" s="1"/>
  <c r="AA48" i="2"/>
  <c r="Z54" i="2"/>
  <c r="AF52" i="2"/>
  <c r="AF48" i="2"/>
  <c r="AE51" i="2"/>
  <c r="Y51" i="2"/>
  <c r="K11" i="2" s="1"/>
  <c r="AC54" i="2"/>
  <c r="AD51" i="2"/>
  <c r="AA54" i="2"/>
  <c r="AB54" i="2" s="1"/>
  <c r="AH54" i="2"/>
  <c r="AA51" i="2"/>
  <c r="AB51" i="2" s="1"/>
  <c r="AF55" i="2"/>
  <c r="Y54" i="2"/>
  <c r="K12" i="2" s="1"/>
  <c r="AG51" i="2"/>
  <c r="AG48" i="2"/>
  <c r="AH48" i="2" s="1"/>
  <c r="O11" i="3"/>
  <c r="AD18" i="3"/>
  <c r="AA51" i="3"/>
  <c r="AG48" i="3"/>
  <c r="AD21" i="3"/>
  <c r="AH50" i="3"/>
  <c r="AH52" i="3"/>
  <c r="AB23" i="3"/>
  <c r="AH49" i="3"/>
  <c r="Y51" i="3"/>
  <c r="AG51" i="3"/>
  <c r="AH51" i="3" s="1"/>
  <c r="AD51" i="3"/>
  <c r="AC51" i="3"/>
  <c r="AE51" i="3"/>
  <c r="Z51" i="3"/>
  <c r="Z48" i="3"/>
  <c r="AA48" i="3"/>
  <c r="AH48" i="3" s="1"/>
  <c r="AC48" i="3"/>
  <c r="AD48" i="3"/>
  <c r="AE48" i="3"/>
  <c r="Y48" i="3"/>
  <c r="K10" i="3" s="1"/>
  <c r="AF49" i="3"/>
  <c r="AF55" i="3"/>
  <c r="AD20" i="3"/>
  <c r="X23" i="3"/>
  <c r="AB18" i="3"/>
  <c r="X21" i="3"/>
  <c r="AF47" i="3"/>
  <c r="AF53" i="3"/>
  <c r="AH47" i="3"/>
  <c r="AF50" i="3"/>
  <c r="AH53" i="3"/>
  <c r="AB21" i="3"/>
  <c r="AA32" i="3"/>
  <c r="AC32" i="3"/>
  <c r="AG3" i="3"/>
  <c r="V28" i="3"/>
  <c r="Z28" i="3" s="1"/>
  <c r="X18" i="3"/>
  <c r="AB47" i="3"/>
  <c r="AB50" i="3"/>
  <c r="AB53" i="3"/>
  <c r="X20" i="3"/>
  <c r="AB49" i="3"/>
  <c r="AB52" i="3"/>
  <c r="AB55" i="3"/>
  <c r="X19" i="2"/>
  <c r="AD19" i="2"/>
  <c r="AB55" i="2"/>
  <c r="AB50" i="2"/>
  <c r="AF50" i="2"/>
  <c r="AH53" i="2"/>
  <c r="AH50" i="2"/>
  <c r="AF49" i="2"/>
  <c r="AH49" i="2"/>
  <c r="K14" i="2"/>
  <c r="N14" i="2" s="1"/>
  <c r="AH47" i="2"/>
  <c r="AB21" i="2"/>
  <c r="AB18" i="2"/>
  <c r="AA32" i="2"/>
  <c r="AF47" i="2"/>
  <c r="AB48" i="2"/>
  <c r="AB49" i="2"/>
  <c r="V27" i="2"/>
  <c r="Z27" i="2" s="1"/>
  <c r="X21" i="2"/>
  <c r="X18" i="2"/>
  <c r="AB23" i="2"/>
  <c r="O16" i="1"/>
  <c r="AG3" i="7" l="1"/>
  <c r="K26" i="7" s="1"/>
  <c r="N26" i="7" s="1"/>
  <c r="K26" i="5"/>
  <c r="N26" i="5" s="1"/>
  <c r="K9" i="5"/>
  <c r="K31" i="5"/>
  <c r="N11" i="3"/>
  <c r="K11" i="3"/>
  <c r="AB51" i="3"/>
  <c r="AD17" i="3"/>
  <c r="AB17" i="3"/>
  <c r="AB17" i="2"/>
  <c r="AD17" i="2"/>
  <c r="X17" i="2"/>
  <c r="X17" i="3"/>
  <c r="AH51" i="2"/>
  <c r="AF51" i="2"/>
  <c r="AF51" i="3"/>
  <c r="AC42" i="3"/>
  <c r="K2" i="3"/>
  <c r="K19" i="3"/>
  <c r="N19" i="3" s="1"/>
  <c r="AC43" i="3"/>
  <c r="AC44" i="3"/>
  <c r="AF48" i="3"/>
  <c r="AB48" i="3"/>
  <c r="K29" i="3"/>
  <c r="N29" i="3" s="1"/>
  <c r="K15" i="3"/>
  <c r="N15" i="3" s="1"/>
  <c r="K30" i="3"/>
  <c r="K26" i="3"/>
  <c r="N26" i="3" s="1"/>
  <c r="K31" i="3"/>
  <c r="K4" i="3"/>
  <c r="K23" i="3"/>
  <c r="N23" i="3" s="1"/>
  <c r="K21" i="3"/>
  <c r="N21" i="3" s="1"/>
  <c r="K9" i="3"/>
  <c r="K6" i="3"/>
  <c r="K5" i="3"/>
  <c r="U27" i="3" s="1"/>
  <c r="K24" i="3"/>
  <c r="N24" i="3" s="1"/>
  <c r="K25" i="3"/>
  <c r="N25" i="3" s="1"/>
  <c r="K28" i="3"/>
  <c r="N28" i="3" s="1"/>
  <c r="K8" i="3"/>
  <c r="K7" i="3"/>
  <c r="K20" i="3"/>
  <c r="N20" i="3" s="1"/>
  <c r="K27" i="3"/>
  <c r="N27" i="3" s="1"/>
  <c r="K16" i="3"/>
  <c r="K3" i="3"/>
  <c r="K17" i="3"/>
  <c r="K22" i="3"/>
  <c r="N22" i="3" s="1"/>
  <c r="K14" i="3"/>
  <c r="N14" i="3" s="1"/>
  <c r="K18" i="3"/>
  <c r="N18" i="3" s="1"/>
  <c r="K13" i="3"/>
  <c r="N13" i="3" s="1"/>
  <c r="N12" i="2"/>
  <c r="K4" i="2"/>
  <c r="K15" i="2"/>
  <c r="N15" i="2" s="1"/>
  <c r="K18" i="2"/>
  <c r="N18" i="2" s="1"/>
  <c r="K2" i="2"/>
  <c r="N10" i="2"/>
  <c r="K17" i="2"/>
  <c r="K7" i="2"/>
  <c r="K3" i="2"/>
  <c r="K8" i="2"/>
  <c r="K9" i="2"/>
  <c r="V28" i="2"/>
  <c r="Z28" i="2" s="1"/>
  <c r="Z32" i="2"/>
  <c r="AC32" i="2" s="1"/>
  <c r="X20" i="2"/>
  <c r="AD20" i="2"/>
  <c r="AB20" i="2"/>
  <c r="K6" i="2"/>
  <c r="K5" i="2"/>
  <c r="K13" i="2"/>
  <c r="N13" i="2" s="1"/>
  <c r="AD23" i="2"/>
  <c r="X23" i="2"/>
  <c r="K16" i="2"/>
  <c r="N11" i="2"/>
  <c r="K8" i="7" l="1"/>
  <c r="V13" i="7" s="1"/>
  <c r="AC43" i="7"/>
  <c r="K25" i="7"/>
  <c r="N25" i="7" s="1"/>
  <c r="K22" i="7"/>
  <c r="N22" i="7" s="1"/>
  <c r="K3" i="7"/>
  <c r="K31" i="7"/>
  <c r="AC39" i="7"/>
  <c r="Z51" i="7" s="1"/>
  <c r="AC44" i="7"/>
  <c r="K4" i="7"/>
  <c r="K23" i="7"/>
  <c r="N23" i="7" s="1"/>
  <c r="K5" i="7"/>
  <c r="W32" i="7" s="1"/>
  <c r="AC36" i="7"/>
  <c r="K7" i="7"/>
  <c r="K19" i="7"/>
  <c r="N19" i="7" s="1"/>
  <c r="K17" i="7"/>
  <c r="AC37" i="7"/>
  <c r="K13" i="7"/>
  <c r="N13" i="7" s="1"/>
  <c r="K9" i="7"/>
  <c r="K15" i="7"/>
  <c r="N15" i="7" s="1"/>
  <c r="AC38" i="7"/>
  <c r="K24" i="7"/>
  <c r="N24" i="7" s="1"/>
  <c r="K18" i="7"/>
  <c r="N18" i="7" s="1"/>
  <c r="K21" i="7"/>
  <c r="N21" i="7" s="1"/>
  <c r="K29" i="7"/>
  <c r="N29" i="7" s="1"/>
  <c r="AC42" i="7"/>
  <c r="K16" i="7"/>
  <c r="AC22" i="7" s="1"/>
  <c r="AC40" i="7"/>
  <c r="K14" i="7"/>
  <c r="N14" i="7" s="1"/>
  <c r="K27" i="7"/>
  <c r="N27" i="7" s="1"/>
  <c r="K20" i="7"/>
  <c r="N20" i="7" s="1"/>
  <c r="K30" i="7"/>
  <c r="K2" i="7"/>
  <c r="AC41" i="7"/>
  <c r="K6" i="7"/>
  <c r="K28" i="7"/>
  <c r="N28" i="7" s="1"/>
  <c r="Y22" i="7"/>
  <c r="U13" i="7"/>
  <c r="Z22" i="7"/>
  <c r="V22" i="7"/>
  <c r="Y54" i="7"/>
  <c r="AG54" i="7"/>
  <c r="AC44" i="5"/>
  <c r="AC37" i="5"/>
  <c r="AC36" i="5"/>
  <c r="AC41" i="5"/>
  <c r="AC40" i="5"/>
  <c r="AC39" i="5"/>
  <c r="AC38" i="5"/>
  <c r="K25" i="5"/>
  <c r="N25" i="5" s="1"/>
  <c r="K23" i="5"/>
  <c r="N23" i="5" s="1"/>
  <c r="K15" i="5"/>
  <c r="N15" i="5" s="1"/>
  <c r="K4" i="5"/>
  <c r="K19" i="5"/>
  <c r="N19" i="5" s="1"/>
  <c r="K14" i="5"/>
  <c r="N14" i="5" s="1"/>
  <c r="K24" i="5"/>
  <c r="N24" i="5" s="1"/>
  <c r="AC42" i="5"/>
  <c r="K3" i="5"/>
  <c r="K18" i="5"/>
  <c r="N18" i="5" s="1"/>
  <c r="K22" i="5"/>
  <c r="N22" i="5" s="1"/>
  <c r="K20" i="5"/>
  <c r="N20" i="5" s="1"/>
  <c r="AC43" i="5"/>
  <c r="K2" i="5"/>
  <c r="K5" i="5"/>
  <c r="K27" i="5"/>
  <c r="N27" i="5" s="1"/>
  <c r="K8" i="5"/>
  <c r="K29" i="5"/>
  <c r="N29" i="5" s="1"/>
  <c r="K16" i="5"/>
  <c r="K7" i="5"/>
  <c r="K17" i="5"/>
  <c r="K28" i="5"/>
  <c r="N28" i="5" s="1"/>
  <c r="K21" i="5"/>
  <c r="N21" i="5" s="1"/>
  <c r="K6" i="5"/>
  <c r="K30" i="5"/>
  <c r="N13" i="5"/>
  <c r="AE54" i="3"/>
  <c r="Y54" i="3"/>
  <c r="AA54" i="3"/>
  <c r="AC54" i="3"/>
  <c r="AG54" i="3"/>
  <c r="Z54" i="3"/>
  <c r="AD54" i="3"/>
  <c r="AF54" i="3" s="1"/>
  <c r="W32" i="3"/>
  <c r="AA27" i="3"/>
  <c r="V22" i="3"/>
  <c r="U13" i="3"/>
  <c r="AA22" i="3"/>
  <c r="U22" i="3"/>
  <c r="Z22" i="3"/>
  <c r="AB22" i="3" s="1"/>
  <c r="Y22" i="3"/>
  <c r="AC22" i="3"/>
  <c r="W22" i="3"/>
  <c r="V13" i="3"/>
  <c r="Y19" i="3"/>
  <c r="AC19" i="3"/>
  <c r="W19" i="3"/>
  <c r="V19" i="3"/>
  <c r="AA19" i="3"/>
  <c r="U19" i="3"/>
  <c r="U28" i="3" s="1"/>
  <c r="Z19" i="3"/>
  <c r="U13" i="2"/>
  <c r="V13" i="2"/>
  <c r="AA27" i="2"/>
  <c r="U22" i="7" l="1"/>
  <c r="X22" i="7" s="1"/>
  <c r="AA22" i="7"/>
  <c r="W22" i="7"/>
  <c r="AD48" i="7"/>
  <c r="AE48" i="7"/>
  <c r="Y48" i="7"/>
  <c r="AA48" i="7"/>
  <c r="AG48" i="7"/>
  <c r="AC48" i="7"/>
  <c r="Z48" i="7"/>
  <c r="N12" i="7"/>
  <c r="K12" i="7"/>
  <c r="AA19" i="7"/>
  <c r="U27" i="7"/>
  <c r="AA27" i="7" s="1"/>
  <c r="AD54" i="7"/>
  <c r="AE54" i="7"/>
  <c r="AC54" i="7"/>
  <c r="Z54" i="7"/>
  <c r="AA54" i="7"/>
  <c r="AH54" i="7" s="1"/>
  <c r="AB22" i="7"/>
  <c r="AD51" i="7"/>
  <c r="AC51" i="7"/>
  <c r="AE51" i="7"/>
  <c r="Y51" i="7"/>
  <c r="AC19" i="7"/>
  <c r="Z19" i="7"/>
  <c r="AF54" i="7"/>
  <c r="W19" i="7"/>
  <c r="U19" i="7"/>
  <c r="Y19" i="7"/>
  <c r="V19" i="7"/>
  <c r="AA51" i="7"/>
  <c r="AB51" i="7" s="1"/>
  <c r="AG51" i="7"/>
  <c r="AD22" i="7"/>
  <c r="AB54" i="7"/>
  <c r="U22" i="5"/>
  <c r="AA19" i="5"/>
  <c r="U19" i="5"/>
  <c r="Z48" i="5"/>
  <c r="Y48" i="5"/>
  <c r="AD48" i="5"/>
  <c r="AE48" i="5"/>
  <c r="AC48" i="5"/>
  <c r="AG48" i="5"/>
  <c r="AA48" i="5"/>
  <c r="Y19" i="5"/>
  <c r="V19" i="5"/>
  <c r="W19" i="5"/>
  <c r="AG54" i="5"/>
  <c r="AE51" i="5"/>
  <c r="Z51" i="5"/>
  <c r="Y51" i="5"/>
  <c r="AA51" i="5"/>
  <c r="AC51" i="5"/>
  <c r="AD51" i="5"/>
  <c r="AG51" i="5"/>
  <c r="Z19" i="5"/>
  <c r="AB19" i="5" s="1"/>
  <c r="AA22" i="5"/>
  <c r="V13" i="5"/>
  <c r="AE54" i="5"/>
  <c r="AD54" i="5"/>
  <c r="AA54" i="5"/>
  <c r="AC54" i="5"/>
  <c r="Z54" i="5"/>
  <c r="Y54" i="5"/>
  <c r="Y22" i="5"/>
  <c r="Z22" i="5"/>
  <c r="V22" i="5"/>
  <c r="W22" i="5"/>
  <c r="U13" i="5"/>
  <c r="AC22" i="5"/>
  <c r="AC19" i="5"/>
  <c r="W32" i="5"/>
  <c r="U27" i="5"/>
  <c r="AA27" i="5" s="1"/>
  <c r="K12" i="3"/>
  <c r="N12" i="3" s="1"/>
  <c r="AH54" i="3"/>
  <c r="AB54" i="3"/>
  <c r="AB19" i="3"/>
  <c r="AA28" i="3"/>
  <c r="Y32" i="3"/>
  <c r="AB32" i="3" s="1"/>
  <c r="AD22" i="3"/>
  <c r="X22" i="3"/>
  <c r="AD19" i="3"/>
  <c r="X19" i="3"/>
  <c r="AD22" i="2"/>
  <c r="X22" i="2"/>
  <c r="AB22" i="2"/>
  <c r="AA28" i="2"/>
  <c r="AB32" i="2"/>
  <c r="AB19" i="7" l="1"/>
  <c r="AB48" i="7"/>
  <c r="AH48" i="7"/>
  <c r="K11" i="7"/>
  <c r="N11" i="7" s="1"/>
  <c r="N10" i="7"/>
  <c r="K10" i="7"/>
  <c r="AF48" i="7"/>
  <c r="U28" i="7"/>
  <c r="AA28" i="7" s="1"/>
  <c r="Y32" i="7"/>
  <c r="AB32" i="7" s="1"/>
  <c r="AD19" i="7"/>
  <c r="X19" i="7"/>
  <c r="AH51" i="7"/>
  <c r="AF51" i="7"/>
  <c r="X19" i="5"/>
  <c r="AF54" i="5"/>
  <c r="AF48" i="5"/>
  <c r="N10" i="5"/>
  <c r="K10" i="5"/>
  <c r="K12" i="5"/>
  <c r="N12" i="5" s="1"/>
  <c r="AH51" i="5"/>
  <c r="AB51" i="5"/>
  <c r="AH48" i="5"/>
  <c r="AB48" i="5"/>
  <c r="K11" i="5"/>
  <c r="N11" i="5" s="1"/>
  <c r="AB22" i="5"/>
  <c r="Y32" i="5"/>
  <c r="AB32" i="5" s="1"/>
  <c r="U28" i="5"/>
  <c r="AA28" i="5" s="1"/>
  <c r="AD19" i="5"/>
  <c r="AF51" i="5"/>
  <c r="X22" i="5"/>
  <c r="AD22" i="5"/>
  <c r="AH54" i="5"/>
  <c r="AB5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2" authorId="0" shapeId="0" xr:uid="{F45A9F5D-EBD8-436F-AE33-57B2A4CE43F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3" authorId="0" shapeId="0" xr:uid="{B7500C03-FF46-4FB6-B6B5-2B4CB84478D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
</t>
        </r>
      </text>
    </comment>
    <comment ref="B4" authorId="0" shapeId="0" xr:uid="{BA3F25A8-BB70-4964-90D5-834AA2C34B9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5" authorId="0" shapeId="0" xr:uid="{0FE50FFF-AA7D-49D2-B134-19A4B5A2B2B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8" authorId="0" shapeId="0" xr:uid="{B3E09465-F5FB-4E76-8934-A3FF19E24D6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0" authorId="0" shapeId="0" xr:uid="{08FB6C7D-F0C0-4EEE-9038-8BC3ABE79E2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U11" authorId="0" shapeId="0" xr:uid="{75246CA0-1BDB-4BE8-9136-1E0B1270A8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EA7B3CB9-5A43-4555-95B2-00CE280562F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2" authorId="0" shapeId="0" xr:uid="{BF5517B7-8CB4-4BEE-A858-CFC5610E84F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Beyond Calibration range, use diluted peak from 231123</t>
        </r>
      </text>
    </comment>
    <comment ref="B13" authorId="0" shapeId="0" xr:uid="{9E229021-699B-4E93-876C-CCAA63250E4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6" authorId="0" shapeId="0" xr:uid="{0B3F627B-F3B5-4699-B938-DB4598F14B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8" authorId="0" shapeId="0" xr:uid="{889CC1AB-C6B9-4460-AF94-381E466CB65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0" authorId="0" shapeId="0" xr:uid="{461BBB49-677B-47B5-A03B-ED3AB781E81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2" authorId="0" shapeId="0" xr:uid="{0F8309B9-5BC5-41E9-9CEA-B208C251CE4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4" authorId="0" shapeId="0" xr:uid="{E884177B-E296-40C2-BD30-43482A2E6E0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5" authorId="0" shapeId="0" xr:uid="{22E3A894-EB18-4DE2-A7DB-3FD299F0CD5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6" authorId="0" shapeId="0" xr:uid="{3F0B8F69-510D-45CA-8F8C-05097D47F02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Z26" authorId="0" shapeId="0" xr:uid="{CF3887D0-4CF5-4FF3-B0A5-48EDE6D660C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B27" authorId="0" shapeId="0" xr:uid="{EE7EF5BD-14B7-46D1-A53A-614A0AA4CC5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U28" authorId="0" shapeId="0" xr:uid="{6E410EC5-AD45-4E47-8EDD-49D67F61FFA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B31" authorId="0" shapeId="0" xr:uid="{63A5B9B5-4CFE-4D6B-BF23-CE7A48B8473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AB31" authorId="0" shapeId="0" xr:uid="{5362E8A6-A74A-411A-9FFC-74299739504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2E2F76FD-D48D-4B79-B6DA-B94378A7EB3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2" authorId="0" shapeId="0" xr:uid="{F6B4C6DC-5864-423C-8B15-5CD77A45A25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3" authorId="0" shapeId="0" xr:uid="{0666C15A-6C43-4C02-85D1-BCF0AF8E25A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
</t>
        </r>
      </text>
    </comment>
    <comment ref="B4" authorId="0" shapeId="0" xr:uid="{A8900D73-DFAC-4CD8-99CB-E54B27A226E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5" authorId="0" shapeId="0" xr:uid="{EF82382A-523D-47B0-A290-30AAACB8260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0" authorId="0" shapeId="0" xr:uid="{1DB8E3D2-4CED-405C-83E3-458D8A4C6AE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 obscures potential nitrite peak</t>
        </r>
      </text>
    </comment>
    <comment ref="U11" authorId="0" shapeId="0" xr:uid="{BD97B962-B31F-4393-AA72-6A9A982D913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62DEF6F5-8734-4666-87CE-FE38EAD7EA8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2" authorId="0" shapeId="0" xr:uid="{B9C52207-AB9C-4BDD-9720-4D46ED650D8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High Chloride peak may obscure Nitrite but still within calibration range, use this peak</t>
        </r>
      </text>
    </comment>
    <comment ref="B13" authorId="0" shapeId="0" xr:uid="{2A625B70-B494-4FE2-8977-EC20BA6897E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6" authorId="0" shapeId="0" xr:uid="{BA057F88-3454-4FE5-BA10-83947913553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8" authorId="0" shapeId="0" xr:uid="{373F5795-7903-4A9E-BCFE-126CBE58269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0" authorId="0" shapeId="0" xr:uid="{2C3DBB97-5D8D-4CCA-B95D-EC7A25EA2CD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2" authorId="0" shapeId="0" xr:uid="{923D083E-EC5A-4CEC-AA1E-4C08813F2FC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4" authorId="0" shapeId="0" xr:uid="{18D28932-EA65-43E7-8295-34F9F194CC6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5" authorId="0" shapeId="0" xr:uid="{A61BDA0B-4732-4EFD-824D-A7E7B0D231A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26" authorId="0" shapeId="0" xr:uid="{73A34B68-E3D3-4D43-8602-73C4220F30C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Z26" authorId="0" shapeId="0" xr:uid="{C37138B2-06B4-4628-A350-EB952116BD8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B27" authorId="0" shapeId="0" xr:uid="{A01F0646-6C8E-45CB-9A69-938B016ED4B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U28" authorId="0" shapeId="0" xr:uid="{D0F10DA3-F6DD-47C3-80B7-59F8FB91BD3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B31" authorId="0" shapeId="0" xr:uid="{89270EDC-F916-4684-A13C-05A8FDC54CB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AB31" authorId="0" shapeId="0" xr:uid="{BBAF7230-945B-4DB1-8847-111ED6D08B6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7800500C-9D97-4577-812C-038F2A0FB5A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2" authorId="0" shapeId="0" xr:uid="{9AFA59D1-FF3D-47D3-8F47-228751E6AD5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3" authorId="0" shapeId="0" xr:uid="{3846B3D2-3385-4365-8527-7CF819EA5DA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
</t>
        </r>
      </text>
    </comment>
    <comment ref="B4" authorId="0" shapeId="0" xr:uid="{23262F84-40AD-4425-A457-09264FB7B721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5" authorId="0" shapeId="0" xr:uid="{FFD71CE1-B4D1-4446-A133-37A72C46DBD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0" authorId="0" shapeId="0" xr:uid="{FE1E077B-2779-4478-80A3-C297B1C97F3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small nitrate peak not detected</t>
        </r>
      </text>
    </comment>
    <comment ref="U11" authorId="0" shapeId="0" xr:uid="{D184A924-D2A2-4265-97B8-E541BC9EEC0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0D688052-0A3F-40AD-A72C-F7171E38D86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6" authorId="0" shapeId="0" xr:uid="{39C938AE-8D26-4E3B-9D95-332380290854}">
      <text>
        <r>
          <rPr>
            <b/>
            <sz val="9"/>
            <color indexed="81"/>
            <rFont val="Tahoma"/>
            <family val="2"/>
          </rPr>
          <t xml:space="preserve">KNOBLAUCH Alexandra:
</t>
        </r>
        <r>
          <rPr>
            <sz val="9"/>
            <color indexed="81"/>
            <rFont val="Tahoma"/>
            <family val="2"/>
          </rPr>
          <t>potential nitrate peak</t>
        </r>
      </text>
    </comment>
    <comment ref="B19" authorId="0" shapeId="0" xr:uid="{15B83CDF-B3C5-44E4-9273-D69F4350C10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potential nitrate peak
</t>
        </r>
      </text>
    </comment>
    <comment ref="Z26" authorId="0" shapeId="0" xr:uid="{19CED46E-3E59-4D37-BA69-E5EB3FC94A8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2CA29828-D10F-4EEB-AC27-60D51F158202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9B8C0707-9B27-4185-BF5B-D16AF81443E0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024B750A-D9C0-4B80-B775-4BE5F859076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2" authorId="0" shapeId="0" xr:uid="{7F68A624-5C16-43A4-B162-11ED220E265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5" authorId="0" shapeId="0" xr:uid="{E5D7EE83-612D-431C-9C60-656AB2D20B2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U11" authorId="0" shapeId="0" xr:uid="{38E0F5C3-354A-4A1C-ABDE-4187DACADBA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7F3111D5-99B2-4954-A1E1-FAACD7A4CC7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6" authorId="0" shapeId="0" xr:uid="{6EDB4539-6FBE-4235-A30E-DC2986440D8E}">
      <text>
        <r>
          <rPr>
            <b/>
            <sz val="9"/>
            <color indexed="81"/>
            <rFont val="Tahoma"/>
            <family val="2"/>
          </rPr>
          <t xml:space="preserve">KNOBLAUCH Alexandra:
</t>
        </r>
        <r>
          <rPr>
            <sz val="9"/>
            <color indexed="81"/>
            <rFont val="Tahoma"/>
            <family val="2"/>
          </rPr>
          <t>overestimated peak area</t>
        </r>
      </text>
    </comment>
    <comment ref="B19" authorId="0" shapeId="0" xr:uid="{A47F4E86-E1E7-41A9-9C59-21ED405DF28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potential nitrate peak
</t>
        </r>
      </text>
    </comment>
    <comment ref="Z26" authorId="0" shapeId="0" xr:uid="{B490A584-B75F-41A9-B10B-122AD7F16F1D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Conc/Certificate Diluted Conc * 100%</t>
        </r>
      </text>
    </comment>
    <comment ref="U28" authorId="0" shapeId="0" xr:uid="{AD8F69BF-7FC1-4FF9-B992-EB349D605CE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Mean of Cal Checks
</t>
        </r>
      </text>
    </comment>
    <comment ref="AB31" authorId="0" shapeId="0" xr:uid="{58E7D843-6627-4FC4-9369-5115C38A1E7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Measured Conc Calib/Measure Conc Calib Check * 100%</t>
        </r>
      </text>
    </comment>
    <comment ref="T32" authorId="0" shapeId="0" xr:uid="{77BCD627-60EC-4CBC-B152-B44C919CD94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Compare 20 Calib to mean of 20 Cal checks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<sst xmlns="http://schemas.openxmlformats.org/spreadsheetml/2006/main" count="1766" uniqueCount="200">
  <si>
    <t>x100</t>
  </si>
  <si>
    <t>x50</t>
  </si>
  <si>
    <t>x20</t>
  </si>
  <si>
    <t>x10</t>
  </si>
  <si>
    <t>x5</t>
  </si>
  <si>
    <t>x0</t>
  </si>
  <si>
    <t>Fluoride</t>
  </si>
  <si>
    <t>Chloride</t>
  </si>
  <si>
    <t>Nitrite</t>
  </si>
  <si>
    <t>Bromide</t>
  </si>
  <si>
    <t>Nitrate</t>
  </si>
  <si>
    <t>Phosphate</t>
  </si>
  <si>
    <t>Sulfate</t>
  </si>
  <si>
    <t>sample_no</t>
  </si>
  <si>
    <t>sample_id</t>
  </si>
  <si>
    <t>X</t>
  </si>
  <si>
    <t>Y</t>
  </si>
  <si>
    <t>B_T</t>
  </si>
  <si>
    <t>IC_date</t>
  </si>
  <si>
    <t>V_sample_ml</t>
  </si>
  <si>
    <t>dilution_factor</t>
  </si>
  <si>
    <t>ret_time_min</t>
  </si>
  <si>
    <t>peak_area_usmin</t>
  </si>
  <si>
    <t>c_F_ calib_ppm</t>
  </si>
  <si>
    <t>c_F_sample_ppm</t>
  </si>
  <si>
    <t>c_F_og_ppm</t>
  </si>
  <si>
    <t>IC_notes</t>
  </si>
  <si>
    <t>Cal 1</t>
  </si>
  <si>
    <t>Blank</t>
  </si>
  <si>
    <t>17.11.2023</t>
  </si>
  <si>
    <t>DI Water</t>
  </si>
  <si>
    <t>Cal 2</t>
  </si>
  <si>
    <t>x 100</t>
  </si>
  <si>
    <t>0.1 mL in 10</t>
  </si>
  <si>
    <t>Cal 3</t>
  </si>
  <si>
    <t>x 50</t>
  </si>
  <si>
    <t>0.2 mL in 10</t>
  </si>
  <si>
    <t>Cal 4</t>
  </si>
  <si>
    <t>x 20</t>
  </si>
  <si>
    <t>n.a.</t>
  </si>
  <si>
    <t>0.5 mL in 10</t>
  </si>
  <si>
    <t>Cal 5</t>
  </si>
  <si>
    <t>x 10</t>
  </si>
  <si>
    <t>0.5 mL in 5</t>
  </si>
  <si>
    <t>Cal 6</t>
  </si>
  <si>
    <t>x 5</t>
  </si>
  <si>
    <t>1 mL in 5</t>
  </si>
  <si>
    <t xml:space="preserve">Blank </t>
  </si>
  <si>
    <t>Cal Check</t>
  </si>
  <si>
    <t>x20 dil</t>
  </si>
  <si>
    <t>20-20-Ta</t>
  </si>
  <si>
    <t>Ta</t>
  </si>
  <si>
    <t>20 20 Top Triplicate a</t>
  </si>
  <si>
    <t>20-20-Tb</t>
  </si>
  <si>
    <t>Tb</t>
  </si>
  <si>
    <t>20 20 Top Triplicate b</t>
  </si>
  <si>
    <t>20-20-Tc</t>
  </si>
  <si>
    <t>Tc</t>
  </si>
  <si>
    <t>20 20 Top Triplicate c</t>
  </si>
  <si>
    <t>0-10-Ba</t>
  </si>
  <si>
    <t>Ba</t>
  </si>
  <si>
    <t>0 10 B Triplicate a</t>
  </si>
  <si>
    <t>0-10-Bb</t>
  </si>
  <si>
    <t>Bb</t>
  </si>
  <si>
    <t>0 10 B Triplicate b</t>
  </si>
  <si>
    <t>0-10-Bc</t>
  </si>
  <si>
    <t>Bc</t>
  </si>
  <si>
    <t>0 10 B Triplicate c</t>
  </si>
  <si>
    <t>10-90-Ta</t>
  </si>
  <si>
    <t>10 90 T Triplicate a</t>
  </si>
  <si>
    <t>10-90-Tb</t>
  </si>
  <si>
    <t>10 90 T Triplicate b</t>
  </si>
  <si>
    <t>10-90-Tc</t>
  </si>
  <si>
    <t>10 90 T Triplicate c</t>
  </si>
  <si>
    <t>0-10-T</t>
  </si>
  <si>
    <t>T</t>
  </si>
  <si>
    <t>0 10 Top</t>
  </si>
  <si>
    <t>0-20-T</t>
  </si>
  <si>
    <t>0 20 Top</t>
  </si>
  <si>
    <t>0-30-T</t>
  </si>
  <si>
    <t>0 30 Top</t>
  </si>
  <si>
    <t>0-60-T</t>
  </si>
  <si>
    <t>0 60 Top</t>
  </si>
  <si>
    <t>0-70-T</t>
  </si>
  <si>
    <t>0 70 Top</t>
  </si>
  <si>
    <t>0-80-T</t>
  </si>
  <si>
    <t>0 80 Top</t>
  </si>
  <si>
    <t>0-90-T</t>
  </si>
  <si>
    <t>0 90 Top</t>
  </si>
  <si>
    <t>0-100-T</t>
  </si>
  <si>
    <t>0 100 Top</t>
  </si>
  <si>
    <t>0-60-B</t>
  </si>
  <si>
    <t>B</t>
  </si>
  <si>
    <t>0 60 Bottom</t>
  </si>
  <si>
    <t>0-100-B</t>
  </si>
  <si>
    <t>0 100 Bottom</t>
  </si>
  <si>
    <t>10-0-T</t>
  </si>
  <si>
    <t>10 0 Top</t>
  </si>
  <si>
    <t>10-60-T</t>
  </si>
  <si>
    <t>10 60 Top</t>
  </si>
  <si>
    <t>10-70-T</t>
  </si>
  <si>
    <t>10 70 Top</t>
  </si>
  <si>
    <t>10-10-B</t>
  </si>
  <si>
    <t>10 10 Bottom</t>
  </si>
  <si>
    <t>10-50-B</t>
  </si>
  <si>
    <t>10 50 Bottom</t>
  </si>
  <si>
    <t>Slope</t>
  </si>
  <si>
    <t>y-Axis</t>
  </si>
  <si>
    <t>c_Cl_ calib_ppm</t>
  </si>
  <si>
    <t>c_Br_ calib_ppm</t>
  </si>
  <si>
    <t>c_Br_sample_ppm</t>
  </si>
  <si>
    <t>c_Br_og_ppm</t>
  </si>
  <si>
    <t>c_PO4_ calib_ppm</t>
  </si>
  <si>
    <t>c_PO4_sample_ppm</t>
  </si>
  <si>
    <t>c_PO4_og_ppm</t>
  </si>
  <si>
    <t>c_Cl_calc_ppm</t>
  </si>
  <si>
    <t>c_Cl_measure_ppm</t>
  </si>
  <si>
    <t>c_Cl_calc_undil_ppm</t>
  </si>
  <si>
    <t>c_Cl_measure_undil_ppm</t>
  </si>
  <si>
    <t>Calibration</t>
  </si>
  <si>
    <t>Linear Model of Cl Calibration</t>
  </si>
  <si>
    <t>m</t>
  </si>
  <si>
    <t>c</t>
  </si>
  <si>
    <t xml:space="preserve">m </t>
  </si>
  <si>
    <t>intercept</t>
  </si>
  <si>
    <t>Std error of X</t>
  </si>
  <si>
    <t>Std error of intercept</t>
  </si>
  <si>
    <t>R^2</t>
  </si>
  <si>
    <t>Std error of Y estimate</t>
  </si>
  <si>
    <t>F-statistic</t>
  </si>
  <si>
    <t>Degrees of freedom</t>
  </si>
  <si>
    <t>Regression Sum of Squares</t>
  </si>
  <si>
    <t>Residual sum of Squares</t>
  </si>
  <si>
    <t>LOD &amp; LOQ</t>
  </si>
  <si>
    <t>LOD</t>
  </si>
  <si>
    <t>LOQ</t>
  </si>
  <si>
    <t>Peak Area</t>
  </si>
  <si>
    <t>Calc Conc ppm</t>
  </si>
  <si>
    <t>Measure conc ppm</t>
  </si>
  <si>
    <t>Quality Stats</t>
  </si>
  <si>
    <t>Mean</t>
  </si>
  <si>
    <t>Median</t>
  </si>
  <si>
    <t>Stdev</t>
  </si>
  <si>
    <t>RelStdev</t>
  </si>
  <si>
    <t>Var</t>
  </si>
  <si>
    <t>Max</t>
  </si>
  <si>
    <t>Min</t>
  </si>
  <si>
    <t>Range</t>
  </si>
  <si>
    <t>Number</t>
  </si>
  <si>
    <t>Std Error</t>
  </si>
  <si>
    <t>Retention time</t>
  </si>
  <si>
    <t>Peak Area Cal Checks</t>
  </si>
  <si>
    <t>NA</t>
  </si>
  <si>
    <t>Calc Conc Cal Checks</t>
  </si>
  <si>
    <t>Measure Conc Cal Checks</t>
  </si>
  <si>
    <t>Peak Area Blanks</t>
  </si>
  <si>
    <t>Calc Conc Blanks</t>
  </si>
  <si>
    <t>Measure Conc Blanks</t>
  </si>
  <si>
    <t>Calc Conc</t>
  </si>
  <si>
    <t>Measure Conc</t>
  </si>
  <si>
    <t>Certificate</t>
  </si>
  <si>
    <t>Certificate Uncertainty</t>
  </si>
  <si>
    <t>Certificate Diluted</t>
  </si>
  <si>
    <t>% Accuracy Measure</t>
  </si>
  <si>
    <t>% Accuracy Calc</t>
  </si>
  <si>
    <t>20 Cal Std (Dionex Seven Anion Standard II LOT 18-29JKS)x20</t>
  </si>
  <si>
    <t>20 Cal Check (Dionex Seven Anion Standard II LOT 43-23AJ)x20</t>
  </si>
  <si>
    <t>Peak Area 20 Calib</t>
  </si>
  <si>
    <t>Peak Area 20 Cal Checks</t>
  </si>
  <si>
    <t>Calc Conc 20 Calib</t>
  </si>
  <si>
    <t>Measure Conc 20 Calib</t>
  </si>
  <si>
    <t>Calc Conc 20 Cal Checks</t>
  </si>
  <si>
    <t>Measure Conc 20 Cal Checks</t>
  </si>
  <si>
    <t>% Accuracy Peak</t>
  </si>
  <si>
    <t>Internal accuracy</t>
  </si>
  <si>
    <t>Triplicates</t>
  </si>
  <si>
    <t>20-20-T</t>
  </si>
  <si>
    <t>0-10-B</t>
  </si>
  <si>
    <t>10-90-T</t>
  </si>
  <si>
    <t>20 20 Top Mean Replicate</t>
  </si>
  <si>
    <t>0 10 B Mean Replicate</t>
  </si>
  <si>
    <t>10 90 T Mean Replicate</t>
  </si>
  <si>
    <t>c_Nitrite_ calib_ppm</t>
  </si>
  <si>
    <t>c_Nitrite_calc_ppm</t>
  </si>
  <si>
    <t>c_Nitrite_measure_ppm</t>
  </si>
  <si>
    <t>c_Nitrite_calc_undil_ppm</t>
  </si>
  <si>
    <t>c_Nitrite_measure_undil_ppm</t>
  </si>
  <si>
    <t>Linear Model of Nitrite Calibration</t>
  </si>
  <si>
    <t>c_Nitrate_ calib_ppm</t>
  </si>
  <si>
    <t>c_Nitrate_calc_ppm</t>
  </si>
  <si>
    <t>c_Nitrate_measure_ppm</t>
  </si>
  <si>
    <t>c_Nitrate_calc_undil_ppm</t>
  </si>
  <si>
    <t>c_Nitrate_measure_undil_ppm</t>
  </si>
  <si>
    <t>Linear Model of Nitrate Calibration</t>
  </si>
  <si>
    <t>c_Sulfate_ calib_ppm</t>
  </si>
  <si>
    <t>c_Sulfate_calc_ppm</t>
  </si>
  <si>
    <t>c_Sulfate_measure_ppm</t>
  </si>
  <si>
    <t>c_Sulfate_calc_undil_ppm</t>
  </si>
  <si>
    <t>c_Sulfate_measure_undil_ppm</t>
  </si>
  <si>
    <t>Linear Model of Sulfate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</si>
</sst>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"/>
    <numFmt numFmtId="165" formatCode="[$-F400]h:mm:ss\ AM/PM"/>
    <numFmt numFmtId="166" formatCode="0.000"/>
    <numFmt numFmtId="167" formatCode="0.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10" fontId="0" fillId="0" borderId="0" xfId="0" applyNumberFormat="1"/>
    <xf numFmtId="0" fontId="4" fillId="4" borderId="1" xfId="0" applyFont="1" applyFill="1" applyBorder="1"/>
    <xf numFmtId="164" fontId="4" fillId="5" borderId="1" xfId="0" applyNumberFormat="1" applyFont="1" applyFill="1" applyBorder="1"/>
    <xf numFmtId="164" fontId="4" fillId="4" borderId="1" xfId="0" applyNumberFormat="1" applyFont="1" applyFill="1" applyBorder="1"/>
    <xf numFmtId="0" fontId="4" fillId="0" borderId="0" xfId="0" applyFont="1"/>
    <xf numFmtId="165" fontId="4" fillId="4" borderId="1" xfId="0" applyNumberFormat="1" applyFont="1" applyFill="1" applyBorder="1"/>
    <xf numFmtId="0" fontId="0" fillId="0" borderId="1" xfId="0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0" xfId="0" applyNumberFormat="1"/>
    <xf numFmtId="0" fontId="4" fillId="0" borderId="1" xfId="0" applyFont="1" applyBorder="1"/>
    <xf numFmtId="0" fontId="5" fillId="2" borderId="1" xfId="1" applyFont="1" applyBorder="1"/>
    <xf numFmtId="0" fontId="6" fillId="3" borderId="1" xfId="2" applyFont="1" applyBorder="1"/>
    <xf numFmtId="165" fontId="4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65" fontId="4" fillId="5" borderId="1" xfId="0" applyNumberFormat="1" applyFont="1" applyFill="1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166" fontId="4" fillId="5" borderId="1" xfId="0" applyNumberFormat="1" applyFont="1" applyFill="1" applyBorder="1"/>
    <xf numFmtId="166" fontId="0" fillId="0" borderId="0" xfId="0" applyNumberFormat="1"/>
    <xf numFmtId="0" fontId="0" fillId="0" borderId="1" xfId="0" applyFill="1" applyBorder="1"/>
    <xf numFmtId="166" fontId="0" fillId="0" borderId="1" xfId="0" applyNumberFormat="1" applyFill="1" applyBorder="1"/>
    <xf numFmtId="164" fontId="0" fillId="0" borderId="1" xfId="0" applyNumberFormat="1" applyFill="1" applyBorder="1"/>
  </cellXfs>
  <cellStyles count="3">
    <cellStyle name="Bad" xfId="1" builtinId="27"/>
    <cellStyle name="Neutral" xfId="2" builtinId="28"/>
    <cellStyle name="Normal" xfId="0" builtinId="0"/>
  </cellStyles>
  <dxfs count="13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E13D6BB-D6BE-42B1-90E7-68A97C48FB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 calib 171123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 calib 171123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920450568678915"/>
                  <c:y val="1.7596237970253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IC_171123_F!$K$2:$K$7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xVal>
          <c:yVal>
            <c:numRef>
              <c:f>IC_171123_F!$J$2:$J$4</c:f>
              <c:numCache>
                <c:formatCode>General</c:formatCode>
                <c:ptCount val="3"/>
                <c:pt idx="0">
                  <c:v>1.84E-2</c:v>
                </c:pt>
                <c:pt idx="1">
                  <c:v>5.2400000000000002E-2</c:v>
                </c:pt>
                <c:pt idx="2">
                  <c:v>0.1227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D2-4354-95BE-B200729D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Cl calibration calc &amp; measure 17.11.2023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IC_171123_Cl!$AG$1</c:f>
              <c:strCache>
                <c:ptCount val="1"/>
                <c:pt idx="0">
                  <c:v>Linear Model of Cl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IC_171123_Cl!$AA$2:$AA$7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IC_171123_Cl!$Z$2:$Z$7</c:f>
              <c:numCache>
                <c:formatCode>0.0000</c:formatCode>
                <c:ptCount val="6"/>
                <c:pt idx="0">
                  <c:v>0.28720000000000001</c:v>
                </c:pt>
                <c:pt idx="1">
                  <c:v>0.2394</c:v>
                </c:pt>
                <c:pt idx="2">
                  <c:v>0.39240000000000003</c:v>
                </c:pt>
                <c:pt idx="3">
                  <c:v>0.90310000000000001</c:v>
                </c:pt>
                <c:pt idx="4">
                  <c:v>1.8204</c:v>
                </c:pt>
                <c:pt idx="5">
                  <c:v>4.0427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72-472C-B199-7623DA4C643B}"/>
            </c:ext>
          </c:extLst>
        </c:ser>
        <c:ser>
          <c:idx val="1"/>
          <c:order val="1"/>
          <c:tx>
            <c:strRef>
              <c:f>IC_171123_Cl!$L$1</c:f>
              <c:strCache>
                <c:ptCount val="1"/>
                <c:pt idx="0">
                  <c:v>c_Cl_measure_ppm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IC_171123_Cl!$L$2:$L$7</c:f>
              <c:numCache>
                <c:formatCode>0.0000</c:formatCode>
                <c:ptCount val="6"/>
                <c:pt idx="0">
                  <c:v>1.173</c:v>
                </c:pt>
                <c:pt idx="1">
                  <c:v>0.9254</c:v>
                </c:pt>
                <c:pt idx="2">
                  <c:v>1.7179</c:v>
                </c:pt>
                <c:pt idx="3">
                  <c:v>4.3638000000000003</c:v>
                </c:pt>
                <c:pt idx="4">
                  <c:v>9.1159999999999997</c:v>
                </c:pt>
                <c:pt idx="5">
                  <c:v>20.629300000000001</c:v>
                </c:pt>
              </c:numCache>
            </c:numRef>
          </c:xVal>
          <c:yVal>
            <c:numRef>
              <c:f>IC_171123_Cl!$I$2:$I$7</c:f>
              <c:numCache>
                <c:formatCode>0.0000</c:formatCode>
                <c:ptCount val="6"/>
                <c:pt idx="0">
                  <c:v>0.28720000000000001</c:v>
                </c:pt>
                <c:pt idx="1">
                  <c:v>0.2394</c:v>
                </c:pt>
                <c:pt idx="2">
                  <c:v>0.39240000000000003</c:v>
                </c:pt>
                <c:pt idx="3">
                  <c:v>0.90310000000000001</c:v>
                </c:pt>
                <c:pt idx="4">
                  <c:v>1.8204</c:v>
                </c:pt>
                <c:pt idx="5">
                  <c:v>4.0427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E72-472C-B199-7623DA4C6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 calibration calc &amp; measure 17.11.2023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IC_171123_Nitrite!$AG$1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IC_171123_Nitrite!$AA$2:$AA$7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IC_171123_Nitrite!$Z$2:$Z$7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0.1263</c:v>
                </c:pt>
                <c:pt idx="2">
                  <c:v>0.16270000000000001</c:v>
                </c:pt>
                <c:pt idx="3">
                  <c:v>0.4461</c:v>
                </c:pt>
                <c:pt idx="4">
                  <c:v>1.0613999999999999</c:v>
                </c:pt>
                <c:pt idx="5">
                  <c:v>2.2368000000000001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4C-4732-986E-D7D5D6B9D282}"/>
            </c:ext>
          </c:extLst>
        </c:ser>
        <c:ser>
          <c:idx val="1"/>
          <c:order val="1"/>
          <c:tx>
            <c:strRef>
              <c:f>IC_171123_Nitrite!$L$1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IC_171123_Nitrite!$L$2:$L$7</c:f>
              <c:numCache>
                <c:formatCode>0.0000</c:formatCode>
                <c:ptCount val="6"/>
                <c:pt idx="0">
                  <c:v>0</c:v>
                </c:pt>
                <c:pt idx="1">
                  <c:v>1.6061000000000001</c:v>
                </c:pt>
                <c:pt idx="2">
                  <c:v>1.9271</c:v>
                </c:pt>
                <c:pt idx="3">
                  <c:v>4.4234999999999998</c:v>
                </c:pt>
                <c:pt idx="4">
                  <c:v>9.8443000000000005</c:v>
                </c:pt>
                <c:pt idx="5">
                  <c:v>20.198899999999998</c:v>
                </c:pt>
              </c:numCache>
            </c:numRef>
          </c:xVal>
          <c:yVal>
            <c:numRef>
              <c:f>IC_171123_Nitrite!$I$2:$I$7</c:f>
              <c:numCache>
                <c:formatCode>0.0000</c:formatCode>
                <c:ptCount val="6"/>
                <c:pt idx="0">
                  <c:v>0</c:v>
                </c:pt>
                <c:pt idx="1">
                  <c:v>0.1263</c:v>
                </c:pt>
                <c:pt idx="2">
                  <c:v>0.16270000000000001</c:v>
                </c:pt>
                <c:pt idx="3">
                  <c:v>0.4461</c:v>
                </c:pt>
                <c:pt idx="4">
                  <c:v>1.0613999999999999</c:v>
                </c:pt>
                <c:pt idx="5">
                  <c:v>2.2368000000000001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4C-4732-986E-D7D5D6B9D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 calib 171123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93263342082239"/>
                  <c:y val="-4.16703120443277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IC_171123_Br!$K$2:$K$7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IC_171123_Br!$J$2:$J$7</c:f>
              <c:numCache>
                <c:formatCode>General</c:formatCode>
                <c:ptCount val="6"/>
                <c:pt idx="0">
                  <c:v>0</c:v>
                </c:pt>
                <c:pt idx="1">
                  <c:v>9.2999999999999999E-2</c:v>
                </c:pt>
                <c:pt idx="2">
                  <c:v>0.16170000000000001</c:v>
                </c:pt>
                <c:pt idx="3">
                  <c:v>0.36890000000000001</c:v>
                </c:pt>
                <c:pt idx="4">
                  <c:v>0.75839999999999996</c:v>
                </c:pt>
                <c:pt idx="5">
                  <c:v>1.5868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4-4D70-AE2E-03F87B8CB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Nitrate calibration calc &amp; measure 17.11.2023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IC_171123_Nitrate!$AG$1</c:f>
              <c:strCache>
                <c:ptCount val="1"/>
                <c:pt idx="0">
                  <c:v>Linear Model of Nitrate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IC_171123_Nitrate!$AA$2:$AA$7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IC_171123_Nitrate!$Z$2:$Z$7</c:f>
              <c:numCache>
                <c:formatCode>0.0000</c:formatCode>
                <c:ptCount val="6"/>
                <c:pt idx="0">
                  <c:v>0</c:v>
                </c:pt>
                <c:pt idx="1">
                  <c:v>0.2661</c:v>
                </c:pt>
                <c:pt idx="2">
                  <c:v>0.23019999999999999</c:v>
                </c:pt>
                <c:pt idx="3">
                  <c:v>0.56079999999999997</c:v>
                </c:pt>
                <c:pt idx="4">
                  <c:v>1.1722999999999999</c:v>
                </c:pt>
                <c:pt idx="5">
                  <c:v>2.2875000000000001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58-4705-89D8-391DE520B079}"/>
            </c:ext>
          </c:extLst>
        </c:ser>
        <c:ser>
          <c:idx val="1"/>
          <c:order val="1"/>
          <c:tx>
            <c:strRef>
              <c:f>IC_171123_Nitrate!$L$1</c:f>
              <c:strCache>
                <c:ptCount val="1"/>
                <c:pt idx="0">
                  <c:v>c_Nitrate_measure_ppm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IC_171123_Nitrate!$L$2:$L$7</c:f>
              <c:numCache>
                <c:formatCode>0.0000</c:formatCode>
                <c:ptCount val="6"/>
                <c:pt idx="0">
                  <c:v>0</c:v>
                </c:pt>
                <c:pt idx="1">
                  <c:v>2.3041999999999998</c:v>
                </c:pt>
                <c:pt idx="2">
                  <c:v>1.9910000000000001</c:v>
                </c:pt>
                <c:pt idx="3">
                  <c:v>4.8738999999999999</c:v>
                </c:pt>
                <c:pt idx="4">
                  <c:v>10.205399999999999</c:v>
                </c:pt>
                <c:pt idx="5">
                  <c:v>19.9297</c:v>
                </c:pt>
              </c:numCache>
            </c:numRef>
          </c:xVal>
          <c:yVal>
            <c:numRef>
              <c:f>IC_171123_Nitrate!$I$2:$I$7</c:f>
              <c:numCache>
                <c:formatCode>0.0000</c:formatCode>
                <c:ptCount val="6"/>
                <c:pt idx="0">
                  <c:v>0</c:v>
                </c:pt>
                <c:pt idx="1">
                  <c:v>0.2661</c:v>
                </c:pt>
                <c:pt idx="2">
                  <c:v>0.23019999999999999</c:v>
                </c:pt>
                <c:pt idx="3">
                  <c:v>0.56079999999999997</c:v>
                </c:pt>
                <c:pt idx="4">
                  <c:v>1.1722999999999999</c:v>
                </c:pt>
                <c:pt idx="5">
                  <c:v>2.2875000000000001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58-4705-89D8-391DE520B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Phosphate calib 171123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Phosphate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93263342082239"/>
                  <c:y val="-4.16703120443277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IC_171123_PO4!$K$2:$K$7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</c:numCache>
            </c:numRef>
          </c:xVal>
          <c:yVal>
            <c:numRef>
              <c:f>IC_171123_PO4!$J$2:$J$7</c:f>
              <c:numCache>
                <c:formatCode>General</c:formatCode>
                <c:ptCount val="6"/>
                <c:pt idx="0">
                  <c:v>0</c:v>
                </c:pt>
                <c:pt idx="1">
                  <c:v>8.5400000000000004E-2</c:v>
                </c:pt>
                <c:pt idx="2">
                  <c:v>0.15590000000000001</c:v>
                </c:pt>
                <c:pt idx="3">
                  <c:v>0.39410000000000001</c:v>
                </c:pt>
                <c:pt idx="4">
                  <c:v>0.84930000000000005</c:v>
                </c:pt>
                <c:pt idx="5">
                  <c:v>1.8411999999999999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F-4FEE-8807-B9EFF7940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Sulfate calibration calc &amp; measure 17.11.2023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IC_171123_SO4!$AG$1</c:f>
              <c:strCache>
                <c:ptCount val="1"/>
                <c:pt idx="0">
                  <c:v>Linear Model of Sulfate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IC_171123_SO4!$AA$2:$AA$7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IC_171123_SO4!$Z$2:$Z$7</c:f>
              <c:numCache>
                <c:formatCode>0.0000</c:formatCode>
                <c:ptCount val="6"/>
                <c:pt idx="0">
                  <c:v>3.1099999999999999E-2</c:v>
                </c:pt>
                <c:pt idx="1">
                  <c:v>0.13930000000000001</c:v>
                </c:pt>
                <c:pt idx="2">
                  <c:v>0.25469999999999998</c:v>
                </c:pt>
                <c:pt idx="3">
                  <c:v>0.62860000000000005</c:v>
                </c:pt>
                <c:pt idx="4">
                  <c:v>1.3287</c:v>
                </c:pt>
                <c:pt idx="5">
                  <c:v>2.7711999999999999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84-4C66-A795-2068A9ED776C}"/>
            </c:ext>
          </c:extLst>
        </c:ser>
        <c:ser>
          <c:idx val="1"/>
          <c:order val="1"/>
          <c:tx>
            <c:strRef>
              <c:f>IC_171123_SO4!$L$1</c:f>
              <c:strCache>
                <c:ptCount val="1"/>
                <c:pt idx="0">
                  <c:v>c_Sulfate_measure_ppm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IC_171123_SO4!$L$2:$L$7</c:f>
              <c:numCache>
                <c:formatCode>0.0000</c:formatCode>
                <c:ptCount val="6"/>
                <c:pt idx="0">
                  <c:v>0.32479999999999998</c:v>
                </c:pt>
                <c:pt idx="1">
                  <c:v>1.1100000000000001</c:v>
                </c:pt>
                <c:pt idx="2">
                  <c:v>1.948</c:v>
                </c:pt>
                <c:pt idx="3">
                  <c:v>4.6612999999999998</c:v>
                </c:pt>
                <c:pt idx="4">
                  <c:v>9.7429000000000006</c:v>
                </c:pt>
                <c:pt idx="5">
                  <c:v>20.212900000000001</c:v>
                </c:pt>
              </c:numCache>
            </c:numRef>
          </c:xVal>
          <c:yVal>
            <c:numRef>
              <c:f>IC_171123_SO4!$I$2:$I$7</c:f>
              <c:numCache>
                <c:formatCode>0.0000</c:formatCode>
                <c:ptCount val="6"/>
                <c:pt idx="0">
                  <c:v>3.1099999999999999E-2</c:v>
                </c:pt>
                <c:pt idx="1">
                  <c:v>0.13930000000000001</c:v>
                </c:pt>
                <c:pt idx="2">
                  <c:v>0.25469999999999998</c:v>
                </c:pt>
                <c:pt idx="3">
                  <c:v>0.62860000000000005</c:v>
                </c:pt>
                <c:pt idx="4">
                  <c:v>1.3287</c:v>
                </c:pt>
                <c:pt idx="5">
                  <c:v>2.7711999999999999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884-4C66-A795-2068A9ED7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39</xdr:row>
      <xdr:rowOff>0</xdr:rowOff>
    </xdr:from>
    <xdr:to>
      <xdr:col>13</xdr:col>
      <xdr:colOff>304800</xdr:colOff>
      <xdr:row>53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42A33-B78B-4BBB-A583-A5335DF4D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A0B7B-451B-474F-A3B0-2F4EBDC14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79F508-15BA-4F0D-88A2-EF0DEA5C0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39</xdr:row>
      <xdr:rowOff>47625</xdr:rowOff>
    </xdr:from>
    <xdr:to>
      <xdr:col>13</xdr:col>
      <xdr:colOff>323850</xdr:colOff>
      <xdr:row>53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14E2D-AA05-411D-BF24-5EE60D341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73F584-498C-4BB1-80C0-6E764E2DE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39</xdr:row>
      <xdr:rowOff>180975</xdr:rowOff>
    </xdr:from>
    <xdr:to>
      <xdr:col>11</xdr:col>
      <xdr:colOff>581025</xdr:colOff>
      <xdr:row>54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CB82A-C660-4131-B636-61BE983DF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448235</xdr:colOff>
      <xdr:row>9</xdr:row>
      <xdr:rowOff>145677</xdr:rowOff>
    </xdr:from>
    <xdr:to>
      <xdr:col>45</xdr:col>
      <xdr:colOff>153279</xdr:colOff>
      <xdr:row>50</xdr:row>
      <xdr:rowOff>135471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3A710-91E9-4BA1-B138-852BE3E01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38A3-F633-4EE7-8CC8-71A33BC8D54D}">
  <dimension ref="A1:G8"/>
  <sheetViews>
    <sheetView workbookViewId="0">
      <selection activeCell="E17" sqref="E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f t="shared" ref="B2:B8" si="0">G2/100</f>
        <v>0.2</v>
      </c>
      <c r="C2">
        <f>B2*2</f>
        <v>0.4</v>
      </c>
      <c r="D2">
        <f t="shared" ref="D2:D8" si="1">G2/20</f>
        <v>1</v>
      </c>
      <c r="E2">
        <f t="shared" ref="E2:E8" si="2">G2/10</f>
        <v>2</v>
      </c>
      <c r="F2">
        <f t="shared" ref="F2:F8" si="3">G2/5</f>
        <v>4</v>
      </c>
      <c r="G2">
        <v>20</v>
      </c>
    </row>
    <row r="3" spans="1:7" x14ac:dyDescent="0.25">
      <c r="A3" t="s">
        <v>7</v>
      </c>
      <c r="B3">
        <f t="shared" si="0"/>
        <v>1</v>
      </c>
      <c r="C3">
        <f t="shared" ref="C3:C8" si="4">B3*2</f>
        <v>2</v>
      </c>
      <c r="D3">
        <f t="shared" si="1"/>
        <v>5</v>
      </c>
      <c r="E3">
        <f t="shared" si="2"/>
        <v>10</v>
      </c>
      <c r="F3">
        <f t="shared" si="3"/>
        <v>20</v>
      </c>
      <c r="G3">
        <v>100</v>
      </c>
    </row>
    <row r="4" spans="1:7" x14ac:dyDescent="0.25">
      <c r="A4" t="s">
        <v>8</v>
      </c>
      <c r="B4">
        <f t="shared" si="0"/>
        <v>1</v>
      </c>
      <c r="C4">
        <f t="shared" si="4"/>
        <v>2</v>
      </c>
      <c r="D4">
        <f t="shared" si="1"/>
        <v>5</v>
      </c>
      <c r="E4">
        <f t="shared" si="2"/>
        <v>10</v>
      </c>
      <c r="F4">
        <f t="shared" si="3"/>
        <v>20</v>
      </c>
      <c r="G4">
        <v>100</v>
      </c>
    </row>
    <row r="5" spans="1:7" x14ac:dyDescent="0.25">
      <c r="A5" t="s">
        <v>9</v>
      </c>
      <c r="B5">
        <f t="shared" si="0"/>
        <v>1</v>
      </c>
      <c r="C5">
        <f t="shared" si="4"/>
        <v>2</v>
      </c>
      <c r="D5">
        <f t="shared" si="1"/>
        <v>5</v>
      </c>
      <c r="E5">
        <f t="shared" si="2"/>
        <v>10</v>
      </c>
      <c r="F5">
        <f t="shared" si="3"/>
        <v>20</v>
      </c>
      <c r="G5">
        <v>100</v>
      </c>
    </row>
    <row r="6" spans="1:7" x14ac:dyDescent="0.25">
      <c r="A6" t="s">
        <v>10</v>
      </c>
      <c r="B6">
        <f t="shared" si="0"/>
        <v>1</v>
      </c>
      <c r="C6">
        <f t="shared" si="4"/>
        <v>2</v>
      </c>
      <c r="D6">
        <f t="shared" si="1"/>
        <v>5</v>
      </c>
      <c r="E6">
        <f t="shared" si="2"/>
        <v>10</v>
      </c>
      <c r="F6">
        <f t="shared" si="3"/>
        <v>20</v>
      </c>
      <c r="G6">
        <v>100</v>
      </c>
    </row>
    <row r="7" spans="1:7" x14ac:dyDescent="0.25">
      <c r="A7" t="s">
        <v>11</v>
      </c>
      <c r="B7">
        <f t="shared" si="0"/>
        <v>2</v>
      </c>
      <c r="C7">
        <f t="shared" si="4"/>
        <v>4</v>
      </c>
      <c r="D7">
        <f t="shared" si="1"/>
        <v>10</v>
      </c>
      <c r="E7">
        <f t="shared" si="2"/>
        <v>20</v>
      </c>
      <c r="F7">
        <f t="shared" si="3"/>
        <v>40</v>
      </c>
      <c r="G7">
        <v>200</v>
      </c>
    </row>
    <row r="8" spans="1:7" x14ac:dyDescent="0.25">
      <c r="A8" t="s">
        <v>12</v>
      </c>
      <c r="B8">
        <f t="shared" si="0"/>
        <v>1</v>
      </c>
      <c r="C8">
        <f t="shared" si="4"/>
        <v>2</v>
      </c>
      <c r="D8">
        <f t="shared" si="1"/>
        <v>5</v>
      </c>
      <c r="E8">
        <f t="shared" si="2"/>
        <v>10</v>
      </c>
      <c r="F8">
        <f t="shared" si="3"/>
        <v>20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474D-01B3-4ED3-8192-47E907B41812}">
  <dimension ref="A1:O40"/>
  <sheetViews>
    <sheetView zoomScale="85" zoomScaleNormal="85" workbookViewId="0">
      <selection activeCell="M35" sqref="M35"/>
    </sheetView>
  </sheetViews>
  <sheetFormatPr defaultRowHeight="15" x14ac:dyDescent="0.25"/>
  <cols>
    <col min="13" max="13" width="19.42578125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5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>
        <v>2.94</v>
      </c>
      <c r="J2">
        <v>1.84E-2</v>
      </c>
      <c r="K2">
        <v>0</v>
      </c>
      <c r="L2">
        <f>(J2+$B$40)/$B$39</f>
        <v>2.3006134969325156E-2</v>
      </c>
      <c r="M2">
        <f t="shared" ref="M2:M7" si="0">H2*L2</f>
        <v>0</v>
      </c>
      <c r="N2" t="s">
        <v>30</v>
      </c>
    </row>
    <row r="3" spans="1:15" x14ac:dyDescent="0.25">
      <c r="A3" t="s">
        <v>31</v>
      </c>
      <c r="B3" t="s">
        <v>32</v>
      </c>
      <c r="F3" t="s">
        <v>29</v>
      </c>
      <c r="G3">
        <v>1</v>
      </c>
      <c r="H3">
        <v>100</v>
      </c>
      <c r="I3">
        <v>2.92</v>
      </c>
      <c r="J3">
        <v>5.2400000000000002E-2</v>
      </c>
      <c r="K3">
        <v>0.2</v>
      </c>
      <c r="L3">
        <f t="shared" ref="L3:L37" si="1">(J3+$B$40)/$B$39</f>
        <v>0.15337423312883439</v>
      </c>
      <c r="M3">
        <f t="shared" si="0"/>
        <v>15.337423312883439</v>
      </c>
      <c r="N3" t="s">
        <v>33</v>
      </c>
    </row>
    <row r="4" spans="1:15" x14ac:dyDescent="0.25">
      <c r="A4" t="s">
        <v>34</v>
      </c>
      <c r="B4" t="s">
        <v>35</v>
      </c>
      <c r="F4" t="s">
        <v>29</v>
      </c>
      <c r="G4">
        <v>1</v>
      </c>
      <c r="H4">
        <v>50</v>
      </c>
      <c r="I4">
        <v>2.9129999999999998</v>
      </c>
      <c r="J4">
        <v>0.1227</v>
      </c>
      <c r="K4">
        <v>0.4</v>
      </c>
      <c r="L4">
        <f t="shared" si="1"/>
        <v>0.42292944785276082</v>
      </c>
      <c r="M4">
        <f t="shared" si="0"/>
        <v>21.146472392638042</v>
      </c>
      <c r="N4" t="s">
        <v>36</v>
      </c>
    </row>
    <row r="5" spans="1:15" x14ac:dyDescent="0.25">
      <c r="A5" t="s">
        <v>37</v>
      </c>
      <c r="B5" t="s">
        <v>38</v>
      </c>
      <c r="F5" t="s">
        <v>29</v>
      </c>
      <c r="G5">
        <v>1</v>
      </c>
      <c r="H5">
        <v>20</v>
      </c>
      <c r="I5" t="s">
        <v>39</v>
      </c>
      <c r="J5" t="s">
        <v>39</v>
      </c>
      <c r="K5">
        <v>1</v>
      </c>
      <c r="L5" t="e">
        <f t="shared" si="1"/>
        <v>#VALUE!</v>
      </c>
      <c r="M5" t="e">
        <f t="shared" si="0"/>
        <v>#VALUE!</v>
      </c>
      <c r="N5" t="s">
        <v>40</v>
      </c>
    </row>
    <row r="6" spans="1:15" x14ac:dyDescent="0.25">
      <c r="A6" t="s">
        <v>41</v>
      </c>
      <c r="B6" t="s">
        <v>42</v>
      </c>
      <c r="F6" t="s">
        <v>29</v>
      </c>
      <c r="G6">
        <v>1</v>
      </c>
      <c r="H6">
        <v>10</v>
      </c>
      <c r="I6" t="s">
        <v>39</v>
      </c>
      <c r="J6" t="s">
        <v>39</v>
      </c>
      <c r="K6">
        <v>2</v>
      </c>
      <c r="L6" t="e">
        <f t="shared" si="1"/>
        <v>#VALUE!</v>
      </c>
      <c r="M6" t="e">
        <f t="shared" si="0"/>
        <v>#VALUE!</v>
      </c>
      <c r="N6" t="s">
        <v>43</v>
      </c>
    </row>
    <row r="7" spans="1:15" x14ac:dyDescent="0.25">
      <c r="A7" t="s">
        <v>44</v>
      </c>
      <c r="B7" t="s">
        <v>45</v>
      </c>
      <c r="F7" t="s">
        <v>29</v>
      </c>
      <c r="G7">
        <v>1</v>
      </c>
      <c r="H7">
        <v>5</v>
      </c>
      <c r="I7" t="s">
        <v>39</v>
      </c>
      <c r="J7" t="s">
        <v>39</v>
      </c>
      <c r="K7">
        <v>4</v>
      </c>
      <c r="L7" t="e">
        <f t="shared" si="1"/>
        <v>#VALUE!</v>
      </c>
      <c r="M7" t="e">
        <f t="shared" si="0"/>
        <v>#VALUE!</v>
      </c>
      <c r="N7" t="s">
        <v>46</v>
      </c>
    </row>
    <row r="8" spans="1:15" x14ac:dyDescent="0.25">
      <c r="A8">
        <v>1</v>
      </c>
      <c r="B8" t="s">
        <v>47</v>
      </c>
      <c r="F8" t="s">
        <v>29</v>
      </c>
      <c r="G8">
        <v>1</v>
      </c>
      <c r="H8">
        <v>0</v>
      </c>
      <c r="I8">
        <v>2.9470000000000001</v>
      </c>
      <c r="J8">
        <v>2.1100000000000001E-2</v>
      </c>
      <c r="L8">
        <f t="shared" si="1"/>
        <v>3.3358895705521481E-2</v>
      </c>
      <c r="M8">
        <f t="shared" ref="M8:M37" si="2">H8*L8</f>
        <v>0</v>
      </c>
      <c r="N8" t="s">
        <v>30</v>
      </c>
    </row>
    <row r="9" spans="1:15" x14ac:dyDescent="0.25">
      <c r="A9">
        <v>2</v>
      </c>
      <c r="B9" t="s">
        <v>48</v>
      </c>
      <c r="F9" t="s">
        <v>29</v>
      </c>
      <c r="G9">
        <v>1</v>
      </c>
      <c r="H9">
        <v>20</v>
      </c>
      <c r="I9">
        <v>2.9169999999999998</v>
      </c>
      <c r="J9">
        <v>0.2354</v>
      </c>
      <c r="L9">
        <f t="shared" si="1"/>
        <v>0.85506134969325165</v>
      </c>
      <c r="M9">
        <f t="shared" si="2"/>
        <v>17.101226993865033</v>
      </c>
      <c r="N9" t="s">
        <v>49</v>
      </c>
    </row>
    <row r="10" spans="1:15" x14ac:dyDescent="0.25">
      <c r="A10">
        <v>3</v>
      </c>
      <c r="B10" t="s">
        <v>50</v>
      </c>
      <c r="C10">
        <v>20</v>
      </c>
      <c r="D10">
        <v>20</v>
      </c>
      <c r="E10" t="s">
        <v>51</v>
      </c>
      <c r="F10" t="s">
        <v>29</v>
      </c>
      <c r="G10">
        <v>1</v>
      </c>
      <c r="H10">
        <v>5</v>
      </c>
      <c r="I10">
        <v>3</v>
      </c>
      <c r="J10">
        <v>3.8800000000000001E-2</v>
      </c>
      <c r="L10">
        <f t="shared" si="1"/>
        <v>0.10122699386503069</v>
      </c>
      <c r="M10">
        <f t="shared" si="2"/>
        <v>0.50613496932515345</v>
      </c>
      <c r="N10" t="s">
        <v>52</v>
      </c>
      <c r="O10">
        <f>AVERAGE(M10:M12)</f>
        <v>0.53489263803680986</v>
      </c>
    </row>
    <row r="11" spans="1:15" x14ac:dyDescent="0.25">
      <c r="A11">
        <v>4</v>
      </c>
      <c r="B11" t="s">
        <v>53</v>
      </c>
      <c r="C11">
        <v>20</v>
      </c>
      <c r="D11">
        <v>20</v>
      </c>
      <c r="E11" t="s">
        <v>54</v>
      </c>
      <c r="F11" t="s">
        <v>29</v>
      </c>
      <c r="G11">
        <v>1</v>
      </c>
      <c r="H11">
        <v>5</v>
      </c>
      <c r="I11">
        <v>3.02</v>
      </c>
      <c r="J11">
        <v>4.0800000000000003E-2</v>
      </c>
      <c r="L11">
        <f t="shared" si="1"/>
        <v>0.1088957055214724</v>
      </c>
      <c r="M11">
        <f t="shared" si="2"/>
        <v>0.54447852760736204</v>
      </c>
      <c r="N11" t="s">
        <v>55</v>
      </c>
    </row>
    <row r="12" spans="1:15" x14ac:dyDescent="0.25">
      <c r="A12">
        <v>5</v>
      </c>
      <c r="B12" t="s">
        <v>56</v>
      </c>
      <c r="C12">
        <v>20</v>
      </c>
      <c r="D12">
        <v>20</v>
      </c>
      <c r="E12" t="s">
        <v>57</v>
      </c>
      <c r="F12" t="s">
        <v>29</v>
      </c>
      <c r="G12">
        <v>1</v>
      </c>
      <c r="H12">
        <v>5</v>
      </c>
      <c r="I12">
        <v>2.94</v>
      </c>
      <c r="J12">
        <v>4.1300000000000003E-2</v>
      </c>
      <c r="L12">
        <f t="shared" si="1"/>
        <v>0.11081288343558283</v>
      </c>
      <c r="M12">
        <f t="shared" si="2"/>
        <v>0.55406441717791421</v>
      </c>
      <c r="N12" t="s">
        <v>58</v>
      </c>
    </row>
    <row r="13" spans="1:15" x14ac:dyDescent="0.25">
      <c r="A13">
        <v>6</v>
      </c>
      <c r="B13" t="s">
        <v>59</v>
      </c>
      <c r="C13">
        <v>0</v>
      </c>
      <c r="D13">
        <v>10</v>
      </c>
      <c r="E13" t="s">
        <v>60</v>
      </c>
      <c r="F13" t="s">
        <v>29</v>
      </c>
      <c r="G13">
        <v>1</v>
      </c>
      <c r="H13">
        <v>5</v>
      </c>
      <c r="I13" t="s">
        <v>39</v>
      </c>
      <c r="J13" t="s">
        <v>39</v>
      </c>
      <c r="L13" t="e">
        <f t="shared" si="1"/>
        <v>#VALUE!</v>
      </c>
      <c r="M13" t="e">
        <f t="shared" si="2"/>
        <v>#VALUE!</v>
      </c>
      <c r="N13" t="s">
        <v>61</v>
      </c>
      <c r="O13" t="e">
        <f>AVERAGE(M13:M15)</f>
        <v>#VALUE!</v>
      </c>
    </row>
    <row r="14" spans="1:15" x14ac:dyDescent="0.25">
      <c r="A14">
        <v>7</v>
      </c>
      <c r="B14" t="s">
        <v>62</v>
      </c>
      <c r="C14">
        <v>0</v>
      </c>
      <c r="D14">
        <v>10</v>
      </c>
      <c r="E14" t="s">
        <v>63</v>
      </c>
      <c r="F14" t="s">
        <v>29</v>
      </c>
      <c r="G14">
        <v>1</v>
      </c>
      <c r="H14">
        <v>5</v>
      </c>
      <c r="I14" t="s">
        <v>39</v>
      </c>
      <c r="J14" t="s">
        <v>39</v>
      </c>
      <c r="L14" t="e">
        <f t="shared" si="1"/>
        <v>#VALUE!</v>
      </c>
      <c r="M14" t="e">
        <f t="shared" si="2"/>
        <v>#VALUE!</v>
      </c>
      <c r="N14" t="s">
        <v>64</v>
      </c>
    </row>
    <row r="15" spans="1:15" x14ac:dyDescent="0.25">
      <c r="A15">
        <v>8</v>
      </c>
      <c r="B15" t="s">
        <v>65</v>
      </c>
      <c r="C15">
        <v>0</v>
      </c>
      <c r="D15">
        <v>10</v>
      </c>
      <c r="E15" t="s">
        <v>66</v>
      </c>
      <c r="F15" t="s">
        <v>29</v>
      </c>
      <c r="G15">
        <v>1</v>
      </c>
      <c r="H15">
        <v>5</v>
      </c>
      <c r="I15" t="s">
        <v>39</v>
      </c>
      <c r="J15" t="s">
        <v>39</v>
      </c>
      <c r="L15" t="e">
        <f t="shared" si="1"/>
        <v>#VALUE!</v>
      </c>
      <c r="M15" t="e">
        <f t="shared" si="2"/>
        <v>#VALUE!</v>
      </c>
      <c r="N15" t="s">
        <v>67</v>
      </c>
    </row>
    <row r="16" spans="1:15" x14ac:dyDescent="0.25">
      <c r="A16">
        <v>9</v>
      </c>
      <c r="B16" t="s">
        <v>68</v>
      </c>
      <c r="C16">
        <v>10</v>
      </c>
      <c r="D16">
        <v>90</v>
      </c>
      <c r="E16" t="s">
        <v>51</v>
      </c>
      <c r="F16" t="s">
        <v>29</v>
      </c>
      <c r="G16">
        <v>1</v>
      </c>
      <c r="H16">
        <v>5</v>
      </c>
      <c r="I16">
        <v>2.9369999999999998</v>
      </c>
      <c r="J16">
        <v>2.1999999999999999E-2</v>
      </c>
      <c r="L16">
        <f t="shared" si="1"/>
        <v>3.6809815950920248E-2</v>
      </c>
      <c r="M16">
        <f t="shared" si="2"/>
        <v>0.18404907975460125</v>
      </c>
      <c r="N16" t="s">
        <v>69</v>
      </c>
      <c r="O16">
        <f>AVERAGE(M16,M18)</f>
        <v>0.2271855828220859</v>
      </c>
    </row>
    <row r="17" spans="1:14" x14ac:dyDescent="0.25">
      <c r="A17">
        <v>10</v>
      </c>
      <c r="B17" t="s">
        <v>70</v>
      </c>
      <c r="C17">
        <v>10</v>
      </c>
      <c r="D17">
        <v>90</v>
      </c>
      <c r="E17" t="s">
        <v>54</v>
      </c>
      <c r="F17" t="s">
        <v>29</v>
      </c>
      <c r="G17">
        <v>1</v>
      </c>
      <c r="H17">
        <v>5</v>
      </c>
      <c r="I17">
        <v>2.9329999999999998</v>
      </c>
      <c r="J17">
        <v>2.4199999999999999E-2</v>
      </c>
      <c r="L17">
        <f t="shared" si="1"/>
        <v>4.5245398773006137E-2</v>
      </c>
      <c r="M17">
        <f t="shared" si="2"/>
        <v>0.2262269938650307</v>
      </c>
      <c r="N17" t="s">
        <v>71</v>
      </c>
    </row>
    <row r="18" spans="1:14" x14ac:dyDescent="0.25">
      <c r="A18">
        <v>11</v>
      </c>
      <c r="B18" t="s">
        <v>72</v>
      </c>
      <c r="C18">
        <v>10</v>
      </c>
      <c r="D18">
        <v>90</v>
      </c>
      <c r="E18" t="s">
        <v>57</v>
      </c>
      <c r="F18" t="s">
        <v>29</v>
      </c>
      <c r="G18">
        <v>1</v>
      </c>
      <c r="H18">
        <v>5</v>
      </c>
      <c r="I18">
        <v>2.927</v>
      </c>
      <c r="J18">
        <v>2.6499999999999999E-2</v>
      </c>
      <c r="L18">
        <f t="shared" si="1"/>
        <v>5.4064417177914117E-2</v>
      </c>
      <c r="M18">
        <f t="shared" si="2"/>
        <v>0.27032208588957057</v>
      </c>
      <c r="N18" t="s">
        <v>73</v>
      </c>
    </row>
    <row r="19" spans="1:14" x14ac:dyDescent="0.25">
      <c r="A19">
        <v>12</v>
      </c>
      <c r="B19" t="s">
        <v>74</v>
      </c>
      <c r="C19">
        <v>0</v>
      </c>
      <c r="D19">
        <v>10</v>
      </c>
      <c r="E19" t="s">
        <v>75</v>
      </c>
      <c r="F19" t="s">
        <v>29</v>
      </c>
      <c r="G19">
        <v>1</v>
      </c>
      <c r="H19">
        <v>5</v>
      </c>
      <c r="I19">
        <v>3.0369999999999999</v>
      </c>
      <c r="J19">
        <v>4.2500000000000003E-2</v>
      </c>
      <c r="L19">
        <f t="shared" si="1"/>
        <v>0.11541411042944787</v>
      </c>
      <c r="M19">
        <f t="shared" si="2"/>
        <v>0.57707055214723935</v>
      </c>
      <c r="N19" t="s">
        <v>76</v>
      </c>
    </row>
    <row r="20" spans="1:14" x14ac:dyDescent="0.25">
      <c r="A20">
        <v>13</v>
      </c>
      <c r="B20" t="s">
        <v>77</v>
      </c>
      <c r="C20">
        <v>0</v>
      </c>
      <c r="D20">
        <v>20</v>
      </c>
      <c r="E20" t="s">
        <v>75</v>
      </c>
      <c r="F20" t="s">
        <v>29</v>
      </c>
      <c r="G20">
        <v>1</v>
      </c>
      <c r="H20">
        <v>5</v>
      </c>
      <c r="I20">
        <v>3.01</v>
      </c>
      <c r="J20">
        <v>3.3099999999999997E-2</v>
      </c>
      <c r="L20">
        <f t="shared" si="1"/>
        <v>7.9371165644171765E-2</v>
      </c>
      <c r="M20">
        <f t="shared" si="2"/>
        <v>0.39685582822085885</v>
      </c>
      <c r="N20" t="s">
        <v>78</v>
      </c>
    </row>
    <row r="21" spans="1:14" x14ac:dyDescent="0.25">
      <c r="A21">
        <v>14</v>
      </c>
      <c r="B21" t="s">
        <v>79</v>
      </c>
      <c r="C21">
        <v>0</v>
      </c>
      <c r="D21">
        <v>30</v>
      </c>
      <c r="E21" t="s">
        <v>75</v>
      </c>
      <c r="F21" t="s">
        <v>29</v>
      </c>
      <c r="G21">
        <v>1</v>
      </c>
      <c r="H21">
        <v>5</v>
      </c>
      <c r="I21" t="s">
        <v>39</v>
      </c>
      <c r="J21" t="s">
        <v>39</v>
      </c>
      <c r="L21" t="e">
        <f t="shared" si="1"/>
        <v>#VALUE!</v>
      </c>
      <c r="M21" t="e">
        <f t="shared" si="2"/>
        <v>#VALUE!</v>
      </c>
      <c r="N21" t="s">
        <v>80</v>
      </c>
    </row>
    <row r="22" spans="1:14" x14ac:dyDescent="0.25">
      <c r="A22">
        <v>15</v>
      </c>
      <c r="B22" t="s">
        <v>28</v>
      </c>
      <c r="F22" t="s">
        <v>29</v>
      </c>
      <c r="G22">
        <v>1</v>
      </c>
      <c r="H22">
        <v>0</v>
      </c>
      <c r="I22">
        <v>2.9329999999999998</v>
      </c>
      <c r="J22">
        <v>2.3400000000000001E-2</v>
      </c>
      <c r="L22">
        <f t="shared" si="1"/>
        <v>4.2177914110429454E-2</v>
      </c>
      <c r="M22">
        <f>H22*L22</f>
        <v>0</v>
      </c>
      <c r="N22" t="s">
        <v>30</v>
      </c>
    </row>
    <row r="23" spans="1:14" x14ac:dyDescent="0.25">
      <c r="A23" s="1">
        <v>16</v>
      </c>
      <c r="B23" t="s">
        <v>48</v>
      </c>
      <c r="F23" t="s">
        <v>29</v>
      </c>
      <c r="G23">
        <v>1</v>
      </c>
      <c r="H23">
        <v>20</v>
      </c>
      <c r="I23">
        <v>2.9169999999999998</v>
      </c>
      <c r="J23">
        <v>0.2606</v>
      </c>
      <c r="L23">
        <f t="shared" si="1"/>
        <v>0.95168711656441729</v>
      </c>
      <c r="M23">
        <f t="shared" si="2"/>
        <v>19.033742331288344</v>
      </c>
      <c r="N23" t="s">
        <v>49</v>
      </c>
    </row>
    <row r="24" spans="1:14" x14ac:dyDescent="0.25">
      <c r="A24">
        <v>17</v>
      </c>
      <c r="B24" t="s">
        <v>81</v>
      </c>
      <c r="C24">
        <v>0</v>
      </c>
      <c r="D24">
        <v>60</v>
      </c>
      <c r="E24" t="s">
        <v>75</v>
      </c>
      <c r="F24" t="s">
        <v>29</v>
      </c>
      <c r="G24">
        <v>1</v>
      </c>
      <c r="H24">
        <v>5</v>
      </c>
      <c r="I24">
        <v>2.9569999999999999</v>
      </c>
      <c r="J24">
        <v>4.4999999999999998E-2</v>
      </c>
      <c r="L24">
        <f t="shared" si="1"/>
        <v>0.125</v>
      </c>
      <c r="M24">
        <f t="shared" si="2"/>
        <v>0.625</v>
      </c>
      <c r="N24" t="s">
        <v>82</v>
      </c>
    </row>
    <row r="25" spans="1:14" x14ac:dyDescent="0.25">
      <c r="A25">
        <v>18</v>
      </c>
      <c r="B25" t="s">
        <v>83</v>
      </c>
      <c r="C25">
        <v>0</v>
      </c>
      <c r="D25">
        <v>70</v>
      </c>
      <c r="E25" t="s">
        <v>75</v>
      </c>
      <c r="F25" t="s">
        <v>29</v>
      </c>
      <c r="G25">
        <v>1</v>
      </c>
      <c r="H25">
        <v>5</v>
      </c>
      <c r="I25" t="s">
        <v>39</v>
      </c>
      <c r="J25" t="s">
        <v>39</v>
      </c>
      <c r="L25" t="e">
        <f t="shared" si="1"/>
        <v>#VALUE!</v>
      </c>
      <c r="M25" t="e">
        <f t="shared" si="2"/>
        <v>#VALUE!</v>
      </c>
      <c r="N25" t="s">
        <v>84</v>
      </c>
    </row>
    <row r="26" spans="1:14" x14ac:dyDescent="0.25">
      <c r="A26">
        <v>19</v>
      </c>
      <c r="B26" t="s">
        <v>85</v>
      </c>
      <c r="C26">
        <v>0</v>
      </c>
      <c r="D26">
        <v>80</v>
      </c>
      <c r="E26" t="s">
        <v>75</v>
      </c>
      <c r="F26" t="s">
        <v>29</v>
      </c>
      <c r="G26">
        <v>1</v>
      </c>
      <c r="H26">
        <v>5</v>
      </c>
      <c r="I26">
        <v>3.0470000000000002</v>
      </c>
      <c r="J26">
        <v>4.4999999999999998E-2</v>
      </c>
      <c r="L26">
        <f t="shared" si="1"/>
        <v>0.125</v>
      </c>
      <c r="M26">
        <f t="shared" si="2"/>
        <v>0.625</v>
      </c>
      <c r="N26" t="s">
        <v>86</v>
      </c>
    </row>
    <row r="27" spans="1:14" x14ac:dyDescent="0.25">
      <c r="A27">
        <v>20</v>
      </c>
      <c r="B27" t="s">
        <v>87</v>
      </c>
      <c r="C27">
        <v>0</v>
      </c>
      <c r="D27">
        <v>90</v>
      </c>
      <c r="E27" t="s">
        <v>75</v>
      </c>
      <c r="F27" t="s">
        <v>29</v>
      </c>
      <c r="G27">
        <v>1</v>
      </c>
      <c r="H27">
        <v>5</v>
      </c>
      <c r="I27">
        <v>2.9630000000000001</v>
      </c>
      <c r="J27">
        <v>3.5099999999999999E-2</v>
      </c>
      <c r="L27">
        <f t="shared" si="1"/>
        <v>8.7039877300613494E-2</v>
      </c>
      <c r="M27">
        <f t="shared" si="2"/>
        <v>0.43519938650306744</v>
      </c>
      <c r="N27" t="s">
        <v>88</v>
      </c>
    </row>
    <row r="28" spans="1:14" x14ac:dyDescent="0.25">
      <c r="A28">
        <v>21</v>
      </c>
      <c r="B28" t="s">
        <v>89</v>
      </c>
      <c r="C28">
        <v>0</v>
      </c>
      <c r="D28">
        <v>100</v>
      </c>
      <c r="E28" t="s">
        <v>75</v>
      </c>
      <c r="F28" t="s">
        <v>29</v>
      </c>
      <c r="G28">
        <v>1</v>
      </c>
      <c r="H28">
        <v>5</v>
      </c>
      <c r="I28">
        <v>2.9729999999999999</v>
      </c>
      <c r="J28">
        <v>4.3799999999999999E-2</v>
      </c>
      <c r="L28">
        <f t="shared" si="1"/>
        <v>0.12039877300613497</v>
      </c>
      <c r="M28">
        <f t="shared" si="2"/>
        <v>0.60199386503067487</v>
      </c>
      <c r="N28" t="s">
        <v>90</v>
      </c>
    </row>
    <row r="29" spans="1:14" x14ac:dyDescent="0.25">
      <c r="A29">
        <v>22</v>
      </c>
      <c r="B29" t="s">
        <v>91</v>
      </c>
      <c r="C29">
        <v>0</v>
      </c>
      <c r="D29">
        <v>60</v>
      </c>
      <c r="E29" t="s">
        <v>92</v>
      </c>
      <c r="F29" t="s">
        <v>29</v>
      </c>
      <c r="G29">
        <v>1</v>
      </c>
      <c r="H29">
        <v>5</v>
      </c>
      <c r="I29" t="s">
        <v>39</v>
      </c>
      <c r="J29" t="s">
        <v>39</v>
      </c>
      <c r="L29" t="e">
        <f t="shared" si="1"/>
        <v>#VALUE!</v>
      </c>
      <c r="M29" t="e">
        <f t="shared" si="2"/>
        <v>#VALUE!</v>
      </c>
      <c r="N29" t="s">
        <v>93</v>
      </c>
    </row>
    <row r="30" spans="1:14" x14ac:dyDescent="0.25">
      <c r="A30">
        <v>23</v>
      </c>
      <c r="B30" t="s">
        <v>94</v>
      </c>
      <c r="C30">
        <v>0</v>
      </c>
      <c r="D30">
        <v>100</v>
      </c>
      <c r="E30" t="s">
        <v>92</v>
      </c>
      <c r="F30" t="s">
        <v>29</v>
      </c>
      <c r="G30">
        <v>1</v>
      </c>
      <c r="H30">
        <v>5</v>
      </c>
      <c r="I30">
        <v>2.9369999999999998</v>
      </c>
      <c r="J30">
        <v>3.7100000000000001E-2</v>
      </c>
      <c r="L30">
        <f t="shared" si="1"/>
        <v>9.4708588957055223E-2</v>
      </c>
      <c r="M30">
        <f t="shared" si="2"/>
        <v>0.47354294478527614</v>
      </c>
      <c r="N30" t="s">
        <v>95</v>
      </c>
    </row>
    <row r="31" spans="1:14" x14ac:dyDescent="0.25">
      <c r="A31">
        <v>24</v>
      </c>
      <c r="B31" t="s">
        <v>96</v>
      </c>
      <c r="C31">
        <v>10</v>
      </c>
      <c r="D31">
        <v>0</v>
      </c>
      <c r="E31" t="s">
        <v>75</v>
      </c>
      <c r="F31" t="s">
        <v>29</v>
      </c>
      <c r="G31">
        <v>1</v>
      </c>
      <c r="H31">
        <v>5</v>
      </c>
      <c r="I31">
        <v>3.0470000000000002</v>
      </c>
      <c r="J31">
        <v>4.48E-2</v>
      </c>
      <c r="L31">
        <f t="shared" si="1"/>
        <v>0.12423312883435583</v>
      </c>
      <c r="M31">
        <f t="shared" si="2"/>
        <v>0.62116564417177922</v>
      </c>
      <c r="N31" t="s">
        <v>97</v>
      </c>
    </row>
    <row r="32" spans="1:14" x14ac:dyDescent="0.25">
      <c r="A32">
        <v>25</v>
      </c>
      <c r="B32" t="s">
        <v>98</v>
      </c>
      <c r="C32">
        <v>10</v>
      </c>
      <c r="D32">
        <v>60</v>
      </c>
      <c r="E32" t="s">
        <v>75</v>
      </c>
      <c r="F32" t="s">
        <v>29</v>
      </c>
      <c r="G32">
        <v>1</v>
      </c>
      <c r="H32">
        <v>5</v>
      </c>
      <c r="I32">
        <v>2.9870000000000001</v>
      </c>
      <c r="J32">
        <v>4.4999999999999998E-2</v>
      </c>
      <c r="L32">
        <f t="shared" si="1"/>
        <v>0.125</v>
      </c>
      <c r="M32">
        <f t="shared" si="2"/>
        <v>0.625</v>
      </c>
      <c r="N32" t="s">
        <v>99</v>
      </c>
    </row>
    <row r="33" spans="1:14" x14ac:dyDescent="0.25">
      <c r="A33">
        <v>26</v>
      </c>
      <c r="B33" t="s">
        <v>100</v>
      </c>
      <c r="C33">
        <v>10</v>
      </c>
      <c r="D33">
        <v>70</v>
      </c>
      <c r="E33" t="s">
        <v>75</v>
      </c>
      <c r="F33" t="s">
        <v>29</v>
      </c>
      <c r="G33">
        <v>1</v>
      </c>
      <c r="H33">
        <v>5</v>
      </c>
      <c r="I33">
        <v>2.9729999999999999</v>
      </c>
      <c r="J33">
        <v>4.6300000000000001E-2</v>
      </c>
      <c r="L33">
        <f t="shared" si="1"/>
        <v>0.12998466257668712</v>
      </c>
      <c r="M33">
        <f t="shared" si="2"/>
        <v>0.64992331288343563</v>
      </c>
      <c r="N33" t="s">
        <v>101</v>
      </c>
    </row>
    <row r="34" spans="1:14" x14ac:dyDescent="0.25">
      <c r="A34">
        <v>27</v>
      </c>
      <c r="B34" t="s">
        <v>102</v>
      </c>
      <c r="C34">
        <v>10</v>
      </c>
      <c r="D34">
        <v>10</v>
      </c>
      <c r="E34" t="s">
        <v>92</v>
      </c>
      <c r="F34" t="s">
        <v>29</v>
      </c>
      <c r="G34">
        <v>1</v>
      </c>
      <c r="H34">
        <v>5</v>
      </c>
      <c r="I34">
        <v>3.05</v>
      </c>
      <c r="J34">
        <v>3.8399999999999997E-2</v>
      </c>
      <c r="L34">
        <f t="shared" si="1"/>
        <v>9.9693251533742325E-2</v>
      </c>
      <c r="M34">
        <f t="shared" si="2"/>
        <v>0.49846625766871161</v>
      </c>
      <c r="N34" t="s">
        <v>103</v>
      </c>
    </row>
    <row r="35" spans="1:14" x14ac:dyDescent="0.25">
      <c r="A35">
        <v>28</v>
      </c>
      <c r="B35" t="s">
        <v>104</v>
      </c>
      <c r="C35">
        <v>10</v>
      </c>
      <c r="D35">
        <v>50</v>
      </c>
      <c r="E35" t="s">
        <v>92</v>
      </c>
      <c r="F35" t="s">
        <v>29</v>
      </c>
      <c r="G35">
        <v>1</v>
      </c>
      <c r="H35">
        <v>5</v>
      </c>
      <c r="I35" t="s">
        <v>39</v>
      </c>
      <c r="J35" t="s">
        <v>39</v>
      </c>
      <c r="L35" t="e">
        <f t="shared" si="1"/>
        <v>#VALUE!</v>
      </c>
      <c r="M35" t="e">
        <f t="shared" si="2"/>
        <v>#VALUE!</v>
      </c>
      <c r="N35" t="s">
        <v>105</v>
      </c>
    </row>
    <row r="36" spans="1:14" x14ac:dyDescent="0.25">
      <c r="A36">
        <v>30</v>
      </c>
      <c r="B36" t="s">
        <v>48</v>
      </c>
      <c r="F36" t="s">
        <v>29</v>
      </c>
      <c r="G36">
        <v>1</v>
      </c>
      <c r="H36">
        <v>20</v>
      </c>
      <c r="I36">
        <v>2.92</v>
      </c>
      <c r="J36">
        <v>0.28520000000000001</v>
      </c>
      <c r="L36">
        <f t="shared" si="1"/>
        <v>1.0460122699386503</v>
      </c>
      <c r="M36">
        <f t="shared" si="2"/>
        <v>20.920245398773005</v>
      </c>
      <c r="N36" t="s">
        <v>49</v>
      </c>
    </row>
    <row r="37" spans="1:14" x14ac:dyDescent="0.25">
      <c r="A37">
        <v>29</v>
      </c>
      <c r="B37" t="s">
        <v>28</v>
      </c>
      <c r="F37" t="s">
        <v>29</v>
      </c>
      <c r="G37">
        <v>1</v>
      </c>
      <c r="H37">
        <v>0</v>
      </c>
      <c r="I37">
        <v>2.93</v>
      </c>
      <c r="J37">
        <v>2.5700000000000001E-2</v>
      </c>
      <c r="L37">
        <f t="shared" si="1"/>
        <v>5.0996932515337434E-2</v>
      </c>
      <c r="M37">
        <f t="shared" si="2"/>
        <v>0</v>
      </c>
      <c r="N37" t="s">
        <v>30</v>
      </c>
    </row>
    <row r="39" spans="1:14" x14ac:dyDescent="0.25">
      <c r="A39" t="s">
        <v>106</v>
      </c>
      <c r="B39">
        <v>0.26079999999999998</v>
      </c>
    </row>
    <row r="40" spans="1:14" x14ac:dyDescent="0.25">
      <c r="A40" t="s">
        <v>107</v>
      </c>
      <c r="B40">
        <v>-1.24E-2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BA4E-52CB-46A8-B76D-F1CBA7C2A5C3}">
  <dimension ref="A1:AI55"/>
  <sheetViews>
    <sheetView tabSelected="1" topLeftCell="C1" zoomScale="85" zoomScaleNormal="85" workbookViewId="0">
      <selection activeCell="AB64" sqref="AB64"/>
    </sheetView>
  </sheetViews>
  <sheetFormatPr defaultRowHeight="15" x14ac:dyDescent="0.25"/>
  <cols>
    <col min="8" max="8" width="9.140625" style="25"/>
    <col min="9" max="10" width="9.140625" style="18"/>
    <col min="11" max="11" width="11.7109375" style="18" customWidth="1"/>
    <col min="12" max="12" width="14.85546875" style="18" customWidth="1"/>
    <col min="14" max="14" width="17.28515625" style="18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24" t="s">
        <v>21</v>
      </c>
      <c r="I1" s="4" t="s">
        <v>22</v>
      </c>
      <c r="J1" s="5" t="s">
        <v>108</v>
      </c>
      <c r="K1" s="4" t="s">
        <v>115</v>
      </c>
      <c r="L1" s="4" t="s">
        <v>116</v>
      </c>
      <c r="M1" s="3" t="s">
        <v>20</v>
      </c>
      <c r="N1" s="4" t="s">
        <v>117</v>
      </c>
      <c r="O1" s="4" t="s">
        <v>118</v>
      </c>
      <c r="P1" s="3" t="s">
        <v>26</v>
      </c>
      <c r="S1" s="6" t="s">
        <v>119</v>
      </c>
      <c r="T1" s="7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7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c_Cl_ calib_ppm</v>
      </c>
      <c r="AG1" s="6" t="s">
        <v>120</v>
      </c>
    </row>
    <row r="2" spans="1:35" x14ac:dyDescent="0.25">
      <c r="A2" s="8" t="s">
        <v>27</v>
      </c>
      <c r="B2" s="8" t="s">
        <v>28</v>
      </c>
      <c r="C2" s="8"/>
      <c r="D2" s="8"/>
      <c r="E2" s="8"/>
      <c r="F2" s="8" t="s">
        <v>29</v>
      </c>
      <c r="G2" s="8">
        <v>1</v>
      </c>
      <c r="H2" s="9">
        <v>3.6669999999999998</v>
      </c>
      <c r="I2" s="10">
        <v>0.28720000000000001</v>
      </c>
      <c r="J2" s="10">
        <v>0</v>
      </c>
      <c r="K2" s="10">
        <f t="shared" ref="K2:K9" si="4">IF(H2="NA", "NA", ((I2-($AH$3))/$AG$3))</f>
        <v>1.1924824004630017</v>
      </c>
      <c r="L2" s="10">
        <v>1.173</v>
      </c>
      <c r="M2" s="8">
        <v>0</v>
      </c>
      <c r="N2" s="10"/>
      <c r="O2" s="10"/>
      <c r="P2" s="8" t="s">
        <v>30</v>
      </c>
      <c r="T2" s="11" t="str">
        <f t="shared" si="0"/>
        <v>Cal 1</v>
      </c>
      <c r="U2" s="8" t="str">
        <f t="shared" si="0"/>
        <v>Blank</v>
      </c>
      <c r="V2" s="8" t="str">
        <f t="shared" si="1"/>
        <v>17.11.2023</v>
      </c>
      <c r="W2" s="8">
        <f t="shared" si="1"/>
        <v>1</v>
      </c>
      <c r="X2" s="8">
        <f t="shared" si="2"/>
        <v>0</v>
      </c>
      <c r="Y2" s="10">
        <f t="shared" si="3"/>
        <v>3.6669999999999998</v>
      </c>
      <c r="Z2" s="10">
        <f t="shared" si="3"/>
        <v>0.28720000000000001</v>
      </c>
      <c r="AA2" s="8">
        <f t="shared" si="3"/>
        <v>0</v>
      </c>
      <c r="AG2" s="3" t="s">
        <v>121</v>
      </c>
      <c r="AH2" s="3" t="s">
        <v>122</v>
      </c>
    </row>
    <row r="3" spans="1:35" x14ac:dyDescent="0.25">
      <c r="A3" s="8" t="s">
        <v>31</v>
      </c>
      <c r="B3" s="8" t="s">
        <v>32</v>
      </c>
      <c r="C3" s="8"/>
      <c r="D3" s="8"/>
      <c r="E3" s="8"/>
      <c r="F3" s="8" t="s">
        <v>29</v>
      </c>
      <c r="G3" s="8">
        <v>1</v>
      </c>
      <c r="H3" s="9">
        <v>3.67</v>
      </c>
      <c r="I3" s="10">
        <v>0.2394</v>
      </c>
      <c r="J3" s="10">
        <v>1</v>
      </c>
      <c r="K3" s="10">
        <f t="shared" si="4"/>
        <v>0.94518349949902802</v>
      </c>
      <c r="L3" s="10">
        <v>0.9254</v>
      </c>
      <c r="M3" s="8">
        <v>100</v>
      </c>
      <c r="N3" s="10"/>
      <c r="O3" s="10"/>
      <c r="P3" s="8" t="s">
        <v>33</v>
      </c>
      <c r="T3" s="12" t="str">
        <f t="shared" si="0"/>
        <v>Cal 2</v>
      </c>
      <c r="U3" s="8" t="str">
        <f t="shared" si="0"/>
        <v>x 100</v>
      </c>
      <c r="V3" s="8" t="str">
        <f t="shared" si="1"/>
        <v>17.11.2023</v>
      </c>
      <c r="W3" s="8">
        <f t="shared" si="1"/>
        <v>1</v>
      </c>
      <c r="X3" s="8">
        <f t="shared" si="2"/>
        <v>100</v>
      </c>
      <c r="Y3" s="10">
        <f t="shared" si="3"/>
        <v>3.67</v>
      </c>
      <c r="Z3" s="10">
        <f t="shared" si="3"/>
        <v>0.2394</v>
      </c>
      <c r="AA3" s="8">
        <f t="shared" si="3"/>
        <v>1</v>
      </c>
      <c r="AF3" t="s">
        <v>123</v>
      </c>
      <c r="AG3" s="10" cm="1">
        <f t="array" ref="AG3:AH7">LINEST(Z2:Z7,AA2:AA7, TRUE, TRUE)</f>
        <v>0.19328836405529951</v>
      </c>
      <c r="AH3" s="10">
        <v>5.670702764976987E-2</v>
      </c>
      <c r="AI3" s="13" t="s">
        <v>124</v>
      </c>
    </row>
    <row r="4" spans="1:35" x14ac:dyDescent="0.25">
      <c r="A4" s="8" t="s">
        <v>34</v>
      </c>
      <c r="B4" s="8" t="s">
        <v>35</v>
      </c>
      <c r="C4" s="8"/>
      <c r="D4" s="8"/>
      <c r="E4" s="8"/>
      <c r="F4" s="8" t="s">
        <v>29</v>
      </c>
      <c r="G4" s="8">
        <v>1</v>
      </c>
      <c r="H4" s="9">
        <v>3.673</v>
      </c>
      <c r="I4" s="10">
        <v>0.39240000000000003</v>
      </c>
      <c r="J4" s="10">
        <v>2</v>
      </c>
      <c r="K4" s="10">
        <f t="shared" si="4"/>
        <v>1.736746927270743</v>
      </c>
      <c r="L4" s="10">
        <v>1.7179</v>
      </c>
      <c r="M4" s="8">
        <v>50</v>
      </c>
      <c r="N4" s="10"/>
      <c r="O4" s="10"/>
      <c r="P4" s="8" t="s">
        <v>36</v>
      </c>
      <c r="T4" s="12" t="str">
        <f t="shared" si="0"/>
        <v>Cal 3</v>
      </c>
      <c r="U4" s="8" t="str">
        <f t="shared" si="0"/>
        <v>x 50</v>
      </c>
      <c r="V4" s="8" t="str">
        <f t="shared" si="1"/>
        <v>17.11.2023</v>
      </c>
      <c r="W4" s="8">
        <f t="shared" si="1"/>
        <v>1</v>
      </c>
      <c r="X4" s="8">
        <f t="shared" si="2"/>
        <v>50</v>
      </c>
      <c r="Y4" s="10">
        <f t="shared" si="3"/>
        <v>3.673</v>
      </c>
      <c r="Z4" s="10">
        <f t="shared" si="3"/>
        <v>0.39240000000000003</v>
      </c>
      <c r="AA4" s="8">
        <f t="shared" si="3"/>
        <v>2</v>
      </c>
      <c r="AF4" t="s">
        <v>125</v>
      </c>
      <c r="AG4" s="10">
        <v>9.8951816824693912E-3</v>
      </c>
      <c r="AH4" s="10">
        <v>9.3000671037374097E-2</v>
      </c>
      <c r="AI4" t="s">
        <v>126</v>
      </c>
    </row>
    <row r="5" spans="1:35" x14ac:dyDescent="0.25">
      <c r="A5" s="8" t="s">
        <v>37</v>
      </c>
      <c r="B5" s="8" t="s">
        <v>38</v>
      </c>
      <c r="C5" s="8"/>
      <c r="D5" s="8"/>
      <c r="E5" s="8"/>
      <c r="F5" s="8" t="s">
        <v>29</v>
      </c>
      <c r="G5" s="8">
        <v>1</v>
      </c>
      <c r="H5" s="9">
        <v>3.67</v>
      </c>
      <c r="I5" s="10">
        <v>0.90310000000000001</v>
      </c>
      <c r="J5" s="10">
        <v>5</v>
      </c>
      <c r="K5" s="10">
        <f t="shared" si="4"/>
        <v>4.3789132185322774</v>
      </c>
      <c r="L5" s="10">
        <v>4.3638000000000003</v>
      </c>
      <c r="M5" s="8">
        <v>20</v>
      </c>
      <c r="N5" s="10"/>
      <c r="O5" s="10"/>
      <c r="P5" s="8" t="s">
        <v>40</v>
      </c>
      <c r="T5" s="12" t="str">
        <f t="shared" si="0"/>
        <v>Cal 4</v>
      </c>
      <c r="U5" s="8" t="str">
        <f t="shared" si="0"/>
        <v>x 20</v>
      </c>
      <c r="V5" s="8" t="str">
        <f t="shared" si="1"/>
        <v>17.11.2023</v>
      </c>
      <c r="W5" s="8">
        <f t="shared" si="1"/>
        <v>1</v>
      </c>
      <c r="X5" s="8">
        <f t="shared" si="2"/>
        <v>20</v>
      </c>
      <c r="Y5" s="10">
        <f t="shared" si="3"/>
        <v>3.67</v>
      </c>
      <c r="Z5" s="10">
        <f t="shared" si="3"/>
        <v>0.90310000000000001</v>
      </c>
      <c r="AA5" s="8">
        <f t="shared" si="3"/>
        <v>5</v>
      </c>
      <c r="AF5" t="s">
        <v>127</v>
      </c>
      <c r="AG5" s="10">
        <v>0.98962550429862739</v>
      </c>
      <c r="AH5" s="10">
        <v>0.16831507222987044</v>
      </c>
      <c r="AI5" t="s">
        <v>128</v>
      </c>
    </row>
    <row r="6" spans="1:35" x14ac:dyDescent="0.25">
      <c r="A6" s="8" t="s">
        <v>41</v>
      </c>
      <c r="B6" s="8" t="s">
        <v>42</v>
      </c>
      <c r="C6" s="8"/>
      <c r="D6" s="8"/>
      <c r="E6" s="8"/>
      <c r="F6" s="8" t="s">
        <v>29</v>
      </c>
      <c r="G6" s="8">
        <v>1</v>
      </c>
      <c r="H6" s="9">
        <v>3.677</v>
      </c>
      <c r="I6" s="10">
        <v>1.8204</v>
      </c>
      <c r="J6" s="10">
        <v>10</v>
      </c>
      <c r="K6" s="10">
        <f t="shared" si="4"/>
        <v>9.1246722531400817</v>
      </c>
      <c r="L6" s="10">
        <v>9.1159999999999997</v>
      </c>
      <c r="M6" s="8">
        <v>10</v>
      </c>
      <c r="N6" s="10"/>
      <c r="O6" s="10"/>
      <c r="P6" s="8" t="s">
        <v>43</v>
      </c>
      <c r="T6" s="12" t="str">
        <f t="shared" si="0"/>
        <v>Cal 5</v>
      </c>
      <c r="U6" s="8" t="str">
        <f t="shared" si="0"/>
        <v>x 10</v>
      </c>
      <c r="V6" s="8" t="str">
        <f t="shared" si="1"/>
        <v>17.11.2023</v>
      </c>
      <c r="W6" s="8">
        <f t="shared" si="1"/>
        <v>1</v>
      </c>
      <c r="X6" s="8">
        <f t="shared" si="2"/>
        <v>10</v>
      </c>
      <c r="Y6" s="10">
        <f t="shared" si="3"/>
        <v>3.677</v>
      </c>
      <c r="Z6" s="10">
        <f t="shared" si="3"/>
        <v>1.8204</v>
      </c>
      <c r="AA6" s="8">
        <f t="shared" si="3"/>
        <v>10</v>
      </c>
      <c r="AF6" t="s">
        <v>129</v>
      </c>
      <c r="AG6" s="10">
        <v>381.56090967108508</v>
      </c>
      <c r="AH6" s="10">
        <v>4</v>
      </c>
      <c r="AI6" t="s">
        <v>130</v>
      </c>
    </row>
    <row r="7" spans="1:35" x14ac:dyDescent="0.25">
      <c r="A7" s="8" t="s">
        <v>44</v>
      </c>
      <c r="B7" s="8" t="s">
        <v>45</v>
      </c>
      <c r="C7" s="8"/>
      <c r="D7" s="8"/>
      <c r="E7" s="8"/>
      <c r="F7" s="8" t="s">
        <v>29</v>
      </c>
      <c r="G7" s="8">
        <v>1</v>
      </c>
      <c r="H7" s="9">
        <v>3.68</v>
      </c>
      <c r="I7" s="10">
        <v>4.0427</v>
      </c>
      <c r="J7" s="10">
        <v>20</v>
      </c>
      <c r="K7" s="10">
        <f t="shared" si="4"/>
        <v>20.622001701094867</v>
      </c>
      <c r="L7" s="10">
        <v>20.629300000000001</v>
      </c>
      <c r="M7" s="8">
        <v>5</v>
      </c>
      <c r="N7" s="10"/>
      <c r="O7" s="10"/>
      <c r="P7" s="8" t="s">
        <v>46</v>
      </c>
      <c r="T7" s="12" t="str">
        <f t="shared" si="0"/>
        <v>Cal 6</v>
      </c>
      <c r="U7" s="8" t="str">
        <f t="shared" si="0"/>
        <v>x 5</v>
      </c>
      <c r="V7" s="8" t="str">
        <f t="shared" si="1"/>
        <v>17.11.2023</v>
      </c>
      <c r="W7" s="8">
        <f t="shared" si="1"/>
        <v>1</v>
      </c>
      <c r="X7" s="8">
        <f t="shared" si="2"/>
        <v>5</v>
      </c>
      <c r="Y7" s="10">
        <f t="shared" si="3"/>
        <v>3.68</v>
      </c>
      <c r="Z7" s="10">
        <f t="shared" si="3"/>
        <v>4.0427</v>
      </c>
      <c r="AA7" s="8">
        <f t="shared" si="3"/>
        <v>20</v>
      </c>
      <c r="AF7" t="s">
        <v>131</v>
      </c>
      <c r="AG7" s="10">
        <v>10.809606659174348</v>
      </c>
      <c r="AH7" s="10">
        <v>0.113319854158986</v>
      </c>
      <c r="AI7" t="s">
        <v>132</v>
      </c>
    </row>
    <row r="8" spans="1:35" x14ac:dyDescent="0.25">
      <c r="A8" s="8">
        <v>1</v>
      </c>
      <c r="B8" s="8" t="s">
        <v>47</v>
      </c>
      <c r="C8" s="8"/>
      <c r="D8" s="8"/>
      <c r="E8" s="8"/>
      <c r="F8" s="8" t="s">
        <v>29</v>
      </c>
      <c r="G8" s="8">
        <v>1</v>
      </c>
      <c r="H8" s="9">
        <v>3.677</v>
      </c>
      <c r="I8" s="10">
        <v>0.1019</v>
      </c>
      <c r="J8" s="10"/>
      <c r="K8" s="10">
        <f t="shared" si="4"/>
        <v>0.23381113793948038</v>
      </c>
      <c r="L8" s="10">
        <v>0.21279999999999999</v>
      </c>
      <c r="M8" s="8">
        <v>0</v>
      </c>
      <c r="N8" s="10"/>
      <c r="O8" s="10"/>
      <c r="P8" s="8" t="s">
        <v>30</v>
      </c>
      <c r="S8" s="6"/>
    </row>
    <row r="9" spans="1:35" x14ac:dyDescent="0.25">
      <c r="A9" s="8">
        <v>2</v>
      </c>
      <c r="B9" s="8" t="s">
        <v>48</v>
      </c>
      <c r="C9" s="8"/>
      <c r="D9" s="8"/>
      <c r="E9" s="8"/>
      <c r="F9" s="8" t="s">
        <v>29</v>
      </c>
      <c r="G9" s="8">
        <v>1</v>
      </c>
      <c r="H9" s="9">
        <v>3.673</v>
      </c>
      <c r="I9" s="10">
        <v>0.99099999999999999</v>
      </c>
      <c r="J9" s="10"/>
      <c r="K9" s="10">
        <f t="shared" si="4"/>
        <v>4.8336741682128901</v>
      </c>
      <c r="L9" s="10">
        <v>4.8190999999999997</v>
      </c>
      <c r="M9" s="8">
        <v>20</v>
      </c>
      <c r="N9" s="10"/>
      <c r="O9" s="10"/>
      <c r="P9" s="8" t="s">
        <v>49</v>
      </c>
    </row>
    <row r="10" spans="1:35" x14ac:dyDescent="0.25">
      <c r="A10" s="8">
        <v>3</v>
      </c>
      <c r="B10" s="8" t="s">
        <v>176</v>
      </c>
      <c r="C10" s="8">
        <v>20</v>
      </c>
      <c r="D10" s="8">
        <v>20</v>
      </c>
      <c r="E10" s="8" t="s">
        <v>75</v>
      </c>
      <c r="F10" s="8" t="s">
        <v>29</v>
      </c>
      <c r="G10" s="8">
        <v>1</v>
      </c>
      <c r="H10" s="9">
        <f>IFERROR(AVERAGE(AA36:AA38), "NA")</f>
        <v>3.669</v>
      </c>
      <c r="I10" s="10">
        <f>IFERROR(Y47, "NA")</f>
        <v>0.31739999999999996</v>
      </c>
      <c r="J10" s="10"/>
      <c r="K10" s="10">
        <f>IFERROR(Y48, "NA")</f>
        <v>1.348725639147353</v>
      </c>
      <c r="L10" s="10">
        <f>IFERROR(Y49, "NA")</f>
        <v>1.3294666666666668</v>
      </c>
      <c r="M10" s="8">
        <v>5</v>
      </c>
      <c r="N10" s="10">
        <f t="shared" ref="N10:N15" si="5">IF(H10="NA", "NA",M10*K10)</f>
        <v>6.7436281957367648</v>
      </c>
      <c r="O10" s="10">
        <f t="shared" ref="O10:O15" si="6">IF(H10="NA", "NA",M10*L10)</f>
        <v>6.647333333333334</v>
      </c>
      <c r="P10" s="8" t="s">
        <v>179</v>
      </c>
    </row>
    <row r="11" spans="1:35" x14ac:dyDescent="0.25">
      <c r="A11" s="8">
        <v>6</v>
      </c>
      <c r="B11" s="8" t="s">
        <v>177</v>
      </c>
      <c r="C11" s="8">
        <v>0</v>
      </c>
      <c r="D11" s="8">
        <v>10</v>
      </c>
      <c r="E11" s="8" t="s">
        <v>92</v>
      </c>
      <c r="F11" s="8" t="s">
        <v>29</v>
      </c>
      <c r="G11" s="8">
        <v>1</v>
      </c>
      <c r="H11" s="9">
        <f>IFERROR(AVERAGE(AA39:AA41), "NA")</f>
        <v>3.67</v>
      </c>
      <c r="I11" s="10">
        <f>IFERROR(Y50, "NA")</f>
        <v>0.41573333333333334</v>
      </c>
      <c r="J11" s="10"/>
      <c r="K11" s="10">
        <f>IFERROR(Y51, "NA")</f>
        <v>1.8574646613535755</v>
      </c>
      <c r="L11" s="10">
        <f>IFERROR(Y52, "NA")</f>
        <v>1.8387666666666667</v>
      </c>
      <c r="M11" s="8">
        <v>5</v>
      </c>
      <c r="N11" s="10">
        <f t="shared" si="5"/>
        <v>9.2873233067678775</v>
      </c>
      <c r="O11" s="10">
        <f t="shared" si="6"/>
        <v>9.193833333333334</v>
      </c>
      <c r="P11" s="8" t="s">
        <v>180</v>
      </c>
      <c r="S11" s="6" t="s">
        <v>133</v>
      </c>
      <c r="T11" s="14"/>
      <c r="U11" s="15" t="s">
        <v>134</v>
      </c>
      <c r="V11" s="16" t="s">
        <v>135</v>
      </c>
    </row>
    <row r="12" spans="1:35" x14ac:dyDescent="0.25">
      <c r="A12" s="26">
        <v>9</v>
      </c>
      <c r="B12" s="26" t="s">
        <v>178</v>
      </c>
      <c r="C12" s="26">
        <v>10</v>
      </c>
      <c r="D12" s="26">
        <v>90</v>
      </c>
      <c r="E12" s="26" t="s">
        <v>75</v>
      </c>
      <c r="F12" s="26" t="s">
        <v>29</v>
      </c>
      <c r="G12" s="26">
        <v>1</v>
      </c>
      <c r="H12" s="27">
        <f>IFERROR(AVERAGE(AA42:AA44), "NA")</f>
        <v>3.7210000000000001</v>
      </c>
      <c r="I12" s="28">
        <f>IFERROR(Y53, "NA")</f>
        <v>31.728499999999997</v>
      </c>
      <c r="J12" s="28"/>
      <c r="K12" s="28">
        <f>IFERROR(Y54, "NA")</f>
        <v>163.85773208411538</v>
      </c>
      <c r="L12" s="28">
        <f>IFERROR(Y55, "NA")</f>
        <v>164.0626</v>
      </c>
      <c r="M12" s="26">
        <v>5</v>
      </c>
      <c r="N12" s="28">
        <f t="shared" si="5"/>
        <v>819.28866042057689</v>
      </c>
      <c r="O12" s="28">
        <f t="shared" si="6"/>
        <v>820.31299999999999</v>
      </c>
      <c r="P12" s="26" t="s">
        <v>181</v>
      </c>
      <c r="T12" s="17" t="s">
        <v>136</v>
      </c>
      <c r="U12" s="10">
        <f xml:space="preserve"> AVERAGE(I8,I16,I31)+3*STDEV(I8,I16,I31)</f>
        <v>0.31748692449637117</v>
      </c>
      <c r="V12" s="10">
        <f xml:space="preserve"> AVERAGE((I8,I16,I31))+10*STDEV(I8,I16,I31)</f>
        <v>0.69677863721012623</v>
      </c>
    </row>
    <row r="13" spans="1:35" x14ac:dyDescent="0.25">
      <c r="A13" s="8">
        <v>12</v>
      </c>
      <c r="B13" s="8" t="s">
        <v>74</v>
      </c>
      <c r="C13" s="8">
        <v>0</v>
      </c>
      <c r="D13" s="8">
        <v>10</v>
      </c>
      <c r="E13" s="8" t="s">
        <v>75</v>
      </c>
      <c r="F13" s="8" t="s">
        <v>29</v>
      </c>
      <c r="G13" s="8">
        <v>1</v>
      </c>
      <c r="H13" s="9">
        <v>3.67</v>
      </c>
      <c r="I13" s="10">
        <v>0.54930000000000001</v>
      </c>
      <c r="J13" s="10"/>
      <c r="K13" s="10">
        <f t="shared" ref="K13:K18" si="7">IF(H13="NA", "NA", ((I13-($AH$3))/$AG$3))</f>
        <v>2.5484874620248741</v>
      </c>
      <c r="L13" s="10">
        <v>2.5310000000000001</v>
      </c>
      <c r="M13" s="8">
        <v>5</v>
      </c>
      <c r="N13" s="10">
        <f t="shared" si="5"/>
        <v>12.74243731012437</v>
      </c>
      <c r="O13" s="10">
        <f t="shared" si="6"/>
        <v>12.655000000000001</v>
      </c>
      <c r="P13" s="8" t="s">
        <v>76</v>
      </c>
      <c r="T13" s="17" t="s">
        <v>137</v>
      </c>
      <c r="U13" s="10">
        <f xml:space="preserve"> AVERAGE(K8,K16,K31)+3*STDEV(K8,K16,K31)</f>
        <v>1.3491753532147044</v>
      </c>
      <c r="V13" s="10">
        <f xml:space="preserve"> AVERAGE(K8,K16,K31)+10*STDEV(K8,K16,K31)</f>
        <v>3.3114854724376066</v>
      </c>
    </row>
    <row r="14" spans="1:35" x14ac:dyDescent="0.25">
      <c r="A14" s="8">
        <v>13</v>
      </c>
      <c r="B14" s="8" t="s">
        <v>77</v>
      </c>
      <c r="C14" s="8">
        <v>0</v>
      </c>
      <c r="D14" s="8">
        <v>20</v>
      </c>
      <c r="E14" s="8" t="s">
        <v>75</v>
      </c>
      <c r="F14" s="8" t="s">
        <v>29</v>
      </c>
      <c r="G14" s="8">
        <v>1</v>
      </c>
      <c r="H14" s="9">
        <v>3.67</v>
      </c>
      <c r="I14" s="10">
        <v>0.3871</v>
      </c>
      <c r="J14" s="10"/>
      <c r="K14" s="10">
        <f t="shared" si="7"/>
        <v>1.7093267562433567</v>
      </c>
      <c r="L14" s="10">
        <v>1.6904999999999999</v>
      </c>
      <c r="M14" s="8">
        <v>5</v>
      </c>
      <c r="N14" s="10">
        <f t="shared" si="5"/>
        <v>8.5466337812167836</v>
      </c>
      <c r="O14" s="10">
        <f t="shared" si="6"/>
        <v>8.4524999999999988</v>
      </c>
      <c r="P14" s="8" t="s">
        <v>78</v>
      </c>
      <c r="T14" s="17" t="s">
        <v>138</v>
      </c>
      <c r="U14" s="10">
        <f xml:space="preserve"> AVERAGE(L8,L16,L31)+3*STDEV(L8,L16,L31)</f>
        <v>1.3300985519275388</v>
      </c>
      <c r="V14" s="10">
        <f xml:space="preserve"> AVERAGE(L8,L16,L31)+10*STDEV(L8,L16,L31)</f>
        <v>3.2959285064251289</v>
      </c>
    </row>
    <row r="15" spans="1:35" x14ac:dyDescent="0.25">
      <c r="A15" s="8">
        <v>14</v>
      </c>
      <c r="B15" s="8" t="s">
        <v>79</v>
      </c>
      <c r="C15" s="8">
        <v>0</v>
      </c>
      <c r="D15" s="8">
        <v>30</v>
      </c>
      <c r="E15" s="8" t="s">
        <v>75</v>
      </c>
      <c r="F15" s="8" t="s">
        <v>29</v>
      </c>
      <c r="G15" s="8">
        <v>1</v>
      </c>
      <c r="H15" s="9">
        <v>3.6669999999999998</v>
      </c>
      <c r="I15" s="10">
        <v>0.33729999999999999</v>
      </c>
      <c r="J15" s="10"/>
      <c r="K15" s="10">
        <f t="shared" si="7"/>
        <v>1.451680620929426</v>
      </c>
      <c r="L15" s="10">
        <v>1.4323999999999999</v>
      </c>
      <c r="M15" s="8">
        <v>5</v>
      </c>
      <c r="N15" s="10">
        <f t="shared" si="5"/>
        <v>7.2584031046471296</v>
      </c>
      <c r="O15" s="10">
        <f t="shared" si="6"/>
        <v>7.161999999999999</v>
      </c>
      <c r="P15" s="8" t="s">
        <v>80</v>
      </c>
    </row>
    <row r="16" spans="1:35" x14ac:dyDescent="0.25">
      <c r="A16" s="8">
        <v>15</v>
      </c>
      <c r="B16" s="8" t="s">
        <v>28</v>
      </c>
      <c r="C16" s="8"/>
      <c r="D16" s="8"/>
      <c r="E16" s="8"/>
      <c r="F16" s="8" t="s">
        <v>29</v>
      </c>
      <c r="G16" s="8">
        <v>1</v>
      </c>
      <c r="H16" s="9">
        <v>3.6669999999999998</v>
      </c>
      <c r="I16" s="10">
        <v>0.1527</v>
      </c>
      <c r="J16" s="10"/>
      <c r="K16" s="10">
        <f t="shared" si="7"/>
        <v>0.49663089042838965</v>
      </c>
      <c r="L16" s="10">
        <v>0.47589999999999999</v>
      </c>
      <c r="M16" s="8">
        <v>0</v>
      </c>
      <c r="N16" s="10"/>
      <c r="O16" s="10"/>
      <c r="P16" s="8" t="s">
        <v>30</v>
      </c>
      <c r="S16" s="6" t="s">
        <v>139</v>
      </c>
      <c r="T16" s="7"/>
      <c r="U16" s="3" t="s">
        <v>140</v>
      </c>
      <c r="V16" s="3" t="s">
        <v>141</v>
      </c>
      <c r="W16" s="3" t="s">
        <v>142</v>
      </c>
      <c r="X16" s="3" t="s">
        <v>143</v>
      </c>
      <c r="Y16" s="7" t="s">
        <v>144</v>
      </c>
      <c r="Z16" s="3" t="s">
        <v>145</v>
      </c>
      <c r="AA16" s="3" t="s">
        <v>146</v>
      </c>
      <c r="AB16" s="3" t="s">
        <v>147</v>
      </c>
      <c r="AC16" s="3" t="s">
        <v>148</v>
      </c>
      <c r="AD16" s="3" t="s">
        <v>149</v>
      </c>
    </row>
    <row r="17" spans="1:30" x14ac:dyDescent="0.25">
      <c r="A17" s="23">
        <v>16</v>
      </c>
      <c r="B17" s="8" t="s">
        <v>48</v>
      </c>
      <c r="C17" s="8"/>
      <c r="D17" s="8"/>
      <c r="E17" s="8"/>
      <c r="F17" s="8" t="s">
        <v>29</v>
      </c>
      <c r="G17" s="8">
        <v>1</v>
      </c>
      <c r="H17" s="9">
        <v>3.67</v>
      </c>
      <c r="I17" s="10">
        <v>1.1040000000000001</v>
      </c>
      <c r="J17" s="10"/>
      <c r="K17" s="10">
        <f t="shared" si="7"/>
        <v>5.4182929089854648</v>
      </c>
      <c r="L17" s="10">
        <v>5.4046000000000003</v>
      </c>
      <c r="M17" s="8">
        <v>20</v>
      </c>
      <c r="N17" s="10"/>
      <c r="O17" s="10"/>
      <c r="P17" s="8" t="s">
        <v>49</v>
      </c>
      <c r="T17" s="17" t="s">
        <v>150</v>
      </c>
      <c r="U17" s="9">
        <f>AVERAGE(H2:H31)</f>
        <v>3.6714666666666678</v>
      </c>
      <c r="V17" s="9">
        <f>MEDIAN(H2:H31)</f>
        <v>3.67</v>
      </c>
      <c r="W17" s="9">
        <f>STDEV(H2:H31)</f>
        <v>9.9333410475940711E-3</v>
      </c>
      <c r="X17" s="9">
        <f>W17/U17*100</f>
        <v>0.27055512004995463</v>
      </c>
      <c r="Y17" s="9">
        <f>VAR(H2:H31)</f>
        <v>9.8671264367817288E-5</v>
      </c>
      <c r="Z17" s="9">
        <f>MAX(H2:H31)</f>
        <v>3.7210000000000001</v>
      </c>
      <c r="AA17" s="9">
        <f>MIN(H2:H31)</f>
        <v>3.6669999999999998</v>
      </c>
      <c r="AB17" s="9">
        <f>Z17-AA17</f>
        <v>5.400000000000027E-2</v>
      </c>
      <c r="AC17" s="9">
        <f>COUNT(H2:H31)</f>
        <v>30</v>
      </c>
      <c r="AD17" s="9">
        <f>W17/SQRT(AC17)</f>
        <v>1.8135716543864235E-3</v>
      </c>
    </row>
    <row r="18" spans="1:30" x14ac:dyDescent="0.25">
      <c r="A18" s="8">
        <v>17</v>
      </c>
      <c r="B18" s="8" t="s">
        <v>81</v>
      </c>
      <c r="C18" s="8">
        <v>0</v>
      </c>
      <c r="D18" s="8">
        <v>60</v>
      </c>
      <c r="E18" s="8" t="s">
        <v>75</v>
      </c>
      <c r="F18" s="8" t="s">
        <v>29</v>
      </c>
      <c r="G18" s="8">
        <v>1</v>
      </c>
      <c r="H18" s="9">
        <v>3.6669999999999998</v>
      </c>
      <c r="I18" s="10">
        <v>0.38519999999999999</v>
      </c>
      <c r="J18" s="10"/>
      <c r="K18" s="10">
        <f t="shared" si="7"/>
        <v>1.6994968836108975</v>
      </c>
      <c r="L18" s="10">
        <v>1.6803999999999999</v>
      </c>
      <c r="M18" s="8">
        <v>5</v>
      </c>
      <c r="N18" s="10">
        <f t="shared" ref="N18:N29" si="8">IF(H18="NA", "NA",M18*K18)</f>
        <v>8.4974844180544871</v>
      </c>
      <c r="O18" s="10">
        <f t="shared" ref="O18:O29" si="9">IF(H18="NA", "NA",M18*L18)</f>
        <v>8.4019999999999992</v>
      </c>
      <c r="P18" s="8" t="s">
        <v>82</v>
      </c>
      <c r="T18" s="17" t="s">
        <v>151</v>
      </c>
      <c r="U18" s="10">
        <f>AVERAGE(I9,I17,I30)</f>
        <v>1.1196666666666666</v>
      </c>
      <c r="V18" s="10">
        <f>MEDIAN(I9,I17,I30)</f>
        <v>1.1040000000000001</v>
      </c>
      <c r="W18" s="10">
        <f>STDEV(I9,I17,I30)</f>
        <v>0.13717264061515086</v>
      </c>
      <c r="X18" s="10">
        <f>W18/U18*100</f>
        <v>12.251203389266228</v>
      </c>
      <c r="Y18" s="10">
        <f>VAR(I9,I17,I30)</f>
        <v>1.8816333333333338E-2</v>
      </c>
      <c r="Z18" s="10">
        <f>MAX(I9,I17,I30)</f>
        <v>1.264</v>
      </c>
      <c r="AA18" s="10">
        <f>MIN(I9,I17,I30)</f>
        <v>0.99099999999999999</v>
      </c>
      <c r="AB18" s="10">
        <f>Z18-AA18</f>
        <v>0.27300000000000002</v>
      </c>
      <c r="AC18" s="10">
        <f>COUNT(I9,I17,I30)</f>
        <v>3</v>
      </c>
      <c r="AD18" s="10">
        <f>W18/SQRT(AC18)</f>
        <v>7.9196660984609146E-2</v>
      </c>
    </row>
    <row r="19" spans="1:30" x14ac:dyDescent="0.25">
      <c r="A19" s="8">
        <v>18</v>
      </c>
      <c r="B19" s="8" t="s">
        <v>83</v>
      </c>
      <c r="C19" s="8">
        <v>0</v>
      </c>
      <c r="D19" s="8">
        <v>70</v>
      </c>
      <c r="E19" s="8" t="s">
        <v>75</v>
      </c>
      <c r="F19" s="8" t="s">
        <v>29</v>
      </c>
      <c r="G19" s="8">
        <v>1</v>
      </c>
      <c r="H19" s="9">
        <v>3.67</v>
      </c>
      <c r="I19" s="10">
        <v>0.28100000000000003</v>
      </c>
      <c r="J19" s="10"/>
      <c r="K19" s="10">
        <f t="shared" ref="K19:K31" si="10">IF(H19="NA", "NA", ((I19-($AH$3))/$AG$3))</f>
        <v>1.1604059739781349</v>
      </c>
      <c r="L19" s="10">
        <v>1.1407</v>
      </c>
      <c r="M19" s="8">
        <v>5</v>
      </c>
      <c r="N19" s="10">
        <f t="shared" si="8"/>
        <v>5.8020298698906743</v>
      </c>
      <c r="O19" s="10">
        <f t="shared" si="9"/>
        <v>5.7035</v>
      </c>
      <c r="P19" s="8" t="s">
        <v>84</v>
      </c>
      <c r="T19" s="17" t="s">
        <v>153</v>
      </c>
      <c r="U19" s="10">
        <f>AVERAGE(K9,K17,K30)</f>
        <v>5.4993462447267945</v>
      </c>
      <c r="V19" s="10">
        <f>MEDIAN(K9,K17,K30)</f>
        <v>5.4182929089854648</v>
      </c>
      <c r="W19" s="10">
        <f>STDEV(K9,K17,K30)</f>
        <v>0.70967872942369969</v>
      </c>
      <c r="X19" s="10">
        <f>W19/U19*100</f>
        <v>12.90478354775707</v>
      </c>
      <c r="Y19" s="10">
        <f>VAR(K9,K17,K30)</f>
        <v>0.50364389899643669</v>
      </c>
      <c r="Z19" s="10">
        <f>MAX(K9,K17,K30)</f>
        <v>6.2460716569820285</v>
      </c>
      <c r="AA19" s="10">
        <f>MIN(K9,K17,K30)</f>
        <v>4.8336741682128901</v>
      </c>
      <c r="AB19" s="10">
        <f>Z19-AA19</f>
        <v>1.4123974887691384</v>
      </c>
      <c r="AC19" s="10">
        <f>COUNT(K9,K17,K30)</f>
        <v>3</v>
      </c>
      <c r="AD19" s="10">
        <f>W19/SQRT(AC19)</f>
        <v>0.40973320547092462</v>
      </c>
    </row>
    <row r="20" spans="1:30" x14ac:dyDescent="0.25">
      <c r="A20" s="8">
        <v>19</v>
      </c>
      <c r="B20" s="8" t="s">
        <v>85</v>
      </c>
      <c r="C20" s="8">
        <v>0</v>
      </c>
      <c r="D20" s="8">
        <v>80</v>
      </c>
      <c r="E20" s="8" t="s">
        <v>75</v>
      </c>
      <c r="F20" s="8" t="s">
        <v>29</v>
      </c>
      <c r="G20" s="8">
        <v>1</v>
      </c>
      <c r="H20" s="9">
        <v>3.67</v>
      </c>
      <c r="I20" s="10">
        <v>0.41060000000000002</v>
      </c>
      <c r="J20" s="10"/>
      <c r="K20" s="10">
        <f t="shared" si="10"/>
        <v>1.8309067598553523</v>
      </c>
      <c r="L20" s="10">
        <v>1.8122</v>
      </c>
      <c r="M20" s="8">
        <v>5</v>
      </c>
      <c r="N20" s="10">
        <f t="shared" si="8"/>
        <v>9.154533799276761</v>
      </c>
      <c r="O20" s="10">
        <f t="shared" si="9"/>
        <v>9.0609999999999999</v>
      </c>
      <c r="P20" s="8" t="s">
        <v>86</v>
      </c>
      <c r="T20" s="17" t="s">
        <v>154</v>
      </c>
      <c r="U20" s="10">
        <f>AVERAGE(L9,L17,L30)</f>
        <v>5.4858333333333329</v>
      </c>
      <c r="V20" s="10">
        <f>MEDIAN(L9,L17,L30)</f>
        <v>5.4046000000000003</v>
      </c>
      <c r="W20" s="10">
        <f>STDEV(L9,L17,L30)</f>
        <v>0.71083975925191978</v>
      </c>
      <c r="X20" s="10">
        <f>W20/U20*100</f>
        <v>12.957735243844809</v>
      </c>
      <c r="Y20" s="10">
        <f>VAR(L9,L17,L30)</f>
        <v>0.5052931633333273</v>
      </c>
      <c r="Z20" s="10">
        <f>MAX(L9,L17,L30)</f>
        <v>6.2337999999999996</v>
      </c>
      <c r="AA20" s="10">
        <f>MIN(L9,L17,L30)</f>
        <v>4.8190999999999997</v>
      </c>
      <c r="AB20" s="10">
        <f>Z20-AA20</f>
        <v>1.4146999999999998</v>
      </c>
      <c r="AC20" s="10">
        <f>COUNT(L9,L17,L30)</f>
        <v>3</v>
      </c>
      <c r="AD20" s="10">
        <f>W20/SQRT(AC20)</f>
        <v>0.41040352635478466</v>
      </c>
    </row>
    <row r="21" spans="1:30" x14ac:dyDescent="0.25">
      <c r="A21" s="8">
        <v>20</v>
      </c>
      <c r="B21" s="8" t="s">
        <v>87</v>
      </c>
      <c r="C21" s="8">
        <v>0</v>
      </c>
      <c r="D21" s="8">
        <v>90</v>
      </c>
      <c r="E21" s="8" t="s">
        <v>75</v>
      </c>
      <c r="F21" s="8" t="s">
        <v>29</v>
      </c>
      <c r="G21" s="8">
        <v>1</v>
      </c>
      <c r="H21" s="9">
        <v>3.6669999999999998</v>
      </c>
      <c r="I21" s="10">
        <v>0.50060000000000004</v>
      </c>
      <c r="J21" s="10"/>
      <c r="K21" s="10">
        <f t="shared" si="10"/>
        <v>2.2965323056034199</v>
      </c>
      <c r="L21" s="10">
        <v>2.2786</v>
      </c>
      <c r="M21" s="8">
        <v>5</v>
      </c>
      <c r="N21" s="10">
        <f t="shared" si="8"/>
        <v>11.4826615280171</v>
      </c>
      <c r="O21" s="10">
        <f t="shared" si="9"/>
        <v>11.393000000000001</v>
      </c>
      <c r="P21" s="8" t="s">
        <v>88</v>
      </c>
      <c r="T21" s="17" t="s">
        <v>155</v>
      </c>
      <c r="U21" s="10">
        <f>AVERAGE(I8,I16,I31)</f>
        <v>0.15493333333333334</v>
      </c>
      <c r="V21" s="10">
        <f>MEDIAN(I8,I16,I31)</f>
        <v>0.1527</v>
      </c>
      <c r="W21" s="10">
        <f>STDEV(I8,I16,I31)</f>
        <v>5.4184530387679286E-2</v>
      </c>
      <c r="X21" s="10">
        <f t="shared" ref="X21:X23" si="11">W21/U21*100</f>
        <v>34.972803606505558</v>
      </c>
      <c r="Y21" s="10">
        <f>VAR(I8,I16,I31)</f>
        <v>2.9359633333333399E-3</v>
      </c>
      <c r="Z21" s="10">
        <f>MAX(I8,I16,I31)</f>
        <v>0.2102</v>
      </c>
      <c r="AA21" s="10">
        <f>MIN(I8,I16,I31)</f>
        <v>0.1019</v>
      </c>
      <c r="AB21" s="10">
        <f t="shared" ref="AB21:AB23" si="12">Z21-AA21</f>
        <v>0.10829999999999999</v>
      </c>
      <c r="AC21" s="10">
        <f>COUNT(I8,I16,I31)</f>
        <v>3</v>
      </c>
      <c r="AD21" s="10">
        <f t="shared" ref="AD21:AD23" si="13">W21/SQRT(AC21)</f>
        <v>3.1283453205240092E-2</v>
      </c>
    </row>
    <row r="22" spans="1:30" x14ac:dyDescent="0.25">
      <c r="A22" s="8">
        <v>21</v>
      </c>
      <c r="B22" s="8" t="s">
        <v>89</v>
      </c>
      <c r="C22" s="8">
        <v>0</v>
      </c>
      <c r="D22" s="8">
        <v>100</v>
      </c>
      <c r="E22" s="8" t="s">
        <v>75</v>
      </c>
      <c r="F22" s="8" t="s">
        <v>29</v>
      </c>
      <c r="G22" s="8">
        <v>1</v>
      </c>
      <c r="H22" s="9">
        <v>3.67</v>
      </c>
      <c r="I22" s="10">
        <v>0.34460000000000002</v>
      </c>
      <c r="J22" s="10"/>
      <c r="K22" s="10">
        <f t="shared" si="10"/>
        <v>1.4894480263067693</v>
      </c>
      <c r="L22" s="10">
        <v>1.4705999999999999</v>
      </c>
      <c r="M22" s="8">
        <v>5</v>
      </c>
      <c r="N22" s="10">
        <f t="shared" si="8"/>
        <v>7.4472401315338468</v>
      </c>
      <c r="O22" s="10">
        <f t="shared" si="9"/>
        <v>7.3529999999999998</v>
      </c>
      <c r="P22" s="8" t="s">
        <v>90</v>
      </c>
      <c r="T22" s="17" t="s">
        <v>156</v>
      </c>
      <c r="U22" s="10">
        <f>AVERAGE(K8,K16,K31)</f>
        <v>0.50818530211917501</v>
      </c>
      <c r="V22" s="10">
        <f>MEDIAN(K8,K16,K31)</f>
        <v>0.49663089042838965</v>
      </c>
      <c r="W22" s="10">
        <f>STDEV(K8,K16,K31)</f>
        <v>0.28033001703184313</v>
      </c>
      <c r="X22" s="10">
        <f t="shared" si="11"/>
        <v>55.162952541689734</v>
      </c>
      <c r="Y22" s="10">
        <f>VAR(K8,K16,K31)</f>
        <v>7.8584918449073449E-2</v>
      </c>
      <c r="Z22" s="10">
        <f>MAX(K8,K16,K31)</f>
        <v>0.79411387798965505</v>
      </c>
      <c r="AA22" s="10">
        <f>MIN(K8,K16,K31)</f>
        <v>0.23381113793948038</v>
      </c>
      <c r="AB22" s="10">
        <f t="shared" si="12"/>
        <v>0.56030274005017466</v>
      </c>
      <c r="AC22" s="10">
        <f>COUNT(K8,K16,K31)</f>
        <v>3</v>
      </c>
      <c r="AD22" s="10">
        <f t="shared" si="13"/>
        <v>0.16184861079526702</v>
      </c>
    </row>
    <row r="23" spans="1:30" x14ac:dyDescent="0.25">
      <c r="A23" s="8">
        <v>22</v>
      </c>
      <c r="B23" s="8" t="s">
        <v>91</v>
      </c>
      <c r="C23" s="8">
        <v>0</v>
      </c>
      <c r="D23" s="8">
        <v>60</v>
      </c>
      <c r="E23" s="8" t="s">
        <v>92</v>
      </c>
      <c r="F23" s="8" t="s">
        <v>29</v>
      </c>
      <c r="G23" s="8">
        <v>1</v>
      </c>
      <c r="H23" s="9">
        <v>3.6669999999999998</v>
      </c>
      <c r="I23" s="10">
        <v>0.24779999999999999</v>
      </c>
      <c r="J23" s="10"/>
      <c r="K23" s="10">
        <f t="shared" si="10"/>
        <v>0.98864188376884765</v>
      </c>
      <c r="L23" s="10">
        <v>0.96870000000000001</v>
      </c>
      <c r="M23" s="8">
        <v>5</v>
      </c>
      <c r="N23" s="10">
        <f t="shared" si="8"/>
        <v>4.9432094188442379</v>
      </c>
      <c r="O23" s="10">
        <f t="shared" si="9"/>
        <v>4.8434999999999997</v>
      </c>
      <c r="P23" s="8" t="s">
        <v>93</v>
      </c>
      <c r="T23" s="17" t="s">
        <v>157</v>
      </c>
      <c r="U23" s="10">
        <f>AVERAGE(L8,L16,L31)</f>
        <v>0.48760000000000003</v>
      </c>
      <c r="V23" s="10">
        <f>MEDIAN(L8,L16,L31)</f>
        <v>0.47589999999999999</v>
      </c>
      <c r="W23" s="10">
        <f>STDEV(L8,L16,L31)</f>
        <v>0.2808328506425129</v>
      </c>
      <c r="X23" s="10">
        <f t="shared" si="11"/>
        <v>57.594924249900103</v>
      </c>
      <c r="Y23" s="10">
        <f>VAR(L8,L16,L31)</f>
        <v>7.8867089999999973E-2</v>
      </c>
      <c r="Z23" s="10">
        <f>MAX(L8,L16,L31)</f>
        <v>0.77410000000000001</v>
      </c>
      <c r="AA23" s="10">
        <f>MIN(L8,L16,L31)</f>
        <v>0.21279999999999999</v>
      </c>
      <c r="AB23" s="10">
        <f t="shared" si="12"/>
        <v>0.56130000000000002</v>
      </c>
      <c r="AC23" s="10">
        <f>COUNT(L8,L16,L31)</f>
        <v>3</v>
      </c>
      <c r="AD23" s="10">
        <f t="shared" si="13"/>
        <v>0.1621389219157448</v>
      </c>
    </row>
    <row r="24" spans="1:30" x14ac:dyDescent="0.25">
      <c r="A24" s="8">
        <v>23</v>
      </c>
      <c r="B24" s="8" t="s">
        <v>94</v>
      </c>
      <c r="C24" s="8">
        <v>0</v>
      </c>
      <c r="D24" s="8">
        <v>100</v>
      </c>
      <c r="E24" s="8" t="s">
        <v>92</v>
      </c>
      <c r="F24" s="8" t="s">
        <v>29</v>
      </c>
      <c r="G24" s="8">
        <v>1</v>
      </c>
      <c r="H24" s="9">
        <v>3.6669999999999998</v>
      </c>
      <c r="I24" s="10">
        <v>0.37469999999999998</v>
      </c>
      <c r="J24" s="10"/>
      <c r="K24" s="10">
        <f t="shared" si="10"/>
        <v>1.6451739032736228</v>
      </c>
      <c r="L24" s="10">
        <v>1.6265000000000001</v>
      </c>
      <c r="M24" s="8">
        <v>5</v>
      </c>
      <c r="N24" s="10">
        <f t="shared" si="8"/>
        <v>8.2258695163681139</v>
      </c>
      <c r="O24" s="10">
        <f t="shared" si="9"/>
        <v>8.1325000000000003</v>
      </c>
      <c r="P24" s="8" t="s">
        <v>95</v>
      </c>
    </row>
    <row r="25" spans="1:30" x14ac:dyDescent="0.25">
      <c r="A25" s="8">
        <v>24</v>
      </c>
      <c r="B25" s="8" t="s">
        <v>96</v>
      </c>
      <c r="C25" s="8">
        <v>10</v>
      </c>
      <c r="D25" s="8">
        <v>0</v>
      </c>
      <c r="E25" s="8" t="s">
        <v>75</v>
      </c>
      <c r="F25" s="8" t="s">
        <v>29</v>
      </c>
      <c r="G25" s="8">
        <v>1</v>
      </c>
      <c r="H25" s="9">
        <v>3.6669999999999998</v>
      </c>
      <c r="I25" s="10">
        <v>0.4274</v>
      </c>
      <c r="J25" s="10"/>
      <c r="K25" s="10">
        <f t="shared" si="10"/>
        <v>1.9178235283949914</v>
      </c>
      <c r="L25" s="10">
        <v>1.8993</v>
      </c>
      <c r="M25" s="8">
        <v>5</v>
      </c>
      <c r="N25" s="10">
        <f t="shared" si="8"/>
        <v>9.5891176419749566</v>
      </c>
      <c r="O25" s="10">
        <f t="shared" si="9"/>
        <v>9.4964999999999993</v>
      </c>
      <c r="P25" s="8" t="s">
        <v>97</v>
      </c>
      <c r="T25" s="19"/>
    </row>
    <row r="26" spans="1:30" x14ac:dyDescent="0.25">
      <c r="A26" s="8">
        <v>25</v>
      </c>
      <c r="B26" s="8" t="s">
        <v>98</v>
      </c>
      <c r="C26" s="8">
        <v>10</v>
      </c>
      <c r="D26" s="8">
        <v>60</v>
      </c>
      <c r="E26" s="8" t="s">
        <v>75</v>
      </c>
      <c r="F26" s="8" t="s">
        <v>29</v>
      </c>
      <c r="G26" s="8">
        <v>1</v>
      </c>
      <c r="H26" s="9">
        <v>3.6669999999999998</v>
      </c>
      <c r="I26" s="10">
        <v>0.43190000000000001</v>
      </c>
      <c r="J26" s="10"/>
      <c r="K26" s="10">
        <f t="shared" si="10"/>
        <v>1.9411048056823947</v>
      </c>
      <c r="L26" s="10">
        <v>1.9226000000000001</v>
      </c>
      <c r="M26" s="8">
        <v>5</v>
      </c>
      <c r="N26" s="10">
        <f t="shared" si="8"/>
        <v>9.7055240284119737</v>
      </c>
      <c r="O26" s="10">
        <f t="shared" si="9"/>
        <v>9.6129999999999995</v>
      </c>
      <c r="P26" s="8" t="s">
        <v>99</v>
      </c>
      <c r="T26" s="11"/>
      <c r="U26" s="3" t="s">
        <v>158</v>
      </c>
      <c r="V26" s="3" t="s">
        <v>159</v>
      </c>
      <c r="W26" s="3" t="s">
        <v>160</v>
      </c>
      <c r="X26" s="3" t="s">
        <v>161</v>
      </c>
      <c r="Y26" s="3" t="s">
        <v>162</v>
      </c>
      <c r="Z26" s="3" t="s">
        <v>163</v>
      </c>
      <c r="AA26" s="3" t="s">
        <v>164</v>
      </c>
    </row>
    <row r="27" spans="1:30" ht="45" x14ac:dyDescent="0.25">
      <c r="A27" s="8">
        <v>26</v>
      </c>
      <c r="B27" s="8" t="s">
        <v>100</v>
      </c>
      <c r="C27" s="8">
        <v>10</v>
      </c>
      <c r="D27" s="8">
        <v>70</v>
      </c>
      <c r="E27" s="8" t="s">
        <v>75</v>
      </c>
      <c r="F27" s="8" t="s">
        <v>29</v>
      </c>
      <c r="G27" s="8">
        <v>1</v>
      </c>
      <c r="H27" s="9">
        <v>3.6669999999999998</v>
      </c>
      <c r="I27" s="10">
        <v>0.40179999999999999</v>
      </c>
      <c r="J27" s="10"/>
      <c r="K27" s="10">
        <f t="shared" si="10"/>
        <v>1.785378928715541</v>
      </c>
      <c r="L27" s="10">
        <v>1.7667999999999999</v>
      </c>
      <c r="M27" s="8">
        <v>5</v>
      </c>
      <c r="N27" s="10">
        <f t="shared" si="8"/>
        <v>8.9268946435777057</v>
      </c>
      <c r="O27" s="10">
        <f t="shared" si="9"/>
        <v>8.8339999999999996</v>
      </c>
      <c r="P27" s="8" t="s">
        <v>101</v>
      </c>
      <c r="T27" s="20" t="s">
        <v>165</v>
      </c>
      <c r="U27" s="21">
        <f>K5</f>
        <v>4.3789132185322774</v>
      </c>
      <c r="V27" s="21">
        <f>L5</f>
        <v>4.3638000000000003</v>
      </c>
      <c r="W27" s="22">
        <v>100</v>
      </c>
      <c r="X27" s="22">
        <v>1</v>
      </c>
      <c r="Y27" s="21">
        <f>W27/(20)</f>
        <v>5</v>
      </c>
      <c r="Z27" s="21">
        <f>V27/Y27 *100</f>
        <v>87.27600000000001</v>
      </c>
      <c r="AA27" s="21">
        <f>U27/Y27 *100</f>
        <v>87.578264370645556</v>
      </c>
    </row>
    <row r="28" spans="1:30" ht="45" x14ac:dyDescent="0.25">
      <c r="A28" s="8">
        <v>27</v>
      </c>
      <c r="B28" s="8" t="s">
        <v>102</v>
      </c>
      <c r="C28" s="8">
        <v>10</v>
      </c>
      <c r="D28" s="8">
        <v>10</v>
      </c>
      <c r="E28" s="8" t="s">
        <v>92</v>
      </c>
      <c r="F28" s="8" t="s">
        <v>29</v>
      </c>
      <c r="G28" s="8">
        <v>1</v>
      </c>
      <c r="H28" s="9">
        <v>3.67</v>
      </c>
      <c r="I28" s="10">
        <v>0.37059999999999998</v>
      </c>
      <c r="J28" s="10"/>
      <c r="K28" s="10">
        <f t="shared" si="10"/>
        <v>1.623962072856211</v>
      </c>
      <c r="L28" s="10">
        <v>1.605</v>
      </c>
      <c r="M28" s="8">
        <v>5</v>
      </c>
      <c r="N28" s="10">
        <f t="shared" si="8"/>
        <v>8.1198103642810544</v>
      </c>
      <c r="O28" s="10">
        <f t="shared" si="9"/>
        <v>8.0250000000000004</v>
      </c>
      <c r="P28" s="8" t="s">
        <v>103</v>
      </c>
      <c r="T28" s="20" t="s">
        <v>166</v>
      </c>
      <c r="U28" s="21">
        <f>U19</f>
        <v>5.4993462447267945</v>
      </c>
      <c r="V28" s="21">
        <f>U20</f>
        <v>5.4858333333333329</v>
      </c>
      <c r="W28" s="22">
        <v>100</v>
      </c>
      <c r="X28" s="22">
        <v>1</v>
      </c>
      <c r="Y28" s="21">
        <f>W28/(20)</f>
        <v>5</v>
      </c>
      <c r="Z28" s="21">
        <f>V28/Y28 *100</f>
        <v>109.71666666666667</v>
      </c>
      <c r="AA28" s="21">
        <f>U28/Y28 *100</f>
        <v>109.9869248945359</v>
      </c>
    </row>
    <row r="29" spans="1:30" x14ac:dyDescent="0.25">
      <c r="A29" s="8">
        <v>28</v>
      </c>
      <c r="B29" s="8" t="s">
        <v>104</v>
      </c>
      <c r="C29" s="8">
        <v>10</v>
      </c>
      <c r="D29" s="8">
        <v>50</v>
      </c>
      <c r="E29" s="8" t="s">
        <v>92</v>
      </c>
      <c r="F29" s="8" t="s">
        <v>29</v>
      </c>
      <c r="G29" s="8">
        <v>1</v>
      </c>
      <c r="H29" s="9">
        <v>3.6669999999999998</v>
      </c>
      <c r="I29" s="10">
        <v>0.34029999999999999</v>
      </c>
      <c r="J29" s="10"/>
      <c r="K29" s="10">
        <f t="shared" si="10"/>
        <v>1.4672014724543616</v>
      </c>
      <c r="L29" s="10">
        <v>1.4482999999999999</v>
      </c>
      <c r="M29" s="8">
        <v>5</v>
      </c>
      <c r="N29" s="10">
        <f t="shared" si="8"/>
        <v>7.3360073622718076</v>
      </c>
      <c r="O29" s="10">
        <f t="shared" si="9"/>
        <v>7.2414999999999994</v>
      </c>
      <c r="P29" s="8" t="s">
        <v>105</v>
      </c>
    </row>
    <row r="30" spans="1:30" x14ac:dyDescent="0.25">
      <c r="A30" s="8">
        <v>29</v>
      </c>
      <c r="B30" s="8" t="s">
        <v>48</v>
      </c>
      <c r="C30" s="8"/>
      <c r="D30" s="8"/>
      <c r="E30" s="8"/>
      <c r="F30" s="8" t="s">
        <v>29</v>
      </c>
      <c r="G30" s="8">
        <v>1</v>
      </c>
      <c r="H30" s="9">
        <v>3.67</v>
      </c>
      <c r="I30" s="10">
        <v>1.264</v>
      </c>
      <c r="J30" s="10"/>
      <c r="K30" s="10">
        <f t="shared" si="10"/>
        <v>6.2460716569820285</v>
      </c>
      <c r="L30" s="10">
        <v>6.2337999999999996</v>
      </c>
      <c r="M30" s="8">
        <v>20</v>
      </c>
      <c r="N30" s="10"/>
      <c r="O30" s="8"/>
      <c r="P30" s="8" t="s">
        <v>49</v>
      </c>
    </row>
    <row r="31" spans="1:30" x14ac:dyDescent="0.25">
      <c r="A31" s="8">
        <v>30</v>
      </c>
      <c r="B31" s="8" t="s">
        <v>28</v>
      </c>
      <c r="C31" s="8"/>
      <c r="D31" s="8"/>
      <c r="E31" s="8"/>
      <c r="F31" s="8" t="s">
        <v>29</v>
      </c>
      <c r="G31" s="8">
        <v>1</v>
      </c>
      <c r="H31" s="9">
        <v>3.6669999999999998</v>
      </c>
      <c r="I31" s="10">
        <v>0.2102</v>
      </c>
      <c r="J31" s="10"/>
      <c r="K31" s="10">
        <f t="shared" si="10"/>
        <v>0.79411387798965505</v>
      </c>
      <c r="L31" s="10">
        <v>0.77410000000000001</v>
      </c>
      <c r="M31" s="8">
        <v>0</v>
      </c>
      <c r="N31" s="10"/>
      <c r="O31" s="8"/>
      <c r="P31" s="8" t="s">
        <v>30</v>
      </c>
      <c r="T31" s="8"/>
      <c r="U31" s="3" t="s">
        <v>167</v>
      </c>
      <c r="V31" s="3" t="s">
        <v>168</v>
      </c>
      <c r="W31" s="3" t="s">
        <v>169</v>
      </c>
      <c r="X31" s="3" t="s">
        <v>170</v>
      </c>
      <c r="Y31" s="3" t="s">
        <v>171</v>
      </c>
      <c r="Z31" s="3" t="s">
        <v>172</v>
      </c>
      <c r="AA31" s="3" t="s">
        <v>173</v>
      </c>
      <c r="AB31" s="3" t="s">
        <v>163</v>
      </c>
      <c r="AC31" s="3" t="s">
        <v>164</v>
      </c>
    </row>
    <row r="32" spans="1:30" x14ac:dyDescent="0.25">
      <c r="T32" s="17" t="s">
        <v>174</v>
      </c>
      <c r="U32" s="10">
        <f>I5</f>
        <v>0.90310000000000001</v>
      </c>
      <c r="V32" s="10">
        <f>U18</f>
        <v>1.1196666666666666</v>
      </c>
      <c r="W32" s="10">
        <f>K5</f>
        <v>4.3789132185322774</v>
      </c>
      <c r="X32" s="10">
        <f>L5</f>
        <v>4.3638000000000003</v>
      </c>
      <c r="Y32" s="10">
        <f>U19</f>
        <v>5.4993462447267945</v>
      </c>
      <c r="Z32" s="10">
        <f>U20</f>
        <v>5.4858333333333329</v>
      </c>
      <c r="AA32" s="10">
        <f>U32/V32 *100</f>
        <v>80.65793390890147</v>
      </c>
      <c r="AB32" s="10">
        <f>W32/Y32 *100</f>
        <v>79.626068693731071</v>
      </c>
      <c r="AC32" s="10">
        <f>X32/Z32 *100</f>
        <v>79.546711225884863</v>
      </c>
    </row>
    <row r="35" spans="19:34" x14ac:dyDescent="0.25">
      <c r="S35" s="6" t="s">
        <v>175</v>
      </c>
      <c r="T35" s="3" t="s">
        <v>13</v>
      </c>
      <c r="U35" s="3" t="s">
        <v>14</v>
      </c>
      <c r="V35" s="3" t="s">
        <v>15</v>
      </c>
      <c r="W35" s="3" t="s">
        <v>16</v>
      </c>
      <c r="X35" s="3" t="s">
        <v>17</v>
      </c>
      <c r="Y35" s="3" t="s">
        <v>18</v>
      </c>
      <c r="Z35" s="3" t="s">
        <v>19</v>
      </c>
      <c r="AA35" s="4" t="s">
        <v>21</v>
      </c>
      <c r="AB35" s="4" t="s">
        <v>22</v>
      </c>
      <c r="AC35" s="4" t="s">
        <v>115</v>
      </c>
      <c r="AD35" s="4" t="s">
        <v>116</v>
      </c>
    </row>
    <row r="36" spans="19:34" x14ac:dyDescent="0.25">
      <c r="T36" s="8">
        <v>3</v>
      </c>
      <c r="U36" s="8" t="s">
        <v>50</v>
      </c>
      <c r="V36" s="8">
        <v>20</v>
      </c>
      <c r="W36" s="8">
        <v>20</v>
      </c>
      <c r="X36" s="8" t="s">
        <v>51</v>
      </c>
      <c r="Y36" s="8" t="s">
        <v>29</v>
      </c>
      <c r="Z36" s="8">
        <v>1</v>
      </c>
      <c r="AA36" s="8">
        <v>3.67</v>
      </c>
      <c r="AB36" s="8">
        <v>0.29649999999999999</v>
      </c>
      <c r="AC36" s="10">
        <f>IF(AA36="NA", "NA", ((AB36-($AH$3))/$AG$3))</f>
        <v>1.2405970401903019</v>
      </c>
      <c r="AD36" s="8">
        <v>1.2211000000000001</v>
      </c>
    </row>
    <row r="37" spans="19:34" x14ac:dyDescent="0.25">
      <c r="T37" s="8">
        <v>4</v>
      </c>
      <c r="U37" s="8" t="s">
        <v>53</v>
      </c>
      <c r="V37" s="8">
        <v>20</v>
      </c>
      <c r="W37" s="8">
        <v>20</v>
      </c>
      <c r="X37" s="8" t="s">
        <v>54</v>
      </c>
      <c r="Y37" s="8" t="s">
        <v>29</v>
      </c>
      <c r="Z37" s="8">
        <v>1</v>
      </c>
      <c r="AA37" s="8">
        <v>3.67</v>
      </c>
      <c r="AB37" s="8">
        <v>0.32229999999999998</v>
      </c>
      <c r="AC37" s="10">
        <f t="shared" ref="AC37:AC44" si="14">IF(AA37="NA", "NA", ((AB37-($AH$3))/$AG$3))</f>
        <v>1.3740763633047479</v>
      </c>
      <c r="AD37" s="8">
        <v>1.3549</v>
      </c>
    </row>
    <row r="38" spans="19:34" x14ac:dyDescent="0.25">
      <c r="T38" s="8">
        <v>5</v>
      </c>
      <c r="U38" s="8" t="s">
        <v>56</v>
      </c>
      <c r="V38" s="8">
        <v>20</v>
      </c>
      <c r="W38" s="8">
        <v>20</v>
      </c>
      <c r="X38" s="8" t="s">
        <v>57</v>
      </c>
      <c r="Y38" s="8" t="s">
        <v>29</v>
      </c>
      <c r="Z38" s="8">
        <v>1</v>
      </c>
      <c r="AA38" s="8">
        <v>3.6669999999999998</v>
      </c>
      <c r="AB38" s="8">
        <v>0.33339999999999997</v>
      </c>
      <c r="AC38" s="10">
        <f t="shared" si="14"/>
        <v>1.4315035139470096</v>
      </c>
      <c r="AD38" s="8">
        <v>1.4124000000000001</v>
      </c>
    </row>
    <row r="39" spans="19:34" x14ac:dyDescent="0.25">
      <c r="T39" s="8">
        <v>6</v>
      </c>
      <c r="U39" s="8" t="s">
        <v>59</v>
      </c>
      <c r="V39" s="8">
        <v>0</v>
      </c>
      <c r="W39" s="8">
        <v>10</v>
      </c>
      <c r="X39" s="8" t="s">
        <v>60</v>
      </c>
      <c r="Y39" s="8" t="s">
        <v>29</v>
      </c>
      <c r="Z39" s="8">
        <v>1</v>
      </c>
      <c r="AA39" s="8">
        <v>3.67</v>
      </c>
      <c r="AB39" s="8">
        <v>0.41220000000000001</v>
      </c>
      <c r="AC39" s="10">
        <f t="shared" si="14"/>
        <v>1.8391845473353179</v>
      </c>
      <c r="AD39" s="8">
        <v>1.8205</v>
      </c>
    </row>
    <row r="40" spans="19:34" x14ac:dyDescent="0.25">
      <c r="T40" s="8">
        <v>7</v>
      </c>
      <c r="U40" s="8" t="s">
        <v>62</v>
      </c>
      <c r="V40" s="8">
        <v>0</v>
      </c>
      <c r="W40" s="8">
        <v>10</v>
      </c>
      <c r="X40" s="8" t="s">
        <v>63</v>
      </c>
      <c r="Y40" s="8" t="s">
        <v>29</v>
      </c>
      <c r="Z40" s="8">
        <v>1</v>
      </c>
      <c r="AA40" s="8">
        <v>3.67</v>
      </c>
      <c r="AB40" s="8">
        <v>0.41610000000000003</v>
      </c>
      <c r="AC40" s="10">
        <f t="shared" si="14"/>
        <v>1.8593616543177343</v>
      </c>
      <c r="AD40" s="8">
        <v>1.8407</v>
      </c>
    </row>
    <row r="41" spans="19:34" x14ac:dyDescent="0.25">
      <c r="T41" s="8">
        <v>8</v>
      </c>
      <c r="U41" s="8" t="s">
        <v>65</v>
      </c>
      <c r="V41" s="8">
        <v>0</v>
      </c>
      <c r="W41" s="8">
        <v>10</v>
      </c>
      <c r="X41" s="8" t="s">
        <v>66</v>
      </c>
      <c r="Y41" s="8" t="s">
        <v>29</v>
      </c>
      <c r="Z41" s="8">
        <v>1</v>
      </c>
      <c r="AA41" s="8">
        <v>3.67</v>
      </c>
      <c r="AB41" s="8">
        <v>0.41889999999999999</v>
      </c>
      <c r="AC41" s="10">
        <f t="shared" si="14"/>
        <v>1.8738477824076738</v>
      </c>
      <c r="AD41" s="8">
        <v>1.8551</v>
      </c>
    </row>
    <row r="42" spans="19:34" x14ac:dyDescent="0.25">
      <c r="T42" s="8">
        <v>9</v>
      </c>
      <c r="U42" s="8" t="s">
        <v>68</v>
      </c>
      <c r="V42" s="8">
        <v>10</v>
      </c>
      <c r="W42" s="8">
        <v>90</v>
      </c>
      <c r="X42" s="8" t="s">
        <v>51</v>
      </c>
      <c r="Y42" s="8" t="s">
        <v>29</v>
      </c>
      <c r="Z42" s="8">
        <v>1</v>
      </c>
      <c r="AA42" s="8">
        <v>3.72</v>
      </c>
      <c r="AB42" s="8">
        <v>31.548200000000001</v>
      </c>
      <c r="AC42" s="10">
        <f t="shared" si="14"/>
        <v>162.92492890746678</v>
      </c>
      <c r="AD42" s="8">
        <v>163.12860000000001</v>
      </c>
    </row>
    <row r="43" spans="19:34" x14ac:dyDescent="0.25">
      <c r="T43" s="8">
        <v>10</v>
      </c>
      <c r="U43" s="8" t="s">
        <v>70</v>
      </c>
      <c r="V43" s="8">
        <v>10</v>
      </c>
      <c r="W43" s="8">
        <v>90</v>
      </c>
      <c r="X43" s="8" t="s">
        <v>54</v>
      </c>
      <c r="Y43" s="8" t="s">
        <v>29</v>
      </c>
      <c r="Z43" s="8">
        <v>1</v>
      </c>
      <c r="AA43" s="8">
        <v>3.7229999999999999</v>
      </c>
      <c r="AB43" s="8">
        <v>31.760400000000001</v>
      </c>
      <c r="AC43" s="10">
        <f t="shared" si="14"/>
        <v>164.02277047199723</v>
      </c>
      <c r="AD43" s="8">
        <v>164.22790000000001</v>
      </c>
    </row>
    <row r="44" spans="19:34" x14ac:dyDescent="0.25">
      <c r="T44" s="8">
        <v>11</v>
      </c>
      <c r="U44" s="8" t="s">
        <v>72</v>
      </c>
      <c r="V44" s="8">
        <v>10</v>
      </c>
      <c r="W44" s="8">
        <v>90</v>
      </c>
      <c r="X44" s="8" t="s">
        <v>57</v>
      </c>
      <c r="Y44" s="8" t="s">
        <v>29</v>
      </c>
      <c r="Z44" s="8">
        <v>1</v>
      </c>
      <c r="AA44" s="8">
        <v>3.72</v>
      </c>
      <c r="AB44" s="8">
        <v>31.876899999999999</v>
      </c>
      <c r="AC44" s="10">
        <f t="shared" si="14"/>
        <v>164.62549687288222</v>
      </c>
      <c r="AD44" s="8">
        <v>164.8313</v>
      </c>
    </row>
    <row r="46" spans="19:34" x14ac:dyDescent="0.25">
      <c r="T46" s="7"/>
      <c r="U46" s="3" t="s">
        <v>14</v>
      </c>
      <c r="V46" s="3" t="s">
        <v>15</v>
      </c>
      <c r="W46" s="3" t="s">
        <v>16</v>
      </c>
      <c r="X46" s="3" t="s">
        <v>17</v>
      </c>
      <c r="Y46" s="3" t="s">
        <v>140</v>
      </c>
      <c r="Z46" s="3" t="s">
        <v>141</v>
      </c>
      <c r="AA46" s="3" t="s">
        <v>142</v>
      </c>
      <c r="AB46" s="3" t="s">
        <v>143</v>
      </c>
      <c r="AC46" s="7" t="s">
        <v>144</v>
      </c>
      <c r="AD46" s="3" t="s">
        <v>145</v>
      </c>
      <c r="AE46" s="3" t="s">
        <v>146</v>
      </c>
      <c r="AF46" s="3" t="s">
        <v>147</v>
      </c>
      <c r="AG46" s="3" t="s">
        <v>148</v>
      </c>
      <c r="AH46" s="3" t="s">
        <v>149</v>
      </c>
    </row>
    <row r="47" spans="19:34" x14ac:dyDescent="0.25">
      <c r="T47" s="4" t="s">
        <v>22</v>
      </c>
      <c r="U47" s="8" t="s">
        <v>176</v>
      </c>
      <c r="V47" s="8">
        <v>20</v>
      </c>
      <c r="W47" s="8">
        <v>20</v>
      </c>
      <c r="X47" s="8" t="s">
        <v>75</v>
      </c>
      <c r="Y47" s="9">
        <f>AVERAGE(AB36:AB38)</f>
        <v>0.31739999999999996</v>
      </c>
      <c r="Z47" s="9">
        <f>MEDIAN(AB36:AB38)</f>
        <v>0.32229999999999998</v>
      </c>
      <c r="AA47" s="9">
        <f>STDEV(AB36:AB38)</f>
        <v>1.8931719414781105E-2</v>
      </c>
      <c r="AB47" s="9">
        <f t="shared" ref="AB47:AB55" si="15">AA47/Y47*100</f>
        <v>5.9646248943859819</v>
      </c>
      <c r="AC47" s="9">
        <f>VAR(AB36:AB38)</f>
        <v>3.5840999999999976E-4</v>
      </c>
      <c r="AD47" s="9">
        <f>MAX(AB36:AB38)</f>
        <v>0.33339999999999997</v>
      </c>
      <c r="AE47" s="9">
        <f>MIN(AB36:AB38)</f>
        <v>0.29649999999999999</v>
      </c>
      <c r="AF47" s="9">
        <f t="shared" ref="AF47:AF55" si="16">AD47-AE47</f>
        <v>3.6899999999999988E-2</v>
      </c>
      <c r="AG47" s="9">
        <f>COUNT(AB36:AB38)</f>
        <v>3</v>
      </c>
      <c r="AH47" s="9">
        <f t="shared" ref="AH47:AH55" si="17">AA47/SQRT(AG47)</f>
        <v>1.0930233300346336E-2</v>
      </c>
    </row>
    <row r="48" spans="19:34" x14ac:dyDescent="0.25">
      <c r="T48" s="4" t="s">
        <v>115</v>
      </c>
      <c r="U48" s="8" t="s">
        <v>176</v>
      </c>
      <c r="V48" s="8">
        <v>20</v>
      </c>
      <c r="W48" s="8">
        <v>20</v>
      </c>
      <c r="X48" s="8" t="s">
        <v>75</v>
      </c>
      <c r="Y48" s="10">
        <f>AVERAGE(AC36:AC38)</f>
        <v>1.348725639147353</v>
      </c>
      <c r="Z48" s="10">
        <f>MEDIAN(AC36:AC38)</f>
        <v>1.3740763633047479</v>
      </c>
      <c r="AA48" s="10">
        <f>STDEV(AC36:AC38)</f>
        <v>9.7945468716185979E-2</v>
      </c>
      <c r="AB48" s="10">
        <f t="shared" si="15"/>
        <v>7.2620750932047118</v>
      </c>
      <c r="AC48" s="10">
        <f>VAR(AC36:AC38)</f>
        <v>9.593314842033367E-3</v>
      </c>
      <c r="AD48" s="10">
        <f>MAX(AC36:AC38)</f>
        <v>1.4315035139470096</v>
      </c>
      <c r="AE48" s="10">
        <f>MIN(AC36:AC38)</f>
        <v>1.2405970401903019</v>
      </c>
      <c r="AF48" s="10">
        <f t="shared" si="16"/>
        <v>0.19090647375670766</v>
      </c>
      <c r="AG48" s="10">
        <f>COUNT(AC36:AC38)</f>
        <v>3</v>
      </c>
      <c r="AH48" s="10">
        <f t="shared" si="17"/>
        <v>5.6548842729194047E-2</v>
      </c>
    </row>
    <row r="49" spans="20:34" x14ac:dyDescent="0.25">
      <c r="T49" s="4" t="s">
        <v>116</v>
      </c>
      <c r="U49" s="8" t="s">
        <v>176</v>
      </c>
      <c r="V49" s="8">
        <v>20</v>
      </c>
      <c r="W49" s="8">
        <v>20</v>
      </c>
      <c r="X49" s="8" t="s">
        <v>75</v>
      </c>
      <c r="Y49" s="10">
        <f>AVERAGE(AD36:AD38)</f>
        <v>1.3294666666666668</v>
      </c>
      <c r="Z49" s="10">
        <f>MEDIAN(AD36:AD38)</f>
        <v>1.3549</v>
      </c>
      <c r="AA49" s="10">
        <f>STDEV(AD36:AD38)</f>
        <v>9.8153264506756641E-2</v>
      </c>
      <c r="AB49" s="10">
        <f t="shared" si="15"/>
        <v>7.3829052632702314</v>
      </c>
      <c r="AC49" s="10">
        <f>VAR(AD36:AD38)</f>
        <v>9.6340633333333332E-3</v>
      </c>
      <c r="AD49" s="10">
        <f>MAX(AD36:AD38)</f>
        <v>1.4124000000000001</v>
      </c>
      <c r="AE49" s="10">
        <f>MIN(AD36:AD38)</f>
        <v>1.2211000000000001</v>
      </c>
      <c r="AF49" s="10">
        <f t="shared" si="16"/>
        <v>0.19130000000000003</v>
      </c>
      <c r="AG49" s="10">
        <f>COUNT(AD36:AD38)</f>
        <v>3</v>
      </c>
      <c r="AH49" s="10">
        <f t="shared" si="17"/>
        <v>5.6668813684816487E-2</v>
      </c>
    </row>
    <row r="50" spans="20:34" x14ac:dyDescent="0.25">
      <c r="T50" s="4" t="s">
        <v>22</v>
      </c>
      <c r="U50" s="8" t="s">
        <v>177</v>
      </c>
      <c r="V50" s="8">
        <v>0</v>
      </c>
      <c r="W50" s="8">
        <v>10</v>
      </c>
      <c r="X50" s="8" t="s">
        <v>92</v>
      </c>
      <c r="Y50" s="9">
        <f>AVERAGE(AB39:AB41)</f>
        <v>0.41573333333333334</v>
      </c>
      <c r="Z50" s="9">
        <f>MEDIAN(AB39:AB41)</f>
        <v>0.41610000000000003</v>
      </c>
      <c r="AA50" s="9">
        <f>STDEV(AB39:AB41)</f>
        <v>3.3650160970392527E-3</v>
      </c>
      <c r="AB50" s="9">
        <f t="shared" si="15"/>
        <v>0.80941695727371377</v>
      </c>
      <c r="AC50" s="9">
        <f>VAR(AB39:AB41)</f>
        <v>1.1323333333333286E-5</v>
      </c>
      <c r="AD50" s="9">
        <f>MAX(AB39:AB41)</f>
        <v>0.41889999999999999</v>
      </c>
      <c r="AE50" s="9">
        <f>MIN(AB39:AB41)</f>
        <v>0.41220000000000001</v>
      </c>
      <c r="AF50" s="9">
        <f t="shared" si="16"/>
        <v>6.6999999999999837E-3</v>
      </c>
      <c r="AG50" s="9">
        <f>COUNT(AB39:AB41)</f>
        <v>3</v>
      </c>
      <c r="AH50" s="9">
        <f t="shared" si="17"/>
        <v>1.9427929494530364E-3</v>
      </c>
    </row>
    <row r="51" spans="20:34" x14ac:dyDescent="0.25">
      <c r="T51" s="4" t="s">
        <v>115</v>
      </c>
      <c r="U51" s="8" t="s">
        <v>177</v>
      </c>
      <c r="V51" s="8">
        <v>0</v>
      </c>
      <c r="W51" s="8">
        <v>10</v>
      </c>
      <c r="X51" s="8" t="s">
        <v>92</v>
      </c>
      <c r="Y51" s="10">
        <f>AVERAGE(AC39:AC41)</f>
        <v>1.8574646613535755</v>
      </c>
      <c r="Z51" s="10">
        <f>MEDIAN(AC39:AC41)</f>
        <v>1.8593616543177343</v>
      </c>
      <c r="AA51" s="10">
        <f>STDEV(AC39:AC41)</f>
        <v>1.7409305073721428E-2</v>
      </c>
      <c r="AB51" s="10">
        <f t="shared" si="15"/>
        <v>0.93726171140369807</v>
      </c>
      <c r="AC51" s="10">
        <f>VAR(AC39:AC41)</f>
        <v>3.0308390314990263E-4</v>
      </c>
      <c r="AD51" s="10">
        <f>MAX(AC39:AC41)</f>
        <v>1.8738477824076738</v>
      </c>
      <c r="AE51" s="10">
        <f>MIN(AC39:AC41)</f>
        <v>1.8391845473353179</v>
      </c>
      <c r="AF51" s="10">
        <f t="shared" si="16"/>
        <v>3.4663235072355914E-2</v>
      </c>
      <c r="AG51" s="10">
        <f>COUNT(AC39:AC41)</f>
        <v>3</v>
      </c>
      <c r="AH51" s="10">
        <f t="shared" si="17"/>
        <v>1.0051266970717385E-2</v>
      </c>
    </row>
    <row r="52" spans="20:34" x14ac:dyDescent="0.25">
      <c r="T52" s="4" t="s">
        <v>116</v>
      </c>
      <c r="U52" s="8" t="s">
        <v>177</v>
      </c>
      <c r="V52" s="8">
        <v>0</v>
      </c>
      <c r="W52" s="8">
        <v>10</v>
      </c>
      <c r="X52" s="8" t="s">
        <v>92</v>
      </c>
      <c r="Y52" s="10">
        <f>AVERAGE(AD39:AD41)</f>
        <v>1.8387666666666667</v>
      </c>
      <c r="Z52" s="10">
        <f>MEDIAN(AD39:AD41)</f>
        <v>1.8407</v>
      </c>
      <c r="AA52" s="10">
        <f>STDEV(AD39:AD41)</f>
        <v>1.7380832354445305E-2</v>
      </c>
      <c r="AB52" s="10">
        <f t="shared" si="15"/>
        <v>0.94524404153755082</v>
      </c>
      <c r="AC52" s="10">
        <f>VAR(AD39:AD41)</f>
        <v>3.0209333333333275E-4</v>
      </c>
      <c r="AD52" s="10">
        <f>MAX(AD39:AD41)</f>
        <v>1.8551</v>
      </c>
      <c r="AE52" s="10">
        <f>MIN(AD39:AD41)</f>
        <v>1.8205</v>
      </c>
      <c r="AF52" s="10">
        <f t="shared" si="16"/>
        <v>3.4599999999999964E-2</v>
      </c>
      <c r="AG52" s="10">
        <f>COUNT(AD39:AD41)</f>
        <v>3</v>
      </c>
      <c r="AH52" s="10">
        <f t="shared" si="17"/>
        <v>1.0034828238578755E-2</v>
      </c>
    </row>
    <row r="53" spans="20:34" x14ac:dyDescent="0.25">
      <c r="T53" s="4" t="s">
        <v>22</v>
      </c>
      <c r="U53" s="8" t="s">
        <v>178</v>
      </c>
      <c r="V53" s="8">
        <v>10</v>
      </c>
      <c r="W53" s="8">
        <v>90</v>
      </c>
      <c r="X53" s="8" t="s">
        <v>75</v>
      </c>
      <c r="Y53" s="9">
        <f>AVERAGE(AB42:AB44)</f>
        <v>31.728499999999997</v>
      </c>
      <c r="Z53" s="9">
        <f>MEDIAN(AB42:AB44)</f>
        <v>31.760400000000001</v>
      </c>
      <c r="AA53" s="9">
        <f>STDEV(AB42:AB44)</f>
        <v>0.16665572297403905</v>
      </c>
      <c r="AB53" s="9">
        <f t="shared" si="15"/>
        <v>0.5252555997731978</v>
      </c>
      <c r="AC53" s="9">
        <f>VAR(AB42:AB44)</f>
        <v>2.7774129999999647E-2</v>
      </c>
      <c r="AD53" s="9">
        <f>MAX(AB42:AB44)</f>
        <v>31.876899999999999</v>
      </c>
      <c r="AE53" s="9">
        <f>MIN(AB42:AB44)</f>
        <v>31.548200000000001</v>
      </c>
      <c r="AF53" s="9">
        <f t="shared" si="16"/>
        <v>0.32869999999999777</v>
      </c>
      <c r="AG53" s="9">
        <f>COUNT(AB42:AB44)</f>
        <v>3</v>
      </c>
      <c r="AH53" s="9">
        <f t="shared" si="17"/>
        <v>9.6218726521053149E-2</v>
      </c>
    </row>
    <row r="54" spans="20:34" x14ac:dyDescent="0.25">
      <c r="T54" s="4" t="s">
        <v>115</v>
      </c>
      <c r="U54" s="8" t="s">
        <v>178</v>
      </c>
      <c r="V54" s="8">
        <v>10</v>
      </c>
      <c r="W54" s="8">
        <v>90</v>
      </c>
      <c r="X54" s="8" t="s">
        <v>75</v>
      </c>
      <c r="Y54" s="10">
        <f>AVERAGE(AC42:AC44)</f>
        <v>163.85773208411538</v>
      </c>
      <c r="Z54" s="10">
        <f>MEDIAN(AC42:AC44)</f>
        <v>164.02277047199723</v>
      </c>
      <c r="AA54" s="10">
        <f>STDEV(AC42:AC44)</f>
        <v>0.86221291068695982</v>
      </c>
      <c r="AB54" s="10">
        <f t="shared" si="15"/>
        <v>0.52619604807196285</v>
      </c>
      <c r="AC54" s="10">
        <f>VAR(AC42:AC44)</f>
        <v>0.74341110335527938</v>
      </c>
      <c r="AD54" s="10">
        <f>MAX(AC42:AC44)</f>
        <v>164.62549687288222</v>
      </c>
      <c r="AE54" s="10">
        <f>MIN(AC42:AC44)</f>
        <v>162.92492890746678</v>
      </c>
      <c r="AF54" s="10">
        <f t="shared" si="16"/>
        <v>1.7005679654154449</v>
      </c>
      <c r="AG54" s="10">
        <f>COUNT(AC42:AC44)</f>
        <v>3</v>
      </c>
      <c r="AH54" s="10">
        <f t="shared" si="17"/>
        <v>0.49779885608388702</v>
      </c>
    </row>
    <row r="55" spans="20:34" x14ac:dyDescent="0.25">
      <c r="T55" s="4" t="s">
        <v>116</v>
      </c>
      <c r="U55" s="8" t="s">
        <v>178</v>
      </c>
      <c r="V55" s="8">
        <v>10</v>
      </c>
      <c r="W55" s="8">
        <v>90</v>
      </c>
      <c r="X55" s="8" t="s">
        <v>75</v>
      </c>
      <c r="Y55" s="10">
        <f>AVERAGE(AD42:AD44)</f>
        <v>164.0626</v>
      </c>
      <c r="Z55" s="10">
        <f>MEDIAN(AD42:AD44)</f>
        <v>164.22790000000001</v>
      </c>
      <c r="AA55" s="10">
        <f>STDEV(AD42:AD44)</f>
        <v>0.86330173751707151</v>
      </c>
      <c r="AB55" s="10">
        <f t="shared" si="15"/>
        <v>0.52620264308688969</v>
      </c>
      <c r="AC55" s="10">
        <f>VAR(AD42:AD44)</f>
        <v>0.74528988999999457</v>
      </c>
      <c r="AD55" s="10">
        <f>MAX(AD42:AD44)</f>
        <v>164.8313</v>
      </c>
      <c r="AE55" s="10">
        <f>MIN(AD42:AD44)</f>
        <v>163.12860000000001</v>
      </c>
      <c r="AF55" s="10">
        <f t="shared" si="16"/>
        <v>1.702699999999993</v>
      </c>
      <c r="AG55" s="10">
        <f>COUNT(AD42:AD44)</f>
        <v>3</v>
      </c>
      <c r="AH55" s="10">
        <f t="shared" si="17"/>
        <v>0.49842749054735291</v>
      </c>
    </row>
  </sheetData>
  <conditionalFormatting sqref="I2:I31">
    <cfRule type="cellIs" dxfId="131" priority="3" operator="lessThan">
      <formula>$U$12</formula>
    </cfRule>
    <cfRule type="cellIs" dxfId="130" priority="4" operator="lessThan">
      <formula>$V$12</formula>
    </cfRule>
    <cfRule type="cellIs" dxfId="129" priority="38" operator="lessThan">
      <formula>$V$12</formula>
    </cfRule>
    <cfRule type="cellIs" dxfId="128" priority="37" operator="lessThan">
      <formula>$U$12</formula>
    </cfRule>
    <cfRule type="cellIs" dxfId="127" priority="9" operator="lessThan">
      <formula>$U$12</formula>
    </cfRule>
    <cfRule type="cellIs" dxfId="126" priority="10" operator="lessThan">
      <formula>$V$12</formula>
    </cfRule>
  </conditionalFormatting>
  <conditionalFormatting sqref="K2:K31">
    <cfRule type="cellIs" dxfId="125" priority="40" operator="lessThan">
      <formula>$V$13</formula>
    </cfRule>
    <cfRule type="cellIs" dxfId="124" priority="39" operator="lessThan">
      <formula>$U$13</formula>
    </cfRule>
    <cfRule type="cellIs" dxfId="123" priority="36" operator="lessThan">
      <formula>$V$13</formula>
    </cfRule>
    <cfRule type="cellIs" dxfId="122" priority="35" operator="lessThan">
      <formula>$U$13</formula>
    </cfRule>
  </conditionalFormatting>
  <conditionalFormatting sqref="K11:K12">
    <cfRule type="cellIs" dxfId="121" priority="1" operator="lessThan">
      <formula>$U$13</formula>
    </cfRule>
    <cfRule type="cellIs" dxfId="120" priority="2" operator="lessThan">
      <formula>$V$13</formula>
    </cfRule>
  </conditionalFormatting>
  <conditionalFormatting sqref="L2:L31">
    <cfRule type="cellIs" dxfId="119" priority="42" operator="lessThan">
      <formula>$V$14</formula>
    </cfRule>
    <cfRule type="cellIs" dxfId="118" priority="41" operator="lessThan">
      <formula>$U$14</formula>
    </cfRule>
  </conditionalFormatting>
  <conditionalFormatting sqref="L11:L12">
    <cfRule type="cellIs" dxfId="117" priority="5" operator="lessThan">
      <formula>$U$14</formula>
    </cfRule>
    <cfRule type="cellIs" dxfId="116" priority="6" operator="lessThan">
      <formula>$V$14</formula>
    </cfRule>
  </conditionalFormatting>
  <conditionalFormatting sqref="T48">
    <cfRule type="cellIs" dxfId="115" priority="23" operator="lessThan">
      <formula>$U$13</formula>
    </cfRule>
    <cfRule type="cellIs" dxfId="114" priority="24" operator="lessThan">
      <formula>$V$13</formula>
    </cfRule>
  </conditionalFormatting>
  <conditionalFormatting sqref="T49">
    <cfRule type="cellIs" dxfId="113" priority="21" operator="lessThan">
      <formula>$U$14</formula>
    </cfRule>
    <cfRule type="cellIs" dxfId="112" priority="22" operator="lessThan">
      <formula>$V$14</formula>
    </cfRule>
  </conditionalFormatting>
  <conditionalFormatting sqref="T51">
    <cfRule type="cellIs" dxfId="111" priority="20" operator="lessThan">
      <formula>$V$13</formula>
    </cfRule>
    <cfRule type="cellIs" dxfId="110" priority="19" operator="lessThan">
      <formula>$U$13</formula>
    </cfRule>
  </conditionalFormatting>
  <conditionalFormatting sqref="T52">
    <cfRule type="cellIs" dxfId="109" priority="18" operator="lessThan">
      <formula>$V$14</formula>
    </cfRule>
    <cfRule type="cellIs" dxfId="108" priority="17" operator="lessThan">
      <formula>$U$14</formula>
    </cfRule>
  </conditionalFormatting>
  <conditionalFormatting sqref="T54">
    <cfRule type="cellIs" dxfId="107" priority="16" operator="lessThan">
      <formula>$V$13</formula>
    </cfRule>
    <cfRule type="cellIs" dxfId="106" priority="15" operator="lessThan">
      <formula>$U$13</formula>
    </cfRule>
  </conditionalFormatting>
  <conditionalFormatting sqref="T55">
    <cfRule type="cellIs" dxfId="105" priority="14" operator="lessThan">
      <formula>$V$14</formula>
    </cfRule>
    <cfRule type="cellIs" dxfId="104" priority="13" operator="lessThan">
      <formula>$U$14</formula>
    </cfRule>
  </conditionalFormatting>
  <conditionalFormatting sqref="AC35">
    <cfRule type="cellIs" dxfId="103" priority="31" operator="lessThan">
      <formula>$U$13</formula>
    </cfRule>
    <cfRule type="cellIs" dxfId="102" priority="32" operator="lessThan">
      <formula>$V$13</formula>
    </cfRule>
  </conditionalFormatting>
  <conditionalFormatting sqref="AD35">
    <cfRule type="cellIs" dxfId="101" priority="33" operator="lessThan">
      <formula>$U$14</formula>
    </cfRule>
    <cfRule type="cellIs" dxfId="100" priority="34" operator="lessThan">
      <formula>$V$14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C36D-5157-4481-B18A-49C2708BE9A7}">
  <dimension ref="A1:AI55"/>
  <sheetViews>
    <sheetView topLeftCell="S1" zoomScale="85" zoomScaleNormal="85" workbookViewId="0">
      <selection activeCell="U17" sqref="U17:AD17"/>
    </sheetView>
  </sheetViews>
  <sheetFormatPr defaultRowHeight="15" x14ac:dyDescent="0.25"/>
  <cols>
    <col min="8" max="8" width="9.140625" style="25"/>
    <col min="9" max="10" width="9.140625" style="18"/>
    <col min="11" max="11" width="11.7109375" style="18" customWidth="1"/>
    <col min="12" max="12" width="14.85546875" style="18" customWidth="1"/>
    <col min="14" max="14" width="17.28515625" style="18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24" t="s">
        <v>21</v>
      </c>
      <c r="I1" s="4" t="s">
        <v>22</v>
      </c>
      <c r="J1" s="5" t="s">
        <v>182</v>
      </c>
      <c r="K1" s="4" t="s">
        <v>183</v>
      </c>
      <c r="L1" s="4" t="s">
        <v>184</v>
      </c>
      <c r="M1" s="3" t="s">
        <v>20</v>
      </c>
      <c r="N1" s="4" t="s">
        <v>185</v>
      </c>
      <c r="O1" s="4" t="s">
        <v>186</v>
      </c>
      <c r="P1" s="3" t="s">
        <v>26</v>
      </c>
      <c r="S1" s="6" t="s">
        <v>119</v>
      </c>
      <c r="T1" s="7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7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c_Nitrite_ calib_ppm</v>
      </c>
      <c r="AG1" s="6" t="s">
        <v>187</v>
      </c>
    </row>
    <row r="2" spans="1:35" x14ac:dyDescent="0.25">
      <c r="A2" s="8" t="s">
        <v>27</v>
      </c>
      <c r="B2" s="8" t="s">
        <v>28</v>
      </c>
      <c r="C2" s="8"/>
      <c r="D2" s="8"/>
      <c r="E2" s="8"/>
      <c r="F2" s="8" t="s">
        <v>29</v>
      </c>
      <c r="G2" s="8">
        <v>1</v>
      </c>
      <c r="H2" s="9">
        <v>0</v>
      </c>
      <c r="I2" s="10">
        <v>0</v>
      </c>
      <c r="J2" s="10">
        <v>0</v>
      </c>
      <c r="K2" s="10">
        <f t="shared" ref="K2:K9" si="4">IF(H2="NA", "NA", ((I2-($AH$3))/$AG$3))</f>
        <v>0.34666476510789973</v>
      </c>
      <c r="L2" s="10">
        <v>0</v>
      </c>
      <c r="M2" s="8">
        <v>0</v>
      </c>
      <c r="N2" s="10"/>
      <c r="O2" s="10"/>
      <c r="P2" s="8" t="s">
        <v>30</v>
      </c>
      <c r="T2" s="11" t="str">
        <f t="shared" si="0"/>
        <v>Cal 1</v>
      </c>
      <c r="U2" s="8" t="str">
        <f t="shared" si="0"/>
        <v>Blank</v>
      </c>
      <c r="V2" s="8" t="str">
        <f t="shared" si="1"/>
        <v>17.11.2023</v>
      </c>
      <c r="W2" s="8">
        <f t="shared" si="1"/>
        <v>1</v>
      </c>
      <c r="X2" s="8">
        <f t="shared" si="2"/>
        <v>0</v>
      </c>
      <c r="Y2" s="10">
        <f t="shared" si="3"/>
        <v>0</v>
      </c>
      <c r="Z2" s="10">
        <f t="shared" si="3"/>
        <v>0</v>
      </c>
      <c r="AA2" s="8">
        <f t="shared" si="3"/>
        <v>0</v>
      </c>
      <c r="AG2" s="3" t="s">
        <v>121</v>
      </c>
      <c r="AH2" s="3" t="s">
        <v>122</v>
      </c>
    </row>
    <row r="3" spans="1:35" x14ac:dyDescent="0.25">
      <c r="A3" s="8" t="s">
        <v>31</v>
      </c>
      <c r="B3" s="8" t="s">
        <v>32</v>
      </c>
      <c r="C3" s="8"/>
      <c r="D3" s="8"/>
      <c r="E3" s="8"/>
      <c r="F3" s="8" t="s">
        <v>29</v>
      </c>
      <c r="G3" s="8">
        <v>1</v>
      </c>
      <c r="H3" s="9">
        <v>4.1829999999999998</v>
      </c>
      <c r="I3" s="10">
        <v>0.1263</v>
      </c>
      <c r="J3" s="10">
        <v>1</v>
      </c>
      <c r="K3" s="10">
        <f t="shared" si="4"/>
        <v>1.4714750794909688</v>
      </c>
      <c r="L3" s="10">
        <v>1.6061000000000001</v>
      </c>
      <c r="M3" s="8">
        <v>100</v>
      </c>
      <c r="N3" s="10"/>
      <c r="O3" s="10"/>
      <c r="P3" s="8" t="s">
        <v>33</v>
      </c>
      <c r="T3" s="12" t="str">
        <f t="shared" si="0"/>
        <v>Cal 2</v>
      </c>
      <c r="U3" s="8" t="str">
        <f t="shared" si="0"/>
        <v>x 100</v>
      </c>
      <c r="V3" s="8" t="str">
        <f t="shared" si="1"/>
        <v>17.11.2023</v>
      </c>
      <c r="W3" s="8">
        <f t="shared" si="1"/>
        <v>1</v>
      </c>
      <c r="X3" s="8">
        <f t="shared" si="2"/>
        <v>100</v>
      </c>
      <c r="Y3" s="10">
        <f t="shared" si="3"/>
        <v>4.1829999999999998</v>
      </c>
      <c r="Z3" s="10">
        <f t="shared" si="3"/>
        <v>0.1263</v>
      </c>
      <c r="AA3" s="8">
        <f t="shared" si="3"/>
        <v>1</v>
      </c>
      <c r="AF3" t="s">
        <v>123</v>
      </c>
      <c r="AG3" s="10" cm="1">
        <f t="array" ref="AG3:AH7">LINEST(Z2:Z7,AA2:AA7, TRUE, TRUE)</f>
        <v>0.112285599078341</v>
      </c>
      <c r="AH3" s="10">
        <v>-3.8925460829492886E-2</v>
      </c>
      <c r="AI3" s="13" t="s">
        <v>124</v>
      </c>
    </row>
    <row r="4" spans="1:35" x14ac:dyDescent="0.25">
      <c r="A4" s="8" t="s">
        <v>34</v>
      </c>
      <c r="B4" s="8" t="s">
        <v>35</v>
      </c>
      <c r="C4" s="8"/>
      <c r="D4" s="8"/>
      <c r="E4" s="8"/>
      <c r="F4" s="8" t="s">
        <v>29</v>
      </c>
      <c r="G4" s="8">
        <v>1</v>
      </c>
      <c r="H4" s="9">
        <v>4.1870000000000003</v>
      </c>
      <c r="I4" s="10">
        <v>0.16270000000000001</v>
      </c>
      <c r="J4" s="10">
        <v>2</v>
      </c>
      <c r="K4" s="10">
        <f t="shared" si="4"/>
        <v>1.7956484400890982</v>
      </c>
      <c r="L4" s="10">
        <v>1.9271</v>
      </c>
      <c r="M4" s="8">
        <v>50</v>
      </c>
      <c r="N4" s="10"/>
      <c r="O4" s="10"/>
      <c r="P4" s="8" t="s">
        <v>36</v>
      </c>
      <c r="T4" s="12" t="str">
        <f t="shared" si="0"/>
        <v>Cal 3</v>
      </c>
      <c r="U4" s="8" t="str">
        <f t="shared" si="0"/>
        <v>x 50</v>
      </c>
      <c r="V4" s="8" t="str">
        <f t="shared" si="1"/>
        <v>17.11.2023</v>
      </c>
      <c r="W4" s="8">
        <f t="shared" si="1"/>
        <v>1</v>
      </c>
      <c r="X4" s="8">
        <f t="shared" si="2"/>
        <v>50</v>
      </c>
      <c r="Y4" s="10">
        <f t="shared" si="3"/>
        <v>4.1870000000000003</v>
      </c>
      <c r="Z4" s="10">
        <f t="shared" si="3"/>
        <v>0.16270000000000001</v>
      </c>
      <c r="AA4" s="8">
        <f t="shared" si="3"/>
        <v>2</v>
      </c>
      <c r="AF4" t="s">
        <v>125</v>
      </c>
      <c r="AG4" s="10">
        <v>3.2321080078025165E-3</v>
      </c>
      <c r="AH4" s="10">
        <v>3.0377230377026401E-2</v>
      </c>
      <c r="AI4" t="s">
        <v>126</v>
      </c>
    </row>
    <row r="5" spans="1:35" x14ac:dyDescent="0.25">
      <c r="A5" s="8" t="s">
        <v>37</v>
      </c>
      <c r="B5" s="8" t="s">
        <v>38</v>
      </c>
      <c r="C5" s="8"/>
      <c r="D5" s="8"/>
      <c r="E5" s="8"/>
      <c r="F5" s="8" t="s">
        <v>29</v>
      </c>
      <c r="G5" s="8">
        <v>1</v>
      </c>
      <c r="H5" s="9">
        <v>4.1870000000000003</v>
      </c>
      <c r="I5" s="10">
        <v>0.4461</v>
      </c>
      <c r="J5" s="10">
        <v>5</v>
      </c>
      <c r="K5" s="10">
        <f t="shared" si="4"/>
        <v>4.3195696047459613</v>
      </c>
      <c r="L5" s="10">
        <v>4.4234999999999998</v>
      </c>
      <c r="M5" s="8">
        <v>20</v>
      </c>
      <c r="N5" s="10"/>
      <c r="O5" s="10"/>
      <c r="P5" s="8" t="s">
        <v>40</v>
      </c>
      <c r="T5" s="12" t="str">
        <f t="shared" si="0"/>
        <v>Cal 4</v>
      </c>
      <c r="U5" s="8" t="str">
        <f t="shared" si="0"/>
        <v>x 20</v>
      </c>
      <c r="V5" s="8" t="str">
        <f t="shared" si="1"/>
        <v>17.11.2023</v>
      </c>
      <c r="W5" s="8">
        <f t="shared" si="1"/>
        <v>1</v>
      </c>
      <c r="X5" s="8">
        <f t="shared" si="2"/>
        <v>20</v>
      </c>
      <c r="Y5" s="10">
        <f t="shared" si="3"/>
        <v>4.1870000000000003</v>
      </c>
      <c r="Z5" s="10">
        <f t="shared" si="3"/>
        <v>0.4461</v>
      </c>
      <c r="AA5" s="8">
        <f t="shared" si="3"/>
        <v>5</v>
      </c>
      <c r="AF5" t="s">
        <v>127</v>
      </c>
      <c r="AG5" s="10">
        <v>0.99669671058382048</v>
      </c>
      <c r="AH5" s="10">
        <v>5.4977514334255483E-2</v>
      </c>
      <c r="AI5" t="s">
        <v>128</v>
      </c>
    </row>
    <row r="6" spans="1:35" x14ac:dyDescent="0.25">
      <c r="A6" s="8" t="s">
        <v>41</v>
      </c>
      <c r="B6" s="8" t="s">
        <v>42</v>
      </c>
      <c r="C6" s="8"/>
      <c r="D6" s="8"/>
      <c r="E6" s="8"/>
      <c r="F6" s="8" t="s">
        <v>29</v>
      </c>
      <c r="G6" s="8">
        <v>1</v>
      </c>
      <c r="H6" s="9">
        <v>4.1900000000000004</v>
      </c>
      <c r="I6" s="10">
        <v>1.0613999999999999</v>
      </c>
      <c r="J6" s="10">
        <v>10</v>
      </c>
      <c r="K6" s="10">
        <f t="shared" si="4"/>
        <v>9.799346219472028</v>
      </c>
      <c r="L6" s="10">
        <v>9.8443000000000005</v>
      </c>
      <c r="M6" s="8">
        <v>10</v>
      </c>
      <c r="N6" s="10"/>
      <c r="O6" s="10"/>
      <c r="P6" s="8" t="s">
        <v>43</v>
      </c>
      <c r="T6" s="12" t="str">
        <f t="shared" si="0"/>
        <v>Cal 5</v>
      </c>
      <c r="U6" s="8" t="str">
        <f t="shared" si="0"/>
        <v>x 10</v>
      </c>
      <c r="V6" s="8" t="str">
        <f t="shared" si="1"/>
        <v>17.11.2023</v>
      </c>
      <c r="W6" s="8">
        <f t="shared" si="1"/>
        <v>1</v>
      </c>
      <c r="X6" s="8">
        <f t="shared" si="2"/>
        <v>10</v>
      </c>
      <c r="Y6" s="10">
        <f t="shared" si="3"/>
        <v>4.1900000000000004</v>
      </c>
      <c r="Z6" s="10">
        <f t="shared" si="3"/>
        <v>1.0613999999999999</v>
      </c>
      <c r="AA6" s="8">
        <f t="shared" si="3"/>
        <v>10</v>
      </c>
      <c r="AF6" t="s">
        <v>129</v>
      </c>
      <c r="AG6" s="10">
        <v>1206.9141816057809</v>
      </c>
      <c r="AH6" s="10">
        <v>4</v>
      </c>
      <c r="AI6" t="s">
        <v>130</v>
      </c>
    </row>
    <row r="7" spans="1:35" x14ac:dyDescent="0.25">
      <c r="A7" s="8" t="s">
        <v>44</v>
      </c>
      <c r="B7" s="8" t="s">
        <v>45</v>
      </c>
      <c r="C7" s="8"/>
      <c r="D7" s="8"/>
      <c r="E7" s="8"/>
      <c r="F7" s="8" t="s">
        <v>29</v>
      </c>
      <c r="G7" s="8">
        <v>1</v>
      </c>
      <c r="H7" s="9">
        <v>4.1929999999999996</v>
      </c>
      <c r="I7" s="10">
        <v>2.2368000000000001</v>
      </c>
      <c r="J7" s="10">
        <v>20</v>
      </c>
      <c r="K7" s="10">
        <f t="shared" si="4"/>
        <v>20.26729589109404</v>
      </c>
      <c r="L7" s="10">
        <v>20.198899999999998</v>
      </c>
      <c r="M7" s="8">
        <v>5</v>
      </c>
      <c r="N7" s="10"/>
      <c r="O7" s="10"/>
      <c r="P7" s="8" t="s">
        <v>46</v>
      </c>
      <c r="T7" s="12" t="str">
        <f t="shared" si="0"/>
        <v>Cal 6</v>
      </c>
      <c r="U7" s="8" t="str">
        <f t="shared" si="0"/>
        <v>x 5</v>
      </c>
      <c r="V7" s="8" t="str">
        <f t="shared" si="1"/>
        <v>17.11.2023</v>
      </c>
      <c r="W7" s="8">
        <f t="shared" si="1"/>
        <v>1</v>
      </c>
      <c r="X7" s="8">
        <f t="shared" si="2"/>
        <v>5</v>
      </c>
      <c r="Y7" s="10">
        <f t="shared" si="3"/>
        <v>4.1929999999999996</v>
      </c>
      <c r="Z7" s="10">
        <f t="shared" si="3"/>
        <v>2.2368000000000001</v>
      </c>
      <c r="AA7" s="8">
        <f t="shared" si="3"/>
        <v>20</v>
      </c>
      <c r="AF7" t="s">
        <v>131</v>
      </c>
      <c r="AG7" s="10">
        <v>3.6479308000038402</v>
      </c>
      <c r="AH7" s="10">
        <v>1.2090108329493067E-2</v>
      </c>
      <c r="AI7" t="s">
        <v>132</v>
      </c>
    </row>
    <row r="8" spans="1:35" x14ac:dyDescent="0.25">
      <c r="A8" s="8">
        <v>1</v>
      </c>
      <c r="B8" s="8" t="s">
        <v>47</v>
      </c>
      <c r="C8" s="8"/>
      <c r="D8" s="8"/>
      <c r="E8" s="8"/>
      <c r="F8" s="8" t="s">
        <v>29</v>
      </c>
      <c r="G8" s="8">
        <v>1</v>
      </c>
      <c r="H8" s="9" t="s">
        <v>152</v>
      </c>
      <c r="I8" s="10" t="s">
        <v>152</v>
      </c>
      <c r="J8" s="10"/>
      <c r="K8" s="10" t="str">
        <f t="shared" si="4"/>
        <v>NA</v>
      </c>
      <c r="L8" s="10" t="s">
        <v>152</v>
      </c>
      <c r="M8" s="8">
        <v>0</v>
      </c>
      <c r="N8" s="10"/>
      <c r="O8" s="10"/>
      <c r="P8" s="8" t="s">
        <v>30</v>
      </c>
      <c r="S8" s="6"/>
    </row>
    <row r="9" spans="1:35" x14ac:dyDescent="0.25">
      <c r="A9" s="8">
        <v>2</v>
      </c>
      <c r="B9" s="8" t="s">
        <v>48</v>
      </c>
      <c r="C9" s="8"/>
      <c r="D9" s="8"/>
      <c r="E9" s="8"/>
      <c r="F9" s="8" t="s">
        <v>29</v>
      </c>
      <c r="G9" s="8">
        <v>1</v>
      </c>
      <c r="H9" s="9">
        <v>4.1900000000000004</v>
      </c>
      <c r="I9" s="10">
        <v>0.49559999999999998</v>
      </c>
      <c r="J9" s="10"/>
      <c r="K9" s="10">
        <f t="shared" si="4"/>
        <v>4.7604097517131976</v>
      </c>
      <c r="L9" s="10">
        <v>4.8593999999999999</v>
      </c>
      <c r="M9" s="8">
        <v>20</v>
      </c>
      <c r="N9" s="10"/>
      <c r="O9" s="10"/>
      <c r="P9" s="8" t="s">
        <v>49</v>
      </c>
    </row>
    <row r="10" spans="1:35" x14ac:dyDescent="0.25">
      <c r="A10" s="8">
        <v>3</v>
      </c>
      <c r="B10" s="8" t="s">
        <v>176</v>
      </c>
      <c r="C10" s="8">
        <v>20</v>
      </c>
      <c r="D10" s="8">
        <v>20</v>
      </c>
      <c r="E10" s="8" t="s">
        <v>75</v>
      </c>
      <c r="F10" s="8" t="s">
        <v>29</v>
      </c>
      <c r="G10" s="8">
        <v>1</v>
      </c>
      <c r="H10" s="9" t="str">
        <f>IFERROR(AVERAGE(AA36:AA38), "NA")</f>
        <v>NA</v>
      </c>
      <c r="I10" s="10" t="str">
        <f>IFERROR(Y47, "NA")</f>
        <v>NA</v>
      </c>
      <c r="J10" s="10"/>
      <c r="K10" s="10" t="str">
        <f>IFERROR(Y48, "NA")</f>
        <v>NA</v>
      </c>
      <c r="L10" s="10" t="str">
        <f>IFERROR(Y49, "NA")</f>
        <v>NA</v>
      </c>
      <c r="M10" s="8">
        <v>5</v>
      </c>
      <c r="N10" s="10" t="str">
        <f t="shared" ref="N10:N15" si="5">IF(H10="NA", "NA",M10*K10)</f>
        <v>NA</v>
      </c>
      <c r="O10" s="10" t="str">
        <f t="shared" ref="O10:O15" si="6">IF(H10="NA", "NA",M10*L10)</f>
        <v>NA</v>
      </c>
      <c r="P10" s="8" t="s">
        <v>179</v>
      </c>
    </row>
    <row r="11" spans="1:35" x14ac:dyDescent="0.25">
      <c r="A11" s="8">
        <v>6</v>
      </c>
      <c r="B11" s="8" t="s">
        <v>177</v>
      </c>
      <c r="C11" s="8">
        <v>0</v>
      </c>
      <c r="D11" s="8">
        <v>10</v>
      </c>
      <c r="E11" s="8" t="s">
        <v>92</v>
      </c>
      <c r="F11" s="8" t="s">
        <v>29</v>
      </c>
      <c r="G11" s="8">
        <v>1</v>
      </c>
      <c r="H11" s="9" t="str">
        <f>IFERROR(AVERAGE(AA39:AA41), "NA")</f>
        <v>NA</v>
      </c>
      <c r="I11" s="10" t="str">
        <f>IFERROR(Y50, "NA")</f>
        <v>NA</v>
      </c>
      <c r="J11" s="10"/>
      <c r="K11" s="10" t="str">
        <f>IFERROR(Y51, "NA")</f>
        <v>NA</v>
      </c>
      <c r="L11" s="10" t="str">
        <f>IFERROR(Y52, "NA")</f>
        <v>NA</v>
      </c>
      <c r="M11" s="8">
        <v>5</v>
      </c>
      <c r="N11" s="10" t="str">
        <f t="shared" si="5"/>
        <v>NA</v>
      </c>
      <c r="O11" s="10" t="str">
        <f t="shared" si="6"/>
        <v>NA</v>
      </c>
      <c r="P11" s="8" t="s">
        <v>180</v>
      </c>
      <c r="S11" s="6" t="s">
        <v>133</v>
      </c>
      <c r="T11" s="14"/>
      <c r="U11" s="15" t="s">
        <v>134</v>
      </c>
      <c r="V11" s="16" t="s">
        <v>135</v>
      </c>
    </row>
    <row r="12" spans="1:35" x14ac:dyDescent="0.25">
      <c r="A12" s="8">
        <v>9</v>
      </c>
      <c r="B12" s="8" t="s">
        <v>178</v>
      </c>
      <c r="C12" s="8">
        <v>10</v>
      </c>
      <c r="D12" s="8">
        <v>90</v>
      </c>
      <c r="E12" s="8" t="s">
        <v>75</v>
      </c>
      <c r="F12" s="8" t="s">
        <v>29</v>
      </c>
      <c r="G12" s="8">
        <v>1</v>
      </c>
      <c r="H12" s="9">
        <f>IFERROR(AVERAGE(AA42:AA44), "NA")</f>
        <v>4.1080000000000005</v>
      </c>
      <c r="I12" s="10">
        <f>IFERROR(Y53, "NA")</f>
        <v>0.43113333333333337</v>
      </c>
      <c r="J12" s="10"/>
      <c r="K12" s="10">
        <f>IFERROR(Y54, "NA")</f>
        <v>4.1862785434743861</v>
      </c>
      <c r="L12" s="10">
        <f>IFERROR(Y55, "NA")</f>
        <v>4.2914333333333339</v>
      </c>
      <c r="M12" s="8">
        <v>5</v>
      </c>
      <c r="N12" s="10">
        <f t="shared" si="5"/>
        <v>20.931392717371931</v>
      </c>
      <c r="O12" s="10">
        <f t="shared" si="6"/>
        <v>21.457166666666669</v>
      </c>
      <c r="P12" s="8" t="s">
        <v>181</v>
      </c>
      <c r="T12" s="17" t="s">
        <v>136</v>
      </c>
      <c r="U12" s="10" t="e">
        <f xml:space="preserve"> AVERAGE(I8,I16,I31)+3*STDEV(I8,I16,I31)</f>
        <v>#DIV/0!</v>
      </c>
      <c r="V12" s="10" t="e">
        <f xml:space="preserve"> AVERAGE((I8,I16,I31))+10*STDEV(I8,I16,I31)</f>
        <v>#DIV/0!</v>
      </c>
    </row>
    <row r="13" spans="1:35" x14ac:dyDescent="0.25">
      <c r="A13" s="8">
        <v>12</v>
      </c>
      <c r="B13" s="8" t="s">
        <v>74</v>
      </c>
      <c r="C13" s="8">
        <v>0</v>
      </c>
      <c r="D13" s="8">
        <v>10</v>
      </c>
      <c r="E13" s="8" t="s">
        <v>75</v>
      </c>
      <c r="F13" s="8" t="s">
        <v>29</v>
      </c>
      <c r="G13" s="8">
        <v>1</v>
      </c>
      <c r="H13" s="9">
        <v>4.0830000000000002</v>
      </c>
      <c r="I13" s="10">
        <v>5.8500000000000003E-2</v>
      </c>
      <c r="J13" s="10"/>
      <c r="K13" s="10">
        <f t="shared" ref="K13:K18" si="7">IF(H13="NA", "NA", ((I13-($AH$3))/$AG$3))</f>
        <v>0.86765766606917871</v>
      </c>
      <c r="L13" s="10">
        <v>1.0087999999999999</v>
      </c>
      <c r="M13" s="8">
        <v>5</v>
      </c>
      <c r="N13" s="10">
        <f t="shared" si="5"/>
        <v>4.3382883303458932</v>
      </c>
      <c r="O13" s="10">
        <f t="shared" si="6"/>
        <v>5.0439999999999996</v>
      </c>
      <c r="P13" s="8" t="s">
        <v>76</v>
      </c>
      <c r="T13" s="17" t="s">
        <v>137</v>
      </c>
      <c r="U13" s="10" t="e">
        <f xml:space="preserve"> AVERAGE(K8,K16,K31)+3*STDEV(K8,K16,K31)</f>
        <v>#DIV/0!</v>
      </c>
      <c r="V13" s="10" t="e">
        <f xml:space="preserve"> AVERAGE(K8,K16,K31)+10*STDEV(K8,K16,K31)</f>
        <v>#DIV/0!</v>
      </c>
    </row>
    <row r="14" spans="1:35" x14ac:dyDescent="0.25">
      <c r="A14" s="8">
        <v>13</v>
      </c>
      <c r="B14" s="8" t="s">
        <v>77</v>
      </c>
      <c r="C14" s="8">
        <v>0</v>
      </c>
      <c r="D14" s="8">
        <v>20</v>
      </c>
      <c r="E14" s="8" t="s">
        <v>75</v>
      </c>
      <c r="F14" s="8" t="s">
        <v>29</v>
      </c>
      <c r="G14" s="8">
        <v>1</v>
      </c>
      <c r="H14" s="9" t="s">
        <v>152</v>
      </c>
      <c r="I14" s="10" t="s">
        <v>152</v>
      </c>
      <c r="J14" s="10"/>
      <c r="K14" s="10" t="str">
        <f t="shared" si="7"/>
        <v>NA</v>
      </c>
      <c r="L14" s="10" t="s">
        <v>152</v>
      </c>
      <c r="M14" s="8">
        <v>5</v>
      </c>
      <c r="N14" s="10" t="str">
        <f t="shared" si="5"/>
        <v>NA</v>
      </c>
      <c r="O14" s="10" t="str">
        <f t="shared" si="6"/>
        <v>NA</v>
      </c>
      <c r="P14" s="8" t="s">
        <v>78</v>
      </c>
      <c r="T14" s="17" t="s">
        <v>138</v>
      </c>
      <c r="U14" s="10" t="e">
        <f xml:space="preserve"> AVERAGE(L8,L16,L31)+3*STDEV(L8,L16,L31)</f>
        <v>#DIV/0!</v>
      </c>
      <c r="V14" s="10" t="e">
        <f xml:space="preserve"> AVERAGE(L8,L16,L31)+10*STDEV(L8,L16,L31)</f>
        <v>#DIV/0!</v>
      </c>
    </row>
    <row r="15" spans="1:35" x14ac:dyDescent="0.25">
      <c r="A15" s="8">
        <v>14</v>
      </c>
      <c r="B15" s="8" t="s">
        <v>79</v>
      </c>
      <c r="C15" s="8">
        <v>0</v>
      </c>
      <c r="D15" s="8">
        <v>30</v>
      </c>
      <c r="E15" s="8" t="s">
        <v>75</v>
      </c>
      <c r="F15" s="8" t="s">
        <v>29</v>
      </c>
      <c r="G15" s="8">
        <v>1</v>
      </c>
      <c r="H15" s="9" t="s">
        <v>152</v>
      </c>
      <c r="I15" s="10" t="s">
        <v>152</v>
      </c>
      <c r="J15" s="10"/>
      <c r="K15" s="10" t="str">
        <f t="shared" si="7"/>
        <v>NA</v>
      </c>
      <c r="L15" s="10" t="s">
        <v>152</v>
      </c>
      <c r="M15" s="8">
        <v>5</v>
      </c>
      <c r="N15" s="10" t="str">
        <f t="shared" si="5"/>
        <v>NA</v>
      </c>
      <c r="O15" s="10" t="str">
        <f t="shared" si="6"/>
        <v>NA</v>
      </c>
      <c r="P15" s="8" t="s">
        <v>80</v>
      </c>
    </row>
    <row r="16" spans="1:35" x14ac:dyDescent="0.25">
      <c r="A16" s="8">
        <v>15</v>
      </c>
      <c r="B16" s="8" t="s">
        <v>28</v>
      </c>
      <c r="C16" s="8"/>
      <c r="D16" s="8"/>
      <c r="E16" s="8"/>
      <c r="F16" s="8" t="s">
        <v>29</v>
      </c>
      <c r="G16" s="8">
        <v>1</v>
      </c>
      <c r="H16" s="9">
        <v>4.18</v>
      </c>
      <c r="I16" s="10">
        <v>2.1600000000000001E-2</v>
      </c>
      <c r="J16" s="10"/>
      <c r="K16" s="10">
        <f t="shared" si="7"/>
        <v>0.53903137469360274</v>
      </c>
      <c r="L16" s="10">
        <v>0.68379999999999996</v>
      </c>
      <c r="M16" s="8">
        <v>0</v>
      </c>
      <c r="N16" s="10"/>
      <c r="O16" s="10"/>
      <c r="P16" s="8" t="s">
        <v>30</v>
      </c>
      <c r="S16" s="6" t="s">
        <v>139</v>
      </c>
      <c r="T16" s="7"/>
      <c r="U16" s="3" t="s">
        <v>140</v>
      </c>
      <c r="V16" s="3" t="s">
        <v>141</v>
      </c>
      <c r="W16" s="3" t="s">
        <v>142</v>
      </c>
      <c r="X16" s="3" t="s">
        <v>143</v>
      </c>
      <c r="Y16" s="7" t="s">
        <v>144</v>
      </c>
      <c r="Z16" s="3" t="s">
        <v>145</v>
      </c>
      <c r="AA16" s="3" t="s">
        <v>146</v>
      </c>
      <c r="AB16" s="3" t="s">
        <v>147</v>
      </c>
      <c r="AC16" s="3" t="s">
        <v>148</v>
      </c>
      <c r="AD16" s="3" t="s">
        <v>149</v>
      </c>
    </row>
    <row r="17" spans="1:30" x14ac:dyDescent="0.25">
      <c r="A17" s="23">
        <v>16</v>
      </c>
      <c r="B17" s="8" t="s">
        <v>48</v>
      </c>
      <c r="C17" s="8"/>
      <c r="D17" s="8"/>
      <c r="E17" s="8"/>
      <c r="F17" s="8" t="s">
        <v>29</v>
      </c>
      <c r="G17" s="8">
        <v>1</v>
      </c>
      <c r="H17" s="9">
        <v>4.1829999999999998</v>
      </c>
      <c r="I17" s="10">
        <v>0.51919999999999999</v>
      </c>
      <c r="J17" s="10"/>
      <c r="K17" s="10">
        <f t="shared" si="7"/>
        <v>4.9705880844086874</v>
      </c>
      <c r="L17" s="10">
        <v>5.0674999999999999</v>
      </c>
      <c r="M17" s="8">
        <v>20</v>
      </c>
      <c r="N17" s="10"/>
      <c r="O17" s="10"/>
      <c r="P17" s="8" t="s">
        <v>49</v>
      </c>
      <c r="T17" s="17" t="s">
        <v>150</v>
      </c>
      <c r="U17" s="9">
        <f>AVERAGE(H3:H31)</f>
        <v>4.1700909090909093</v>
      </c>
      <c r="V17" s="9">
        <f>MEDIAN(H3:H31)</f>
        <v>4.1870000000000003</v>
      </c>
      <c r="W17" s="9">
        <f>STDEV(H3:H31)</f>
        <v>3.7479206356203727E-2</v>
      </c>
      <c r="X17" s="9">
        <f>W17/U17*100</f>
        <v>0.89876233332223177</v>
      </c>
      <c r="Y17" s="9">
        <f>VAR(H3:H31)</f>
        <v>1.4046909090909018E-3</v>
      </c>
      <c r="Z17" s="9">
        <f>MAX(H3:H31)</f>
        <v>4.1929999999999996</v>
      </c>
      <c r="AA17" s="9">
        <f>MIN(H3:H31)</f>
        <v>4.0830000000000002</v>
      </c>
      <c r="AB17" s="9">
        <f>Z17-AA17</f>
        <v>0.10999999999999943</v>
      </c>
      <c r="AC17" s="9">
        <f>COUNT(H3:H31)</f>
        <v>11</v>
      </c>
      <c r="AD17" s="9">
        <f>W17/SQRT(AC17)</f>
        <v>1.130040590216645E-2</v>
      </c>
    </row>
    <row r="18" spans="1:30" x14ac:dyDescent="0.25">
      <c r="A18" s="8">
        <v>17</v>
      </c>
      <c r="B18" s="8" t="s">
        <v>81</v>
      </c>
      <c r="C18" s="8">
        <v>0</v>
      </c>
      <c r="D18" s="8">
        <v>60</v>
      </c>
      <c r="E18" s="8" t="s">
        <v>75</v>
      </c>
      <c r="F18" s="8" t="s">
        <v>29</v>
      </c>
      <c r="G18" s="8">
        <v>1</v>
      </c>
      <c r="H18" s="9" t="s">
        <v>152</v>
      </c>
      <c r="I18" s="10" t="s">
        <v>152</v>
      </c>
      <c r="J18" s="10"/>
      <c r="K18" s="10" t="str">
        <f t="shared" si="7"/>
        <v>NA</v>
      </c>
      <c r="L18" s="10" t="s">
        <v>152</v>
      </c>
      <c r="M18" s="8">
        <v>5</v>
      </c>
      <c r="N18" s="10" t="str">
        <f t="shared" ref="N18:N29" si="8">IF(H18="NA", "NA",M18*K18)</f>
        <v>NA</v>
      </c>
      <c r="O18" s="10" t="str">
        <f t="shared" ref="O18:O29" si="9">IF(H18="NA", "NA",M18*L18)</f>
        <v>NA</v>
      </c>
      <c r="P18" s="8" t="s">
        <v>82</v>
      </c>
      <c r="T18" s="17" t="s">
        <v>151</v>
      </c>
      <c r="U18" s="10">
        <f>AVERAGE(I9,I17,I30)</f>
        <v>0.51549999999999996</v>
      </c>
      <c r="V18" s="10">
        <f>MEDIAN(I9,I17,I30)</f>
        <v>0.51919999999999999</v>
      </c>
      <c r="W18" s="10">
        <f>STDEV(I9,I17,I30)</f>
        <v>1.8332212086925013E-2</v>
      </c>
      <c r="X18" s="10">
        <f>W18/U18*100</f>
        <v>3.5562002108486936</v>
      </c>
      <c r="Y18" s="10">
        <f>VAR(I9,I17,I30)</f>
        <v>3.3606999999999951E-4</v>
      </c>
      <c r="Z18" s="10">
        <f>MAX(I9,I17,I30)</f>
        <v>0.53169999999999995</v>
      </c>
      <c r="AA18" s="10">
        <f>MIN(I9,I17,I30)</f>
        <v>0.49559999999999998</v>
      </c>
      <c r="AB18" s="10">
        <f>Z18-AA18</f>
        <v>3.6099999999999965E-2</v>
      </c>
      <c r="AC18" s="10">
        <f>COUNT(I9,I17,I30)</f>
        <v>3</v>
      </c>
      <c r="AD18" s="10">
        <f>W18/SQRT(AC18)</f>
        <v>1.0584107583227469E-2</v>
      </c>
    </row>
    <row r="19" spans="1:30" x14ac:dyDescent="0.25">
      <c r="A19" s="8">
        <v>18</v>
      </c>
      <c r="B19" s="8" t="s">
        <v>83</v>
      </c>
      <c r="C19" s="8">
        <v>0</v>
      </c>
      <c r="D19" s="8">
        <v>70</v>
      </c>
      <c r="E19" s="8" t="s">
        <v>75</v>
      </c>
      <c r="F19" s="8" t="s">
        <v>29</v>
      </c>
      <c r="G19" s="8">
        <v>1</v>
      </c>
      <c r="H19" s="9" t="s">
        <v>152</v>
      </c>
      <c r="I19" s="10" t="s">
        <v>152</v>
      </c>
      <c r="J19" s="10"/>
      <c r="K19" s="10" t="str">
        <f t="shared" ref="K19:K31" si="10">IF(H19="NA", "NA", ((I19-($AH$3))/$AG$3))</f>
        <v>NA</v>
      </c>
      <c r="L19" s="10" t="s">
        <v>152</v>
      </c>
      <c r="M19" s="8">
        <v>5</v>
      </c>
      <c r="N19" s="10" t="str">
        <f t="shared" si="8"/>
        <v>NA</v>
      </c>
      <c r="O19" s="10" t="str">
        <f t="shared" si="9"/>
        <v>NA</v>
      </c>
      <c r="P19" s="8" t="s">
        <v>84</v>
      </c>
      <c r="T19" s="17" t="s">
        <v>153</v>
      </c>
      <c r="U19" s="10">
        <f>AVERAGE(K9,K17,K30)</f>
        <v>4.9376363966555807</v>
      </c>
      <c r="V19" s="10">
        <f>MEDIAN(K9,K17,K30)</f>
        <v>4.9705880844086874</v>
      </c>
      <c r="W19" s="10">
        <f>STDEV(K9,K17,K30)</f>
        <v>0.16326414284110216</v>
      </c>
      <c r="X19" s="10">
        <f>W19/U19*100</f>
        <v>3.3065242096742118</v>
      </c>
      <c r="Y19" s="10">
        <f>VAR(K9,K17,K30)</f>
        <v>2.6655180337639809E-2</v>
      </c>
      <c r="Z19" s="10">
        <f>MAX(K9,K17,K30)</f>
        <v>5.0819113538448581</v>
      </c>
      <c r="AA19" s="10">
        <f>MIN(K9,K17,K30)</f>
        <v>4.7604097517131976</v>
      </c>
      <c r="AB19" s="10">
        <f>Z19-AA19</f>
        <v>0.32150160213166057</v>
      </c>
      <c r="AC19" s="10">
        <f>COUNT(K9,K17,K30)</f>
        <v>3</v>
      </c>
      <c r="AD19" s="10">
        <f>W19/SQRT(AC19)</f>
        <v>9.4260596818323855E-2</v>
      </c>
    </row>
    <row r="20" spans="1:30" x14ac:dyDescent="0.25">
      <c r="A20" s="8">
        <v>19</v>
      </c>
      <c r="B20" s="8" t="s">
        <v>85</v>
      </c>
      <c r="C20" s="8">
        <v>0</v>
      </c>
      <c r="D20" s="8">
        <v>80</v>
      </c>
      <c r="E20" s="8" t="s">
        <v>75</v>
      </c>
      <c r="F20" s="8" t="s">
        <v>29</v>
      </c>
      <c r="G20" s="8">
        <v>1</v>
      </c>
      <c r="H20" s="9" t="s">
        <v>152</v>
      </c>
      <c r="I20" s="10" t="s">
        <v>152</v>
      </c>
      <c r="J20" s="10"/>
      <c r="K20" s="10" t="str">
        <f t="shared" si="10"/>
        <v>NA</v>
      </c>
      <c r="L20" s="10" t="s">
        <v>152</v>
      </c>
      <c r="M20" s="8">
        <v>5</v>
      </c>
      <c r="N20" s="10" t="str">
        <f t="shared" si="8"/>
        <v>NA</v>
      </c>
      <c r="O20" s="10" t="str">
        <f t="shared" si="9"/>
        <v>NA</v>
      </c>
      <c r="P20" s="8" t="s">
        <v>86</v>
      </c>
      <c r="T20" s="17" t="s">
        <v>154</v>
      </c>
      <c r="U20" s="10">
        <f>AVERAGE(L9,L17,L30)</f>
        <v>5.0346666666666664</v>
      </c>
      <c r="V20" s="10">
        <f>MEDIAN(L9,L17,L30)</f>
        <v>5.0674999999999999</v>
      </c>
      <c r="W20" s="10">
        <f>STDEV(L9,L17,L30)</f>
        <v>0.16137485347269376</v>
      </c>
      <c r="X20" s="10">
        <f>W20/U20*100</f>
        <v>3.2052738375137801</v>
      </c>
      <c r="Y20" s="10">
        <f>VAR(L9,L17,L30)</f>
        <v>2.6041843333333377E-2</v>
      </c>
      <c r="Z20" s="10">
        <f>MAX(L9,L17,L30)</f>
        <v>5.1771000000000003</v>
      </c>
      <c r="AA20" s="10">
        <f>MIN(L9,L17,L30)</f>
        <v>4.8593999999999999</v>
      </c>
      <c r="AB20" s="10">
        <f>Z20-AA20</f>
        <v>0.31770000000000032</v>
      </c>
      <c r="AC20" s="10">
        <f>COUNT(L9,L17,L30)</f>
        <v>3</v>
      </c>
      <c r="AD20" s="10">
        <f>W20/SQRT(AC20)</f>
        <v>9.3169815092896166E-2</v>
      </c>
    </row>
    <row r="21" spans="1:30" x14ac:dyDescent="0.25">
      <c r="A21" s="8">
        <v>20</v>
      </c>
      <c r="B21" s="8" t="s">
        <v>87</v>
      </c>
      <c r="C21" s="8">
        <v>0</v>
      </c>
      <c r="D21" s="8">
        <v>90</v>
      </c>
      <c r="E21" s="8" t="s">
        <v>75</v>
      </c>
      <c r="F21" s="8" t="s">
        <v>29</v>
      </c>
      <c r="G21" s="8">
        <v>1</v>
      </c>
      <c r="H21" s="9" t="s">
        <v>152</v>
      </c>
      <c r="I21" s="10" t="s">
        <v>152</v>
      </c>
      <c r="J21" s="10"/>
      <c r="K21" s="10" t="str">
        <f t="shared" si="10"/>
        <v>NA</v>
      </c>
      <c r="L21" s="10" t="s">
        <v>152</v>
      </c>
      <c r="M21" s="8">
        <v>5</v>
      </c>
      <c r="N21" s="10" t="str">
        <f t="shared" si="8"/>
        <v>NA</v>
      </c>
      <c r="O21" s="10" t="str">
        <f t="shared" si="9"/>
        <v>NA</v>
      </c>
      <c r="P21" s="8" t="s">
        <v>88</v>
      </c>
      <c r="T21" s="17" t="s">
        <v>155</v>
      </c>
      <c r="U21" s="10">
        <f>AVERAGE(I8,I16,I31)</f>
        <v>2.1600000000000001E-2</v>
      </c>
      <c r="V21" s="10">
        <f>MEDIAN(I8,I16,I31)</f>
        <v>2.1600000000000001E-2</v>
      </c>
      <c r="W21" s="10" t="e">
        <f>STDEV(I8,I16,I31)</f>
        <v>#DIV/0!</v>
      </c>
      <c r="X21" s="10" t="e">
        <f t="shared" ref="X21:X23" si="11">W21/U21*100</f>
        <v>#DIV/0!</v>
      </c>
      <c r="Y21" s="10" t="e">
        <f>VAR(I8,I16,I31)</f>
        <v>#DIV/0!</v>
      </c>
      <c r="Z21" s="10">
        <f>MAX(I8,I16,I31)</f>
        <v>2.1600000000000001E-2</v>
      </c>
      <c r="AA21" s="10">
        <f>MIN(I8,I16,I31)</f>
        <v>2.1600000000000001E-2</v>
      </c>
      <c r="AB21" s="10">
        <f t="shared" ref="AB21:AB23" si="12">Z21-AA21</f>
        <v>0</v>
      </c>
      <c r="AC21" s="10">
        <f>COUNT(I8,I16,I31)</f>
        <v>1</v>
      </c>
      <c r="AD21" s="10" t="e">
        <f t="shared" ref="AD21:AD23" si="13">W21/SQRT(AC21)</f>
        <v>#DIV/0!</v>
      </c>
    </row>
    <row r="22" spans="1:30" x14ac:dyDescent="0.25">
      <c r="A22" s="8">
        <v>21</v>
      </c>
      <c r="B22" s="8" t="s">
        <v>89</v>
      </c>
      <c r="C22" s="8">
        <v>0</v>
      </c>
      <c r="D22" s="8">
        <v>100</v>
      </c>
      <c r="E22" s="8" t="s">
        <v>75</v>
      </c>
      <c r="F22" s="8" t="s">
        <v>29</v>
      </c>
      <c r="G22" s="8">
        <v>1</v>
      </c>
      <c r="H22" s="9" t="s">
        <v>152</v>
      </c>
      <c r="I22" s="10" t="s">
        <v>152</v>
      </c>
      <c r="J22" s="10"/>
      <c r="K22" s="10" t="str">
        <f t="shared" si="10"/>
        <v>NA</v>
      </c>
      <c r="L22" s="10" t="s">
        <v>152</v>
      </c>
      <c r="M22" s="8">
        <v>5</v>
      </c>
      <c r="N22" s="10" t="str">
        <f t="shared" si="8"/>
        <v>NA</v>
      </c>
      <c r="O22" s="10" t="str">
        <f t="shared" si="9"/>
        <v>NA</v>
      </c>
      <c r="P22" s="8" t="s">
        <v>90</v>
      </c>
      <c r="T22" s="17" t="s">
        <v>156</v>
      </c>
      <c r="U22" s="10">
        <f>AVERAGE(K8,K16,K31)</f>
        <v>0.53903137469360274</v>
      </c>
      <c r="V22" s="10">
        <f>MEDIAN(K8,K16,K31)</f>
        <v>0.53903137469360274</v>
      </c>
      <c r="W22" s="10" t="e">
        <f>STDEV(K8,K16,K31)</f>
        <v>#DIV/0!</v>
      </c>
      <c r="X22" s="10" t="e">
        <f t="shared" si="11"/>
        <v>#DIV/0!</v>
      </c>
      <c r="Y22" s="10" t="e">
        <f>VAR(K8,K16,K31)</f>
        <v>#DIV/0!</v>
      </c>
      <c r="Z22" s="10">
        <f>MAX(K8,K16,K31)</f>
        <v>0.53903137469360274</v>
      </c>
      <c r="AA22" s="10">
        <f>MIN(K8,K16,K31)</f>
        <v>0.53903137469360274</v>
      </c>
      <c r="AB22" s="10">
        <f t="shared" si="12"/>
        <v>0</v>
      </c>
      <c r="AC22" s="10">
        <f>COUNT(K8,K16,K31)</f>
        <v>1</v>
      </c>
      <c r="AD22" s="10" t="e">
        <f t="shared" si="13"/>
        <v>#DIV/0!</v>
      </c>
    </row>
    <row r="23" spans="1:30" x14ac:dyDescent="0.25">
      <c r="A23" s="8">
        <v>22</v>
      </c>
      <c r="B23" s="8" t="s">
        <v>91</v>
      </c>
      <c r="C23" s="8">
        <v>0</v>
      </c>
      <c r="D23" s="8">
        <v>60</v>
      </c>
      <c r="E23" s="8" t="s">
        <v>92</v>
      </c>
      <c r="F23" s="8" t="s">
        <v>29</v>
      </c>
      <c r="G23" s="8">
        <v>1</v>
      </c>
      <c r="H23" s="9" t="s">
        <v>152</v>
      </c>
      <c r="I23" s="10" t="s">
        <v>152</v>
      </c>
      <c r="J23" s="10"/>
      <c r="K23" s="10" t="str">
        <f t="shared" si="10"/>
        <v>NA</v>
      </c>
      <c r="L23" s="10" t="s">
        <v>152</v>
      </c>
      <c r="M23" s="8">
        <v>5</v>
      </c>
      <c r="N23" s="10" t="str">
        <f t="shared" si="8"/>
        <v>NA</v>
      </c>
      <c r="O23" s="10" t="str">
        <f t="shared" si="9"/>
        <v>NA</v>
      </c>
      <c r="P23" s="8" t="s">
        <v>93</v>
      </c>
      <c r="T23" s="17" t="s">
        <v>157</v>
      </c>
      <c r="U23" s="10">
        <f>AVERAGE(L8,L16,L31)</f>
        <v>0.68379999999999996</v>
      </c>
      <c r="V23" s="10">
        <f>MEDIAN(L8,L16,L31)</f>
        <v>0.68379999999999996</v>
      </c>
      <c r="W23" s="10" t="e">
        <f>STDEV(L8,L16,L31)</f>
        <v>#DIV/0!</v>
      </c>
      <c r="X23" s="10" t="e">
        <f t="shared" si="11"/>
        <v>#DIV/0!</v>
      </c>
      <c r="Y23" s="10" t="e">
        <f>VAR(L8,L16,L31)</f>
        <v>#DIV/0!</v>
      </c>
      <c r="Z23" s="10">
        <f>MAX(L8,L16,L31)</f>
        <v>0.68379999999999996</v>
      </c>
      <c r="AA23" s="10">
        <f>MIN(L8,L16,L31)</f>
        <v>0.68379999999999996</v>
      </c>
      <c r="AB23" s="10">
        <f t="shared" si="12"/>
        <v>0</v>
      </c>
      <c r="AC23" s="10">
        <f>COUNT(L8,L16,L31)</f>
        <v>1</v>
      </c>
      <c r="AD23" s="10" t="e">
        <f t="shared" si="13"/>
        <v>#DIV/0!</v>
      </c>
    </row>
    <row r="24" spans="1:30" x14ac:dyDescent="0.25">
      <c r="A24" s="8">
        <v>23</v>
      </c>
      <c r="B24" s="8" t="s">
        <v>94</v>
      </c>
      <c r="C24" s="8">
        <v>0</v>
      </c>
      <c r="D24" s="8">
        <v>100</v>
      </c>
      <c r="E24" s="8" t="s">
        <v>92</v>
      </c>
      <c r="F24" s="8" t="s">
        <v>29</v>
      </c>
      <c r="G24" s="8">
        <v>1</v>
      </c>
      <c r="H24" s="9" t="s">
        <v>152</v>
      </c>
      <c r="I24" s="10" t="s">
        <v>152</v>
      </c>
      <c r="J24" s="10"/>
      <c r="K24" s="10" t="str">
        <f t="shared" si="10"/>
        <v>NA</v>
      </c>
      <c r="L24" s="10" t="s">
        <v>152</v>
      </c>
      <c r="M24" s="8">
        <v>5</v>
      </c>
      <c r="N24" s="10" t="str">
        <f t="shared" si="8"/>
        <v>NA</v>
      </c>
      <c r="O24" s="10" t="str">
        <f t="shared" si="9"/>
        <v>NA</v>
      </c>
      <c r="P24" s="8" t="s">
        <v>95</v>
      </c>
    </row>
    <row r="25" spans="1:30" x14ac:dyDescent="0.25">
      <c r="A25" s="8">
        <v>24</v>
      </c>
      <c r="B25" s="8" t="s">
        <v>96</v>
      </c>
      <c r="C25" s="8">
        <v>10</v>
      </c>
      <c r="D25" s="8">
        <v>0</v>
      </c>
      <c r="E25" s="8" t="s">
        <v>75</v>
      </c>
      <c r="F25" s="8" t="s">
        <v>29</v>
      </c>
      <c r="G25" s="8">
        <v>1</v>
      </c>
      <c r="H25" s="9" t="s">
        <v>152</v>
      </c>
      <c r="I25" s="10" t="s">
        <v>152</v>
      </c>
      <c r="J25" s="10"/>
      <c r="K25" s="10" t="str">
        <f t="shared" si="10"/>
        <v>NA</v>
      </c>
      <c r="L25" s="10" t="s">
        <v>152</v>
      </c>
      <c r="M25" s="8">
        <v>5</v>
      </c>
      <c r="N25" s="10" t="str">
        <f t="shared" si="8"/>
        <v>NA</v>
      </c>
      <c r="O25" s="10" t="str">
        <f t="shared" si="9"/>
        <v>NA</v>
      </c>
      <c r="P25" s="8" t="s">
        <v>97</v>
      </c>
      <c r="T25" s="19"/>
    </row>
    <row r="26" spans="1:30" x14ac:dyDescent="0.25">
      <c r="A26" s="8">
        <v>25</v>
      </c>
      <c r="B26" s="8" t="s">
        <v>98</v>
      </c>
      <c r="C26" s="8">
        <v>10</v>
      </c>
      <c r="D26" s="8">
        <v>60</v>
      </c>
      <c r="E26" s="8" t="s">
        <v>75</v>
      </c>
      <c r="F26" s="8" t="s">
        <v>29</v>
      </c>
      <c r="G26" s="8">
        <v>1</v>
      </c>
      <c r="H26" s="9" t="s">
        <v>152</v>
      </c>
      <c r="I26" s="10" t="s">
        <v>152</v>
      </c>
      <c r="J26" s="10"/>
      <c r="K26" s="10" t="str">
        <f t="shared" si="10"/>
        <v>NA</v>
      </c>
      <c r="L26" s="10" t="s">
        <v>152</v>
      </c>
      <c r="M26" s="8">
        <v>5</v>
      </c>
      <c r="N26" s="10" t="str">
        <f t="shared" si="8"/>
        <v>NA</v>
      </c>
      <c r="O26" s="10" t="str">
        <f t="shared" si="9"/>
        <v>NA</v>
      </c>
      <c r="P26" s="8" t="s">
        <v>99</v>
      </c>
      <c r="T26" s="11"/>
      <c r="U26" s="3" t="s">
        <v>158</v>
      </c>
      <c r="V26" s="3" t="s">
        <v>159</v>
      </c>
      <c r="W26" s="3" t="s">
        <v>160</v>
      </c>
      <c r="X26" s="3" t="s">
        <v>161</v>
      </c>
      <c r="Y26" s="3" t="s">
        <v>162</v>
      </c>
      <c r="Z26" s="3" t="s">
        <v>163</v>
      </c>
      <c r="AA26" s="3" t="s">
        <v>164</v>
      </c>
    </row>
    <row r="27" spans="1:30" ht="45" x14ac:dyDescent="0.25">
      <c r="A27" s="8">
        <v>26</v>
      </c>
      <c r="B27" s="8" t="s">
        <v>100</v>
      </c>
      <c r="C27" s="8">
        <v>10</v>
      </c>
      <c r="D27" s="8">
        <v>70</v>
      </c>
      <c r="E27" s="8" t="s">
        <v>75</v>
      </c>
      <c r="F27" s="8" t="s">
        <v>29</v>
      </c>
      <c r="G27" s="8">
        <v>1</v>
      </c>
      <c r="H27" s="9" t="s">
        <v>152</v>
      </c>
      <c r="I27" s="10" t="s">
        <v>152</v>
      </c>
      <c r="J27" s="10"/>
      <c r="K27" s="10" t="str">
        <f t="shared" si="10"/>
        <v>NA</v>
      </c>
      <c r="L27" s="10" t="s">
        <v>152</v>
      </c>
      <c r="M27" s="8">
        <v>5</v>
      </c>
      <c r="N27" s="10" t="str">
        <f t="shared" si="8"/>
        <v>NA</v>
      </c>
      <c r="O27" s="10" t="str">
        <f t="shared" si="9"/>
        <v>NA</v>
      </c>
      <c r="P27" s="8" t="s">
        <v>101</v>
      </c>
      <c r="T27" s="20" t="s">
        <v>165</v>
      </c>
      <c r="U27" s="21">
        <f>K5</f>
        <v>4.3195696047459613</v>
      </c>
      <c r="V27" s="21">
        <f>L5</f>
        <v>4.4234999999999998</v>
      </c>
      <c r="W27" s="22">
        <v>102</v>
      </c>
      <c r="X27" s="22">
        <v>1</v>
      </c>
      <c r="Y27" s="21">
        <f>W27/(20)</f>
        <v>5.0999999999999996</v>
      </c>
      <c r="Z27" s="21">
        <f>V27/Y27 *100</f>
        <v>86.735294117647058</v>
      </c>
      <c r="AA27" s="21">
        <f>U27/Y27 *100</f>
        <v>84.69744323031297</v>
      </c>
    </row>
    <row r="28" spans="1:30" ht="45" x14ac:dyDescent="0.25">
      <c r="A28" s="8">
        <v>27</v>
      </c>
      <c r="B28" s="8" t="s">
        <v>102</v>
      </c>
      <c r="C28" s="8">
        <v>10</v>
      </c>
      <c r="D28" s="8">
        <v>10</v>
      </c>
      <c r="E28" s="8" t="s">
        <v>92</v>
      </c>
      <c r="F28" s="8" t="s">
        <v>29</v>
      </c>
      <c r="G28" s="8">
        <v>1</v>
      </c>
      <c r="H28" s="9" t="s">
        <v>152</v>
      </c>
      <c r="I28" s="10" t="s">
        <v>152</v>
      </c>
      <c r="J28" s="10"/>
      <c r="K28" s="10" t="str">
        <f t="shared" si="10"/>
        <v>NA</v>
      </c>
      <c r="L28" s="10" t="s">
        <v>152</v>
      </c>
      <c r="M28" s="8">
        <v>5</v>
      </c>
      <c r="N28" s="10" t="str">
        <f t="shared" si="8"/>
        <v>NA</v>
      </c>
      <c r="O28" s="10" t="str">
        <f t="shared" si="9"/>
        <v>NA</v>
      </c>
      <c r="P28" s="8" t="s">
        <v>103</v>
      </c>
      <c r="T28" s="20" t="s">
        <v>166</v>
      </c>
      <c r="U28" s="21">
        <f>U19</f>
        <v>4.9376363966555807</v>
      </c>
      <c r="V28" s="21">
        <f>U20</f>
        <v>5.0346666666666664</v>
      </c>
      <c r="W28" s="22">
        <v>100</v>
      </c>
      <c r="X28" s="22">
        <v>1</v>
      </c>
      <c r="Y28" s="21">
        <f>W28/(20)</f>
        <v>5</v>
      </c>
      <c r="Z28" s="21">
        <f>V28/Y28 *100</f>
        <v>100.69333333333333</v>
      </c>
      <c r="AA28" s="21">
        <f>U28/Y28 *100</f>
        <v>98.752727933111615</v>
      </c>
    </row>
    <row r="29" spans="1:30" x14ac:dyDescent="0.25">
      <c r="A29" s="8">
        <v>28</v>
      </c>
      <c r="B29" s="8" t="s">
        <v>104</v>
      </c>
      <c r="C29" s="8">
        <v>10</v>
      </c>
      <c r="D29" s="8">
        <v>50</v>
      </c>
      <c r="E29" s="8" t="s">
        <v>92</v>
      </c>
      <c r="F29" s="8" t="s">
        <v>29</v>
      </c>
      <c r="G29" s="8">
        <v>1</v>
      </c>
      <c r="H29" s="9" t="s">
        <v>152</v>
      </c>
      <c r="I29" s="10" t="s">
        <v>152</v>
      </c>
      <c r="J29" s="10"/>
      <c r="K29" s="10" t="str">
        <f t="shared" si="10"/>
        <v>NA</v>
      </c>
      <c r="L29" s="10" t="s">
        <v>152</v>
      </c>
      <c r="M29" s="8">
        <v>5</v>
      </c>
      <c r="N29" s="10" t="str">
        <f t="shared" si="8"/>
        <v>NA</v>
      </c>
      <c r="O29" s="10" t="str">
        <f t="shared" si="9"/>
        <v>NA</v>
      </c>
      <c r="P29" s="8" t="s">
        <v>105</v>
      </c>
    </row>
    <row r="30" spans="1:30" x14ac:dyDescent="0.25">
      <c r="A30" s="8">
        <v>29</v>
      </c>
      <c r="B30" s="8" t="s">
        <v>48</v>
      </c>
      <c r="C30" s="8"/>
      <c r="D30" s="8"/>
      <c r="E30" s="8"/>
      <c r="F30" s="8" t="s">
        <v>29</v>
      </c>
      <c r="G30" s="8">
        <v>1</v>
      </c>
      <c r="H30" s="9">
        <v>4.1870000000000003</v>
      </c>
      <c r="I30" s="10">
        <v>0.53169999999999995</v>
      </c>
      <c r="J30" s="10"/>
      <c r="K30" s="10">
        <f t="shared" si="10"/>
        <v>5.0819113538448581</v>
      </c>
      <c r="L30" s="10">
        <v>5.1771000000000003</v>
      </c>
      <c r="M30" s="8">
        <v>20</v>
      </c>
      <c r="N30" s="10"/>
      <c r="O30" s="8"/>
      <c r="P30" s="8" t="s">
        <v>49</v>
      </c>
    </row>
    <row r="31" spans="1:30" x14ac:dyDescent="0.25">
      <c r="A31" s="8">
        <v>30</v>
      </c>
      <c r="B31" s="8" t="s">
        <v>28</v>
      </c>
      <c r="C31" s="8"/>
      <c r="D31" s="8"/>
      <c r="E31" s="8"/>
      <c r="F31" s="8" t="s">
        <v>29</v>
      </c>
      <c r="G31" s="8">
        <v>1</v>
      </c>
      <c r="H31" s="9" t="s">
        <v>152</v>
      </c>
      <c r="I31" s="10" t="s">
        <v>152</v>
      </c>
      <c r="J31" s="10"/>
      <c r="K31" s="10" t="str">
        <f t="shared" si="10"/>
        <v>NA</v>
      </c>
      <c r="L31" s="10" t="s">
        <v>152</v>
      </c>
      <c r="M31" s="8">
        <v>0</v>
      </c>
      <c r="N31" s="10"/>
      <c r="O31" s="8"/>
      <c r="P31" s="8" t="s">
        <v>30</v>
      </c>
      <c r="T31" s="8"/>
      <c r="U31" s="3" t="s">
        <v>167</v>
      </c>
      <c r="V31" s="3" t="s">
        <v>168</v>
      </c>
      <c r="W31" s="3" t="s">
        <v>169</v>
      </c>
      <c r="X31" s="3" t="s">
        <v>170</v>
      </c>
      <c r="Y31" s="3" t="s">
        <v>171</v>
      </c>
      <c r="Z31" s="3" t="s">
        <v>172</v>
      </c>
      <c r="AA31" s="3" t="s">
        <v>173</v>
      </c>
      <c r="AB31" s="3" t="s">
        <v>163</v>
      </c>
      <c r="AC31" s="3" t="s">
        <v>164</v>
      </c>
    </row>
    <row r="32" spans="1:30" x14ac:dyDescent="0.25">
      <c r="T32" s="17" t="s">
        <v>174</v>
      </c>
      <c r="U32" s="10">
        <f>I5</f>
        <v>0.4461</v>
      </c>
      <c r="V32" s="10">
        <f>U18</f>
        <v>0.51549999999999996</v>
      </c>
      <c r="W32" s="10">
        <f>K5</f>
        <v>4.3195696047459613</v>
      </c>
      <c r="X32" s="10">
        <f>L5</f>
        <v>4.4234999999999998</v>
      </c>
      <c r="Y32" s="10">
        <f>U19</f>
        <v>4.9376363966555807</v>
      </c>
      <c r="Z32" s="10">
        <f>U20</f>
        <v>5.0346666666666664</v>
      </c>
      <c r="AA32" s="10">
        <f>U32/V32 *100</f>
        <v>86.537342386032989</v>
      </c>
      <c r="AB32" s="10">
        <f>W32/Y32 *100</f>
        <v>87.482537346649181</v>
      </c>
      <c r="AC32" s="10">
        <f>X32/Z32 *100</f>
        <v>87.860831567796609</v>
      </c>
    </row>
    <row r="35" spans="19:34" x14ac:dyDescent="0.25">
      <c r="S35" s="6" t="s">
        <v>175</v>
      </c>
      <c r="T35" s="3" t="s">
        <v>13</v>
      </c>
      <c r="U35" s="3" t="s">
        <v>14</v>
      </c>
      <c r="V35" s="3" t="s">
        <v>15</v>
      </c>
      <c r="W35" s="3" t="s">
        <v>16</v>
      </c>
      <c r="X35" s="3" t="s">
        <v>17</v>
      </c>
      <c r="Y35" s="3" t="s">
        <v>18</v>
      </c>
      <c r="Z35" s="3" t="s">
        <v>19</v>
      </c>
      <c r="AA35" s="4" t="s">
        <v>21</v>
      </c>
      <c r="AB35" s="4" t="s">
        <v>22</v>
      </c>
      <c r="AC35" s="4" t="s">
        <v>183</v>
      </c>
      <c r="AD35" s="4" t="s">
        <v>184</v>
      </c>
    </row>
    <row r="36" spans="19:34" x14ac:dyDescent="0.25">
      <c r="T36" s="8">
        <v>3</v>
      </c>
      <c r="U36" s="8" t="s">
        <v>50</v>
      </c>
      <c r="V36" s="8">
        <v>20</v>
      </c>
      <c r="W36" s="8">
        <v>20</v>
      </c>
      <c r="X36" s="8" t="s">
        <v>51</v>
      </c>
      <c r="Y36" s="8" t="s">
        <v>29</v>
      </c>
      <c r="Z36" s="8">
        <v>1</v>
      </c>
      <c r="AA36" s="9" t="s">
        <v>152</v>
      </c>
      <c r="AB36" s="10" t="s">
        <v>152</v>
      </c>
      <c r="AC36" s="10" t="str">
        <f>IF(AA36="NA", "NA", ((AB36-($AH$3))/$AG$3))</f>
        <v>NA</v>
      </c>
      <c r="AD36" s="10" t="s">
        <v>152</v>
      </c>
    </row>
    <row r="37" spans="19:34" x14ac:dyDescent="0.25">
      <c r="T37" s="8">
        <v>4</v>
      </c>
      <c r="U37" s="8" t="s">
        <v>53</v>
      </c>
      <c r="V37" s="8">
        <v>20</v>
      </c>
      <c r="W37" s="8">
        <v>20</v>
      </c>
      <c r="X37" s="8" t="s">
        <v>54</v>
      </c>
      <c r="Y37" s="8" t="s">
        <v>29</v>
      </c>
      <c r="Z37" s="8">
        <v>1</v>
      </c>
      <c r="AA37" s="9" t="s">
        <v>152</v>
      </c>
      <c r="AB37" s="10" t="s">
        <v>152</v>
      </c>
      <c r="AC37" s="10" t="str">
        <f t="shared" ref="AC37:AC44" si="14">IF(AA37="NA", "NA", ((AB37-($AH$3))/$AG$3))</f>
        <v>NA</v>
      </c>
      <c r="AD37" s="10" t="s">
        <v>152</v>
      </c>
    </row>
    <row r="38" spans="19:34" x14ac:dyDescent="0.25">
      <c r="T38" s="8">
        <v>5</v>
      </c>
      <c r="U38" s="8" t="s">
        <v>56</v>
      </c>
      <c r="V38" s="8">
        <v>20</v>
      </c>
      <c r="W38" s="8">
        <v>20</v>
      </c>
      <c r="X38" s="8" t="s">
        <v>57</v>
      </c>
      <c r="Y38" s="8" t="s">
        <v>29</v>
      </c>
      <c r="Z38" s="8">
        <v>1</v>
      </c>
      <c r="AA38" s="9" t="s">
        <v>152</v>
      </c>
      <c r="AB38" s="10" t="s">
        <v>152</v>
      </c>
      <c r="AC38" s="10" t="str">
        <f t="shared" si="14"/>
        <v>NA</v>
      </c>
      <c r="AD38" s="10" t="s">
        <v>152</v>
      </c>
    </row>
    <row r="39" spans="19:34" x14ac:dyDescent="0.25">
      <c r="T39" s="8">
        <v>6</v>
      </c>
      <c r="U39" s="8" t="s">
        <v>59</v>
      </c>
      <c r="V39" s="8">
        <v>0</v>
      </c>
      <c r="W39" s="8">
        <v>10</v>
      </c>
      <c r="X39" s="8" t="s">
        <v>60</v>
      </c>
      <c r="Y39" s="8" t="s">
        <v>29</v>
      </c>
      <c r="Z39" s="8">
        <v>1</v>
      </c>
      <c r="AA39" s="9" t="s">
        <v>152</v>
      </c>
      <c r="AB39" s="10" t="s">
        <v>152</v>
      </c>
      <c r="AC39" s="10" t="str">
        <f t="shared" si="14"/>
        <v>NA</v>
      </c>
      <c r="AD39" s="10" t="s">
        <v>152</v>
      </c>
    </row>
    <row r="40" spans="19:34" x14ac:dyDescent="0.25">
      <c r="T40" s="8">
        <v>7</v>
      </c>
      <c r="U40" s="8" t="s">
        <v>62</v>
      </c>
      <c r="V40" s="8">
        <v>0</v>
      </c>
      <c r="W40" s="8">
        <v>10</v>
      </c>
      <c r="X40" s="8" t="s">
        <v>63</v>
      </c>
      <c r="Y40" s="8" t="s">
        <v>29</v>
      </c>
      <c r="Z40" s="8">
        <v>1</v>
      </c>
      <c r="AA40" s="9" t="s">
        <v>152</v>
      </c>
      <c r="AB40" s="10" t="s">
        <v>152</v>
      </c>
      <c r="AC40" s="10" t="str">
        <f t="shared" si="14"/>
        <v>NA</v>
      </c>
      <c r="AD40" s="10" t="s">
        <v>152</v>
      </c>
    </row>
    <row r="41" spans="19:34" x14ac:dyDescent="0.25">
      <c r="T41" s="8">
        <v>8</v>
      </c>
      <c r="U41" s="8" t="s">
        <v>65</v>
      </c>
      <c r="V41" s="8">
        <v>0</v>
      </c>
      <c r="W41" s="8">
        <v>10</v>
      </c>
      <c r="X41" s="8" t="s">
        <v>66</v>
      </c>
      <c r="Y41" s="8" t="s">
        <v>29</v>
      </c>
      <c r="Z41" s="8">
        <v>1</v>
      </c>
      <c r="AA41" s="9" t="s">
        <v>152</v>
      </c>
      <c r="AB41" s="10" t="s">
        <v>152</v>
      </c>
      <c r="AC41" s="10" t="str">
        <f t="shared" si="14"/>
        <v>NA</v>
      </c>
      <c r="AD41" s="10" t="s">
        <v>152</v>
      </c>
    </row>
    <row r="42" spans="19:34" x14ac:dyDescent="0.25">
      <c r="T42" s="8">
        <v>9</v>
      </c>
      <c r="U42" s="8" t="s">
        <v>68</v>
      </c>
      <c r="V42" s="8">
        <v>10</v>
      </c>
      <c r="W42" s="8">
        <v>90</v>
      </c>
      <c r="X42" s="8" t="s">
        <v>51</v>
      </c>
      <c r="Y42" s="8" t="s">
        <v>29</v>
      </c>
      <c r="Z42" s="8">
        <v>1</v>
      </c>
      <c r="AA42" s="9">
        <v>4.1070000000000002</v>
      </c>
      <c r="AB42" s="10">
        <v>0.40939999999999999</v>
      </c>
      <c r="AC42" s="10">
        <f>IF(AA42="NA", "NA", ((AB42-($AH$3))/$AG$3))</f>
        <v>3.9927244856813635</v>
      </c>
      <c r="AD42" s="10">
        <v>4.0998999999999999</v>
      </c>
    </row>
    <row r="43" spans="19:34" x14ac:dyDescent="0.25">
      <c r="T43" s="8">
        <v>10</v>
      </c>
      <c r="U43" s="8" t="s">
        <v>70</v>
      </c>
      <c r="V43" s="8">
        <v>10</v>
      </c>
      <c r="W43" s="8">
        <v>90</v>
      </c>
      <c r="X43" s="8" t="s">
        <v>54</v>
      </c>
      <c r="Y43" s="8" t="s">
        <v>29</v>
      </c>
      <c r="Z43" s="8">
        <v>1</v>
      </c>
      <c r="AA43" s="9">
        <v>4.1100000000000003</v>
      </c>
      <c r="AB43" s="10">
        <v>0.44340000000000002</v>
      </c>
      <c r="AC43" s="10">
        <f t="shared" si="14"/>
        <v>4.2955237785477483</v>
      </c>
      <c r="AD43" s="10">
        <v>4.3992000000000004</v>
      </c>
    </row>
    <row r="44" spans="19:34" x14ac:dyDescent="0.25">
      <c r="T44" s="8">
        <v>11</v>
      </c>
      <c r="U44" s="8" t="s">
        <v>72</v>
      </c>
      <c r="V44" s="8">
        <v>10</v>
      </c>
      <c r="W44" s="8">
        <v>90</v>
      </c>
      <c r="X44" s="8" t="s">
        <v>57</v>
      </c>
      <c r="Y44" s="8" t="s">
        <v>29</v>
      </c>
      <c r="Z44" s="8">
        <v>1</v>
      </c>
      <c r="AA44" s="9">
        <v>4.1070000000000002</v>
      </c>
      <c r="AB44" s="10">
        <v>0.44059999999999999</v>
      </c>
      <c r="AC44" s="10">
        <f t="shared" si="14"/>
        <v>4.2705873661940457</v>
      </c>
      <c r="AD44" s="10">
        <v>4.3752000000000004</v>
      </c>
    </row>
    <row r="46" spans="19:34" x14ac:dyDescent="0.25">
      <c r="T46" s="7"/>
      <c r="U46" s="3" t="s">
        <v>14</v>
      </c>
      <c r="V46" s="3" t="s">
        <v>15</v>
      </c>
      <c r="W46" s="3" t="s">
        <v>16</v>
      </c>
      <c r="X46" s="3" t="s">
        <v>17</v>
      </c>
      <c r="Y46" s="3" t="s">
        <v>140</v>
      </c>
      <c r="Z46" s="3" t="s">
        <v>141</v>
      </c>
      <c r="AA46" s="3" t="s">
        <v>142</v>
      </c>
      <c r="AB46" s="3" t="s">
        <v>143</v>
      </c>
      <c r="AC46" s="7" t="s">
        <v>144</v>
      </c>
      <c r="AD46" s="3" t="s">
        <v>145</v>
      </c>
      <c r="AE46" s="3" t="s">
        <v>146</v>
      </c>
      <c r="AF46" s="3" t="s">
        <v>147</v>
      </c>
      <c r="AG46" s="3" t="s">
        <v>148</v>
      </c>
      <c r="AH46" s="3" t="s">
        <v>149</v>
      </c>
    </row>
    <row r="47" spans="19:34" x14ac:dyDescent="0.25">
      <c r="T47" s="4" t="s">
        <v>22</v>
      </c>
      <c r="U47" s="8" t="s">
        <v>176</v>
      </c>
      <c r="V47" s="8">
        <v>20</v>
      </c>
      <c r="W47" s="8">
        <v>20</v>
      </c>
      <c r="X47" s="8" t="s">
        <v>75</v>
      </c>
      <c r="Y47" s="9" t="e">
        <f>AVERAGE(AB36:AB38)</f>
        <v>#DIV/0!</v>
      </c>
      <c r="Z47" s="9" t="e">
        <f>MEDIAN(AB36:AB38)</f>
        <v>#NUM!</v>
      </c>
      <c r="AA47" s="9" t="e">
        <f>STDEV(AB36:AB38)</f>
        <v>#DIV/0!</v>
      </c>
      <c r="AB47" s="9" t="e">
        <f t="shared" ref="AB47:AB55" si="15">AA47/Y47*100</f>
        <v>#DIV/0!</v>
      </c>
      <c r="AC47" s="9" t="e">
        <f>VAR(AB36:AB38)</f>
        <v>#DIV/0!</v>
      </c>
      <c r="AD47" s="9">
        <f>MAX(AB36:AB38)</f>
        <v>0</v>
      </c>
      <c r="AE47" s="9">
        <f>MIN(AB36:AB38)</f>
        <v>0</v>
      </c>
      <c r="AF47" s="9">
        <f t="shared" ref="AF47:AF55" si="16">AD47-AE47</f>
        <v>0</v>
      </c>
      <c r="AG47" s="9">
        <f>COUNT(AB36:AB38)</f>
        <v>0</v>
      </c>
      <c r="AH47" s="9" t="e">
        <f t="shared" ref="AH47:AH55" si="17">AA47/SQRT(AG47)</f>
        <v>#DIV/0!</v>
      </c>
    </row>
    <row r="48" spans="19:34" x14ac:dyDescent="0.25">
      <c r="T48" s="4" t="s">
        <v>183</v>
      </c>
      <c r="U48" s="8" t="s">
        <v>176</v>
      </c>
      <c r="V48" s="8">
        <v>20</v>
      </c>
      <c r="W48" s="8">
        <v>20</v>
      </c>
      <c r="X48" s="8" t="s">
        <v>75</v>
      </c>
      <c r="Y48" s="10" t="e">
        <f>AVERAGE(AC36:AC38)</f>
        <v>#DIV/0!</v>
      </c>
      <c r="Z48" s="10" t="e">
        <f>MEDIAN(AC36:AC38)</f>
        <v>#NUM!</v>
      </c>
      <c r="AA48" s="10" t="e">
        <f>STDEV(AC36:AC38)</f>
        <v>#DIV/0!</v>
      </c>
      <c r="AB48" s="10" t="e">
        <f t="shared" si="15"/>
        <v>#DIV/0!</v>
      </c>
      <c r="AC48" s="10" t="e">
        <f>VAR(AC36:AC38)</f>
        <v>#DIV/0!</v>
      </c>
      <c r="AD48" s="10">
        <f>MAX(AC36:AC38)</f>
        <v>0</v>
      </c>
      <c r="AE48" s="10">
        <f>MIN(AC36:AC38)</f>
        <v>0</v>
      </c>
      <c r="AF48" s="10">
        <f t="shared" si="16"/>
        <v>0</v>
      </c>
      <c r="AG48" s="10">
        <f>COUNT(AC36:AC38)</f>
        <v>0</v>
      </c>
      <c r="AH48" s="10" t="e">
        <f t="shared" si="17"/>
        <v>#DIV/0!</v>
      </c>
    </row>
    <row r="49" spans="20:34" x14ac:dyDescent="0.25">
      <c r="T49" s="4" t="s">
        <v>184</v>
      </c>
      <c r="U49" s="8" t="s">
        <v>176</v>
      </c>
      <c r="V49" s="8">
        <v>20</v>
      </c>
      <c r="W49" s="8">
        <v>20</v>
      </c>
      <c r="X49" s="8" t="s">
        <v>75</v>
      </c>
      <c r="Y49" s="10" t="e">
        <f>AVERAGE(AD36:AD38)</f>
        <v>#DIV/0!</v>
      </c>
      <c r="Z49" s="10" t="e">
        <f>MEDIAN(AD36:AD38)</f>
        <v>#NUM!</v>
      </c>
      <c r="AA49" s="10" t="e">
        <f>STDEV(AD36:AD38)</f>
        <v>#DIV/0!</v>
      </c>
      <c r="AB49" s="10" t="e">
        <f t="shared" si="15"/>
        <v>#DIV/0!</v>
      </c>
      <c r="AC49" s="10" t="e">
        <f>VAR(AD36:AD38)</f>
        <v>#DIV/0!</v>
      </c>
      <c r="AD49" s="10">
        <f>MAX(AD36:AD38)</f>
        <v>0</v>
      </c>
      <c r="AE49" s="10">
        <f>MIN(AD36:AD38)</f>
        <v>0</v>
      </c>
      <c r="AF49" s="10">
        <f t="shared" si="16"/>
        <v>0</v>
      </c>
      <c r="AG49" s="10">
        <f>COUNT(AD36:AD38)</f>
        <v>0</v>
      </c>
      <c r="AH49" s="10" t="e">
        <f t="shared" si="17"/>
        <v>#DIV/0!</v>
      </c>
    </row>
    <row r="50" spans="20:34" x14ac:dyDescent="0.25">
      <c r="T50" s="4" t="s">
        <v>22</v>
      </c>
      <c r="U50" s="8" t="s">
        <v>177</v>
      </c>
      <c r="V50" s="8">
        <v>0</v>
      </c>
      <c r="W50" s="8">
        <v>10</v>
      </c>
      <c r="X50" s="8" t="s">
        <v>92</v>
      </c>
      <c r="Y50" s="9" t="e">
        <f>AVERAGE(AB39:AB41)</f>
        <v>#DIV/0!</v>
      </c>
      <c r="Z50" s="9" t="e">
        <f>MEDIAN(AB39:AB41)</f>
        <v>#NUM!</v>
      </c>
      <c r="AA50" s="9" t="e">
        <f>STDEV(AB39:AB41)</f>
        <v>#DIV/0!</v>
      </c>
      <c r="AB50" s="9" t="e">
        <f t="shared" si="15"/>
        <v>#DIV/0!</v>
      </c>
      <c r="AC50" s="9" t="e">
        <f>VAR(AB39:AB41)</f>
        <v>#DIV/0!</v>
      </c>
      <c r="AD50" s="9">
        <f>MAX(AB39:AB41)</f>
        <v>0</v>
      </c>
      <c r="AE50" s="9">
        <f>MIN(AB39:AB41)</f>
        <v>0</v>
      </c>
      <c r="AF50" s="9">
        <f t="shared" si="16"/>
        <v>0</v>
      </c>
      <c r="AG50" s="9">
        <f>COUNT(AB39:AB41)</f>
        <v>0</v>
      </c>
      <c r="AH50" s="9" t="e">
        <f t="shared" si="17"/>
        <v>#DIV/0!</v>
      </c>
    </row>
    <row r="51" spans="20:34" x14ac:dyDescent="0.25">
      <c r="T51" s="4" t="s">
        <v>183</v>
      </c>
      <c r="U51" s="8" t="s">
        <v>177</v>
      </c>
      <c r="V51" s="8">
        <v>0</v>
      </c>
      <c r="W51" s="8">
        <v>10</v>
      </c>
      <c r="X51" s="8" t="s">
        <v>92</v>
      </c>
      <c r="Y51" s="10" t="e">
        <f>AVERAGE(AC39:AC41)</f>
        <v>#DIV/0!</v>
      </c>
      <c r="Z51" s="10" t="e">
        <f>MEDIAN(AC39:AC41)</f>
        <v>#NUM!</v>
      </c>
      <c r="AA51" s="10" t="e">
        <f>STDEV(AC39:AC41)</f>
        <v>#DIV/0!</v>
      </c>
      <c r="AB51" s="10" t="e">
        <f t="shared" si="15"/>
        <v>#DIV/0!</v>
      </c>
      <c r="AC51" s="10" t="e">
        <f>VAR(AC39:AC41)</f>
        <v>#DIV/0!</v>
      </c>
      <c r="AD51" s="10">
        <f>MAX(AC39:AC41)</f>
        <v>0</v>
      </c>
      <c r="AE51" s="10">
        <f>MIN(AC39:AC41)</f>
        <v>0</v>
      </c>
      <c r="AF51" s="10">
        <f t="shared" si="16"/>
        <v>0</v>
      </c>
      <c r="AG51" s="10">
        <f>COUNT(AC39:AC41)</f>
        <v>0</v>
      </c>
      <c r="AH51" s="10" t="e">
        <f t="shared" si="17"/>
        <v>#DIV/0!</v>
      </c>
    </row>
    <row r="52" spans="20:34" x14ac:dyDescent="0.25">
      <c r="T52" s="4" t="s">
        <v>184</v>
      </c>
      <c r="U52" s="8" t="s">
        <v>177</v>
      </c>
      <c r="V52" s="8">
        <v>0</v>
      </c>
      <c r="W52" s="8">
        <v>10</v>
      </c>
      <c r="X52" s="8" t="s">
        <v>92</v>
      </c>
      <c r="Y52" s="10" t="e">
        <f>AVERAGE(AD39:AD41)</f>
        <v>#DIV/0!</v>
      </c>
      <c r="Z52" s="10" t="e">
        <f>MEDIAN(AD39:AD41)</f>
        <v>#NUM!</v>
      </c>
      <c r="AA52" s="10" t="e">
        <f>STDEV(AD39:AD41)</f>
        <v>#DIV/0!</v>
      </c>
      <c r="AB52" s="10" t="e">
        <f t="shared" si="15"/>
        <v>#DIV/0!</v>
      </c>
      <c r="AC52" s="10" t="e">
        <f>VAR(AD39:AD41)</f>
        <v>#DIV/0!</v>
      </c>
      <c r="AD52" s="10">
        <f>MAX(AD39:AD41)</f>
        <v>0</v>
      </c>
      <c r="AE52" s="10">
        <f>MIN(AD39:AD41)</f>
        <v>0</v>
      </c>
      <c r="AF52" s="10">
        <f t="shared" si="16"/>
        <v>0</v>
      </c>
      <c r="AG52" s="10">
        <f>COUNT(AD39:AD41)</f>
        <v>0</v>
      </c>
      <c r="AH52" s="10" t="e">
        <f t="shared" si="17"/>
        <v>#DIV/0!</v>
      </c>
    </row>
    <row r="53" spans="20:34" x14ac:dyDescent="0.25">
      <c r="T53" s="4" t="s">
        <v>22</v>
      </c>
      <c r="U53" s="8" t="s">
        <v>178</v>
      </c>
      <c r="V53" s="8">
        <v>10</v>
      </c>
      <c r="W53" s="8">
        <v>90</v>
      </c>
      <c r="X53" s="8" t="s">
        <v>75</v>
      </c>
      <c r="Y53" s="9">
        <f>AVERAGE(AB42:AB44)</f>
        <v>0.43113333333333337</v>
      </c>
      <c r="Z53" s="9">
        <f>MEDIAN(AB42:AB44)</f>
        <v>0.44059999999999999</v>
      </c>
      <c r="AA53" s="9">
        <f>STDEV(AB42:AB44)</f>
        <v>1.887361473945396E-2</v>
      </c>
      <c r="AB53" s="9">
        <f t="shared" si="15"/>
        <v>4.3776746728283502</v>
      </c>
      <c r="AC53" s="9">
        <f>VAR(AB42:AB44)</f>
        <v>3.5621333333333373E-4</v>
      </c>
      <c r="AD53" s="9">
        <f>MAX(AB42:AB44)</f>
        <v>0.44340000000000002</v>
      </c>
      <c r="AE53" s="9">
        <f>MIN(AB42:AB44)</f>
        <v>0.40939999999999999</v>
      </c>
      <c r="AF53" s="9">
        <f t="shared" si="16"/>
        <v>3.400000000000003E-2</v>
      </c>
      <c r="AG53" s="9">
        <f>COUNT(AB42:AB44)</f>
        <v>3</v>
      </c>
      <c r="AH53" s="9">
        <f t="shared" si="17"/>
        <v>1.0896686550405033E-2</v>
      </c>
    </row>
    <row r="54" spans="20:34" x14ac:dyDescent="0.25">
      <c r="T54" s="4" t="s">
        <v>183</v>
      </c>
      <c r="U54" s="8" t="s">
        <v>178</v>
      </c>
      <c r="V54" s="8">
        <v>10</v>
      </c>
      <c r="W54" s="8">
        <v>90</v>
      </c>
      <c r="X54" s="8" t="s">
        <v>75</v>
      </c>
      <c r="Y54" s="10">
        <f>AVERAGE(AC42:AC44)</f>
        <v>4.1862785434743861</v>
      </c>
      <c r="Z54" s="10">
        <f>MEDIAN(AC42:AC44)</f>
        <v>4.2705873661940457</v>
      </c>
      <c r="AA54" s="10">
        <f>STDEV(AC42:AC44)</f>
        <v>0.16808579990997732</v>
      </c>
      <c r="AB54" s="10">
        <f t="shared" si="15"/>
        <v>4.0151604381889774</v>
      </c>
      <c r="AC54" s="10">
        <f>VAR(AC42:AC44)</f>
        <v>2.8252836131376934E-2</v>
      </c>
      <c r="AD54" s="10">
        <f>MAX(AC42:AC44)</f>
        <v>4.2955237785477483</v>
      </c>
      <c r="AE54" s="10">
        <f>MIN(AC42:AC44)</f>
        <v>3.9927244856813635</v>
      </c>
      <c r="AF54" s="10">
        <f t="shared" si="16"/>
        <v>0.30279929286638474</v>
      </c>
      <c r="AG54" s="10">
        <f>COUNT(AC42:AC44)</f>
        <v>3</v>
      </c>
      <c r="AH54" s="10">
        <f t="shared" si="17"/>
        <v>9.7044381824978987E-2</v>
      </c>
    </row>
    <row r="55" spans="20:34" x14ac:dyDescent="0.25">
      <c r="T55" s="4" t="s">
        <v>184</v>
      </c>
      <c r="U55" s="8" t="s">
        <v>178</v>
      </c>
      <c r="V55" s="8">
        <v>10</v>
      </c>
      <c r="W55" s="8">
        <v>90</v>
      </c>
      <c r="X55" s="8" t="s">
        <v>75</v>
      </c>
      <c r="Y55" s="10">
        <f>AVERAGE(AD42:AD44)</f>
        <v>4.2914333333333339</v>
      </c>
      <c r="Z55" s="10">
        <f>MEDIAN(AD42:AD44)</f>
        <v>4.3752000000000004</v>
      </c>
      <c r="AA55" s="10">
        <f>STDEV(AD42:AD44)</f>
        <v>0.16630623359734126</v>
      </c>
      <c r="AB55" s="10">
        <f t="shared" si="15"/>
        <v>3.8753074015055087</v>
      </c>
      <c r="AC55" s="10">
        <f>VAR(AD42:AD44)</f>
        <v>2.7657763333333436E-2</v>
      </c>
      <c r="AD55" s="10">
        <f>MAX(AD42:AD44)</f>
        <v>4.3992000000000004</v>
      </c>
      <c r="AE55" s="10">
        <f>MIN(AD42:AD44)</f>
        <v>4.0998999999999999</v>
      </c>
      <c r="AF55" s="10">
        <f t="shared" si="16"/>
        <v>0.29930000000000057</v>
      </c>
      <c r="AG55" s="10">
        <f>COUNT(AD42:AD44)</f>
        <v>3</v>
      </c>
      <c r="AH55" s="10">
        <f t="shared" si="17"/>
        <v>9.6016948735337768E-2</v>
      </c>
    </row>
  </sheetData>
  <conditionalFormatting sqref="I2:I31">
    <cfRule type="cellIs" dxfId="99" priority="3" operator="lessThan">
      <formula>$U$12</formula>
    </cfRule>
    <cfRule type="cellIs" dxfId="98" priority="4" operator="lessThan">
      <formula>$V$12</formula>
    </cfRule>
    <cfRule type="cellIs" dxfId="97" priority="15" operator="lessThan">
      <formula>$U$12</formula>
    </cfRule>
    <cfRule type="cellIs" dxfId="96" priority="16" operator="lessThan">
      <formula>$V$12</formula>
    </cfRule>
    <cfRule type="cellIs" dxfId="95" priority="9" operator="lessThan">
      <formula>$U$12</formula>
    </cfRule>
    <cfRule type="cellIs" dxfId="94" priority="10" operator="lessThan">
      <formula>$V$12</formula>
    </cfRule>
  </conditionalFormatting>
  <conditionalFormatting sqref="K2:K31">
    <cfRule type="cellIs" dxfId="93" priority="13" operator="lessThan">
      <formula>$U$13</formula>
    </cfRule>
    <cfRule type="cellIs" dxfId="92" priority="14" operator="lessThan">
      <formula>$V$13</formula>
    </cfRule>
    <cfRule type="cellIs" dxfId="91" priority="17" operator="lessThan">
      <formula>$U$13</formula>
    </cfRule>
    <cfRule type="cellIs" dxfId="90" priority="18" operator="lessThan">
      <formula>$V$13</formula>
    </cfRule>
  </conditionalFormatting>
  <conditionalFormatting sqref="K11:K12">
    <cfRule type="cellIs" dxfId="89" priority="1" operator="lessThan">
      <formula>$U$13</formula>
    </cfRule>
    <cfRule type="cellIs" dxfId="88" priority="2" operator="lessThan">
      <formula>$V$13</formula>
    </cfRule>
  </conditionalFormatting>
  <conditionalFormatting sqref="L2:L31">
    <cfRule type="cellIs" dxfId="87" priority="19" operator="lessThan">
      <formula>$U$14</formula>
    </cfRule>
    <cfRule type="cellIs" dxfId="86" priority="20" operator="lessThan">
      <formula>$V$14</formula>
    </cfRule>
  </conditionalFormatting>
  <conditionalFormatting sqref="L11:L12">
    <cfRule type="cellIs" dxfId="85" priority="5" operator="lessThan">
      <formula>$U$14</formula>
    </cfRule>
    <cfRule type="cellIs" dxfId="84" priority="6" operator="lessThan">
      <formula>$V$14</formula>
    </cfRule>
  </conditionalFormatting>
  <conditionalFormatting sqref="T48">
    <cfRule type="cellIs" dxfId="83" priority="43" operator="lessThan">
      <formula>$U$13</formula>
    </cfRule>
    <cfRule type="cellIs" dxfId="82" priority="44" operator="lessThan">
      <formula>$V$13</formula>
    </cfRule>
  </conditionalFormatting>
  <conditionalFormatting sqref="T49">
    <cfRule type="cellIs" dxfId="81" priority="41" operator="lessThan">
      <formula>$U$14</formula>
    </cfRule>
    <cfRule type="cellIs" dxfId="80" priority="42" operator="lessThan">
      <formula>$V$14</formula>
    </cfRule>
  </conditionalFormatting>
  <conditionalFormatting sqref="T51">
    <cfRule type="cellIs" dxfId="79" priority="39" operator="lessThan">
      <formula>$U$13</formula>
    </cfRule>
    <cfRule type="cellIs" dxfId="78" priority="40" operator="lessThan">
      <formula>$V$13</formula>
    </cfRule>
  </conditionalFormatting>
  <conditionalFormatting sqref="T52">
    <cfRule type="cellIs" dxfId="77" priority="37" operator="lessThan">
      <formula>$U$14</formula>
    </cfRule>
    <cfRule type="cellIs" dxfId="76" priority="38" operator="lessThan">
      <formula>$V$14</formula>
    </cfRule>
  </conditionalFormatting>
  <conditionalFormatting sqref="T54">
    <cfRule type="cellIs" dxfId="75" priority="35" operator="lessThan">
      <formula>$U$13</formula>
    </cfRule>
    <cfRule type="cellIs" dxfId="74" priority="36" operator="lessThan">
      <formula>$V$13</formula>
    </cfRule>
  </conditionalFormatting>
  <conditionalFormatting sqref="T55">
    <cfRule type="cellIs" dxfId="73" priority="33" operator="lessThan">
      <formula>$U$14</formula>
    </cfRule>
    <cfRule type="cellIs" dxfId="72" priority="34" operator="lessThan">
      <formula>$V$14</formula>
    </cfRule>
  </conditionalFormatting>
  <conditionalFormatting sqref="AC35">
    <cfRule type="cellIs" dxfId="71" priority="45" operator="lessThan">
      <formula>$U$13</formula>
    </cfRule>
    <cfRule type="cellIs" dxfId="70" priority="46" operator="lessThan">
      <formula>$V$13</formula>
    </cfRule>
  </conditionalFormatting>
  <conditionalFormatting sqref="AD35">
    <cfRule type="cellIs" dxfId="69" priority="47" operator="lessThan">
      <formula>$U$14</formula>
    </cfRule>
    <cfRule type="cellIs" dxfId="68" priority="48" operator="lessThan">
      <formula>$V$14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4A4-C512-4E68-B9D0-599720D36A13}">
  <dimension ref="A1:O40"/>
  <sheetViews>
    <sheetView zoomScale="85" zoomScaleNormal="85" workbookViewId="0">
      <selection activeCell="E46" sqref="E46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109</v>
      </c>
      <c r="L1" t="s">
        <v>110</v>
      </c>
      <c r="M1" t="s">
        <v>111</v>
      </c>
      <c r="N1" t="s">
        <v>26</v>
      </c>
    </row>
    <row r="2" spans="1:15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39</v>
      </c>
      <c r="J2" t="s">
        <v>39</v>
      </c>
      <c r="K2">
        <v>0</v>
      </c>
      <c r="L2" t="e">
        <f>(J2+$B$40)/$B$39</f>
        <v>#VALUE!</v>
      </c>
      <c r="M2" t="e">
        <f t="shared" ref="M2:M7" si="0">H2*L2</f>
        <v>#VALUE!</v>
      </c>
      <c r="N2" t="s">
        <v>30</v>
      </c>
    </row>
    <row r="3" spans="1:15" x14ac:dyDescent="0.25">
      <c r="A3" t="s">
        <v>31</v>
      </c>
      <c r="B3" t="s">
        <v>32</v>
      </c>
      <c r="F3" t="s">
        <v>29</v>
      </c>
      <c r="G3">
        <v>1</v>
      </c>
      <c r="H3">
        <v>100</v>
      </c>
      <c r="I3">
        <v>4.7569999999999997</v>
      </c>
      <c r="J3">
        <v>9.2999999999999999E-2</v>
      </c>
      <c r="K3">
        <v>1</v>
      </c>
      <c r="L3">
        <f t="shared" ref="L3:L37" si="1">(J3+$B$40)/$B$39</f>
        <v>1.2299872935196949</v>
      </c>
      <c r="M3">
        <f t="shared" si="0"/>
        <v>122.99872935196949</v>
      </c>
      <c r="N3" t="s">
        <v>33</v>
      </c>
    </row>
    <row r="4" spans="1:15" x14ac:dyDescent="0.25">
      <c r="A4" t="s">
        <v>34</v>
      </c>
      <c r="B4" t="s">
        <v>35</v>
      </c>
      <c r="F4" t="s">
        <v>29</v>
      </c>
      <c r="G4">
        <v>1</v>
      </c>
      <c r="H4">
        <v>50</v>
      </c>
      <c r="I4">
        <v>4.76</v>
      </c>
      <c r="J4">
        <v>0.16170000000000001</v>
      </c>
      <c r="K4">
        <v>2</v>
      </c>
      <c r="L4">
        <f t="shared" si="1"/>
        <v>2.1029224904701396</v>
      </c>
      <c r="M4">
        <f t="shared" si="0"/>
        <v>105.14612452350698</v>
      </c>
      <c r="N4" t="s">
        <v>36</v>
      </c>
    </row>
    <row r="5" spans="1:15" x14ac:dyDescent="0.25">
      <c r="A5" t="s">
        <v>37</v>
      </c>
      <c r="B5" t="s">
        <v>38</v>
      </c>
      <c r="F5" t="s">
        <v>29</v>
      </c>
      <c r="G5">
        <v>1</v>
      </c>
      <c r="H5">
        <v>20</v>
      </c>
      <c r="I5">
        <v>4.7569999999999997</v>
      </c>
      <c r="J5">
        <v>0.36890000000000001</v>
      </c>
      <c r="K5">
        <v>5</v>
      </c>
      <c r="L5">
        <f t="shared" si="1"/>
        <v>4.735705209656925</v>
      </c>
      <c r="M5">
        <f t="shared" si="0"/>
        <v>94.714104193138496</v>
      </c>
      <c r="N5" t="s">
        <v>40</v>
      </c>
    </row>
    <row r="6" spans="1:15" x14ac:dyDescent="0.25">
      <c r="A6" t="s">
        <v>41</v>
      </c>
      <c r="B6" t="s">
        <v>42</v>
      </c>
      <c r="F6" t="s">
        <v>29</v>
      </c>
      <c r="G6">
        <v>1</v>
      </c>
      <c r="H6">
        <v>10</v>
      </c>
      <c r="I6">
        <v>4.7569999999999997</v>
      </c>
      <c r="J6">
        <v>0.75839999999999996</v>
      </c>
      <c r="K6">
        <v>10</v>
      </c>
      <c r="L6">
        <f t="shared" si="1"/>
        <v>9.6848792884371022</v>
      </c>
      <c r="M6">
        <f t="shared" si="0"/>
        <v>96.848792884371022</v>
      </c>
      <c r="N6" t="s">
        <v>43</v>
      </c>
    </row>
    <row r="7" spans="1:15" x14ac:dyDescent="0.25">
      <c r="A7" t="s">
        <v>44</v>
      </c>
      <c r="B7" t="s">
        <v>45</v>
      </c>
      <c r="F7" t="s">
        <v>29</v>
      </c>
      <c r="G7">
        <v>1</v>
      </c>
      <c r="H7">
        <v>5</v>
      </c>
      <c r="I7">
        <v>4.76</v>
      </c>
      <c r="J7">
        <v>1.5868</v>
      </c>
      <c r="K7">
        <v>20</v>
      </c>
      <c r="L7">
        <f t="shared" si="1"/>
        <v>20.210927573062261</v>
      </c>
      <c r="M7">
        <f t="shared" si="0"/>
        <v>101.05463786531131</v>
      </c>
      <c r="N7" t="s">
        <v>46</v>
      </c>
    </row>
    <row r="8" spans="1:15" x14ac:dyDescent="0.25">
      <c r="A8">
        <v>1</v>
      </c>
      <c r="B8" t="s">
        <v>47</v>
      </c>
      <c r="F8" t="s">
        <v>29</v>
      </c>
      <c r="G8">
        <v>1</v>
      </c>
      <c r="H8">
        <v>0</v>
      </c>
      <c r="I8" t="s">
        <v>39</v>
      </c>
      <c r="J8" t="s">
        <v>39</v>
      </c>
      <c r="L8" t="e">
        <f t="shared" si="1"/>
        <v>#VALUE!</v>
      </c>
      <c r="M8" t="e">
        <f t="shared" ref="M8:M37" si="2">H8*L8</f>
        <v>#VALUE!</v>
      </c>
      <c r="N8" t="s">
        <v>30</v>
      </c>
    </row>
    <row r="9" spans="1:15" x14ac:dyDescent="0.25">
      <c r="A9">
        <v>2</v>
      </c>
      <c r="B9" t="s">
        <v>48</v>
      </c>
      <c r="F9" t="s">
        <v>29</v>
      </c>
      <c r="G9">
        <v>1</v>
      </c>
      <c r="H9">
        <v>20</v>
      </c>
      <c r="I9">
        <v>4.76</v>
      </c>
      <c r="J9">
        <v>0.4143</v>
      </c>
      <c r="L9">
        <f t="shared" si="1"/>
        <v>5.3125794155019062</v>
      </c>
      <c r="M9">
        <f t="shared" si="2"/>
        <v>106.25158831003813</v>
      </c>
      <c r="N9" t="s">
        <v>49</v>
      </c>
    </row>
    <row r="10" spans="1:15" x14ac:dyDescent="0.25">
      <c r="A10">
        <v>3</v>
      </c>
      <c r="B10" t="s">
        <v>50</v>
      </c>
      <c r="C10">
        <v>20</v>
      </c>
      <c r="D10">
        <v>20</v>
      </c>
      <c r="E10" t="s">
        <v>51</v>
      </c>
      <c r="F10" t="s">
        <v>29</v>
      </c>
      <c r="G10">
        <v>1</v>
      </c>
      <c r="H10">
        <v>5</v>
      </c>
      <c r="I10" t="s">
        <v>39</v>
      </c>
      <c r="J10" t="s">
        <v>39</v>
      </c>
      <c r="L10" t="e">
        <f t="shared" si="1"/>
        <v>#VALUE!</v>
      </c>
      <c r="M10" t="e">
        <f t="shared" si="2"/>
        <v>#VALUE!</v>
      </c>
      <c r="N10" t="s">
        <v>52</v>
      </c>
      <c r="O10" t="e">
        <f>AVERAGE(M10:M12)</f>
        <v>#VALUE!</v>
      </c>
    </row>
    <row r="11" spans="1:15" x14ac:dyDescent="0.25">
      <c r="A11">
        <v>4</v>
      </c>
      <c r="B11" t="s">
        <v>53</v>
      </c>
      <c r="C11">
        <v>20</v>
      </c>
      <c r="D11">
        <v>20</v>
      </c>
      <c r="E11" t="s">
        <v>54</v>
      </c>
      <c r="F11" t="s">
        <v>29</v>
      </c>
      <c r="G11">
        <v>1</v>
      </c>
      <c r="H11">
        <v>5</v>
      </c>
      <c r="I11" t="s">
        <v>39</v>
      </c>
      <c r="J11" t="s">
        <v>39</v>
      </c>
      <c r="L11" t="e">
        <f t="shared" si="1"/>
        <v>#VALUE!</v>
      </c>
      <c r="M11" t="e">
        <f t="shared" si="2"/>
        <v>#VALUE!</v>
      </c>
      <c r="N11" t="s">
        <v>55</v>
      </c>
    </row>
    <row r="12" spans="1:15" x14ac:dyDescent="0.25">
      <c r="A12">
        <v>5</v>
      </c>
      <c r="B12" t="s">
        <v>56</v>
      </c>
      <c r="C12">
        <v>20</v>
      </c>
      <c r="D12">
        <v>20</v>
      </c>
      <c r="E12" t="s">
        <v>57</v>
      </c>
      <c r="F12" t="s">
        <v>29</v>
      </c>
      <c r="G12">
        <v>1</v>
      </c>
      <c r="H12">
        <v>5</v>
      </c>
      <c r="I12" t="s">
        <v>39</v>
      </c>
      <c r="J12" t="s">
        <v>39</v>
      </c>
      <c r="L12" t="e">
        <f t="shared" si="1"/>
        <v>#VALUE!</v>
      </c>
      <c r="M12" t="e">
        <f t="shared" si="2"/>
        <v>#VALUE!</v>
      </c>
      <c r="N12" t="s">
        <v>58</v>
      </c>
    </row>
    <row r="13" spans="1:15" x14ac:dyDescent="0.25">
      <c r="A13">
        <v>6</v>
      </c>
      <c r="B13" t="s">
        <v>59</v>
      </c>
      <c r="C13">
        <v>0</v>
      </c>
      <c r="D13">
        <v>10</v>
      </c>
      <c r="E13" t="s">
        <v>60</v>
      </c>
      <c r="F13" t="s">
        <v>29</v>
      </c>
      <c r="G13">
        <v>1</v>
      </c>
      <c r="H13">
        <v>5</v>
      </c>
      <c r="I13" t="s">
        <v>39</v>
      </c>
      <c r="J13" t="s">
        <v>39</v>
      </c>
      <c r="L13" t="e">
        <f t="shared" si="1"/>
        <v>#VALUE!</v>
      </c>
      <c r="M13" t="e">
        <f t="shared" si="2"/>
        <v>#VALUE!</v>
      </c>
      <c r="N13" t="s">
        <v>61</v>
      </c>
      <c r="O13" t="e">
        <f>AVERAGE(M13:M15)</f>
        <v>#VALUE!</v>
      </c>
    </row>
    <row r="14" spans="1:15" x14ac:dyDescent="0.25">
      <c r="A14">
        <v>7</v>
      </c>
      <c r="B14" t="s">
        <v>62</v>
      </c>
      <c r="C14">
        <v>0</v>
      </c>
      <c r="D14">
        <v>10</v>
      </c>
      <c r="E14" t="s">
        <v>63</v>
      </c>
      <c r="F14" t="s">
        <v>29</v>
      </c>
      <c r="G14">
        <v>1</v>
      </c>
      <c r="H14">
        <v>5</v>
      </c>
      <c r="I14" t="s">
        <v>39</v>
      </c>
      <c r="J14" t="s">
        <v>39</v>
      </c>
      <c r="L14" t="e">
        <f t="shared" si="1"/>
        <v>#VALUE!</v>
      </c>
      <c r="M14" t="e">
        <f t="shared" si="2"/>
        <v>#VALUE!</v>
      </c>
      <c r="N14" t="s">
        <v>64</v>
      </c>
    </row>
    <row r="15" spans="1:15" x14ac:dyDescent="0.25">
      <c r="A15">
        <v>8</v>
      </c>
      <c r="B15" t="s">
        <v>65</v>
      </c>
      <c r="C15">
        <v>0</v>
      </c>
      <c r="D15">
        <v>10</v>
      </c>
      <c r="E15" t="s">
        <v>66</v>
      </c>
      <c r="F15" t="s">
        <v>29</v>
      </c>
      <c r="G15">
        <v>1</v>
      </c>
      <c r="H15">
        <v>5</v>
      </c>
      <c r="I15" t="s">
        <v>39</v>
      </c>
      <c r="J15" t="s">
        <v>39</v>
      </c>
      <c r="L15" t="e">
        <f t="shared" si="1"/>
        <v>#VALUE!</v>
      </c>
      <c r="M15" t="e">
        <f t="shared" si="2"/>
        <v>#VALUE!</v>
      </c>
      <c r="N15" t="s">
        <v>67</v>
      </c>
    </row>
    <row r="16" spans="1:15" x14ac:dyDescent="0.25">
      <c r="A16">
        <v>9</v>
      </c>
      <c r="B16" t="s">
        <v>68</v>
      </c>
      <c r="C16">
        <v>10</v>
      </c>
      <c r="D16">
        <v>90</v>
      </c>
      <c r="E16" t="s">
        <v>51</v>
      </c>
      <c r="F16" t="s">
        <v>29</v>
      </c>
      <c r="G16">
        <v>1</v>
      </c>
      <c r="H16">
        <v>5</v>
      </c>
      <c r="I16" t="s">
        <v>39</v>
      </c>
      <c r="J16" t="s">
        <v>39</v>
      </c>
      <c r="L16" t="e">
        <f t="shared" si="1"/>
        <v>#VALUE!</v>
      </c>
      <c r="M16" t="e">
        <f t="shared" si="2"/>
        <v>#VALUE!</v>
      </c>
      <c r="N16" t="s">
        <v>69</v>
      </c>
      <c r="O16" t="e">
        <f>AVERAGE(M16,M18)</f>
        <v>#VALUE!</v>
      </c>
    </row>
    <row r="17" spans="1:14" x14ac:dyDescent="0.25">
      <c r="A17">
        <v>10</v>
      </c>
      <c r="B17" t="s">
        <v>70</v>
      </c>
      <c r="C17">
        <v>10</v>
      </c>
      <c r="D17">
        <v>90</v>
      </c>
      <c r="E17" t="s">
        <v>54</v>
      </c>
      <c r="F17" t="s">
        <v>29</v>
      </c>
      <c r="G17">
        <v>1</v>
      </c>
      <c r="H17">
        <v>5</v>
      </c>
      <c r="I17" t="s">
        <v>39</v>
      </c>
      <c r="J17" t="s">
        <v>39</v>
      </c>
      <c r="L17" t="e">
        <f t="shared" si="1"/>
        <v>#VALUE!</v>
      </c>
      <c r="M17" t="e">
        <f t="shared" si="2"/>
        <v>#VALUE!</v>
      </c>
      <c r="N17" t="s">
        <v>71</v>
      </c>
    </row>
    <row r="18" spans="1:14" x14ac:dyDescent="0.25">
      <c r="A18">
        <v>11</v>
      </c>
      <c r="B18" t="s">
        <v>72</v>
      </c>
      <c r="C18">
        <v>10</v>
      </c>
      <c r="D18">
        <v>90</v>
      </c>
      <c r="E18" t="s">
        <v>57</v>
      </c>
      <c r="F18" t="s">
        <v>29</v>
      </c>
      <c r="G18">
        <v>1</v>
      </c>
      <c r="H18">
        <v>5</v>
      </c>
      <c r="I18" t="s">
        <v>39</v>
      </c>
      <c r="J18" t="s">
        <v>39</v>
      </c>
      <c r="L18" t="e">
        <f t="shared" si="1"/>
        <v>#VALUE!</v>
      </c>
      <c r="M18" t="e">
        <f t="shared" si="2"/>
        <v>#VALUE!</v>
      </c>
      <c r="N18" t="s">
        <v>73</v>
      </c>
    </row>
    <row r="19" spans="1:14" x14ac:dyDescent="0.25">
      <c r="A19">
        <v>12</v>
      </c>
      <c r="B19" t="s">
        <v>74</v>
      </c>
      <c r="C19">
        <v>0</v>
      </c>
      <c r="D19">
        <v>10</v>
      </c>
      <c r="E19" t="s">
        <v>75</v>
      </c>
      <c r="F19" t="s">
        <v>29</v>
      </c>
      <c r="G19">
        <v>1</v>
      </c>
      <c r="H19">
        <v>5</v>
      </c>
      <c r="I19" t="s">
        <v>39</v>
      </c>
      <c r="J19" t="s">
        <v>39</v>
      </c>
      <c r="L19" t="e">
        <f t="shared" si="1"/>
        <v>#VALUE!</v>
      </c>
      <c r="M19" t="e">
        <f t="shared" si="2"/>
        <v>#VALUE!</v>
      </c>
      <c r="N19" t="s">
        <v>76</v>
      </c>
    </row>
    <row r="20" spans="1:14" x14ac:dyDescent="0.25">
      <c r="A20">
        <v>13</v>
      </c>
      <c r="B20" t="s">
        <v>77</v>
      </c>
      <c r="C20">
        <v>0</v>
      </c>
      <c r="D20">
        <v>20</v>
      </c>
      <c r="E20" t="s">
        <v>75</v>
      </c>
      <c r="F20" t="s">
        <v>29</v>
      </c>
      <c r="G20">
        <v>1</v>
      </c>
      <c r="H20">
        <v>5</v>
      </c>
      <c r="I20" t="s">
        <v>39</v>
      </c>
      <c r="J20" t="s">
        <v>39</v>
      </c>
      <c r="L20" t="e">
        <f t="shared" si="1"/>
        <v>#VALUE!</v>
      </c>
      <c r="M20" t="e">
        <f t="shared" si="2"/>
        <v>#VALUE!</v>
      </c>
      <c r="N20" t="s">
        <v>78</v>
      </c>
    </row>
    <row r="21" spans="1:14" x14ac:dyDescent="0.25">
      <c r="A21">
        <v>14</v>
      </c>
      <c r="B21" t="s">
        <v>79</v>
      </c>
      <c r="C21">
        <v>0</v>
      </c>
      <c r="D21">
        <v>30</v>
      </c>
      <c r="E21" t="s">
        <v>75</v>
      </c>
      <c r="F21" t="s">
        <v>29</v>
      </c>
      <c r="G21">
        <v>1</v>
      </c>
      <c r="H21">
        <v>5</v>
      </c>
      <c r="I21" t="s">
        <v>39</v>
      </c>
      <c r="J21" t="s">
        <v>39</v>
      </c>
      <c r="L21" t="e">
        <f t="shared" si="1"/>
        <v>#VALUE!</v>
      </c>
      <c r="M21" t="e">
        <f t="shared" si="2"/>
        <v>#VALUE!</v>
      </c>
      <c r="N21" t="s">
        <v>80</v>
      </c>
    </row>
    <row r="22" spans="1:14" x14ac:dyDescent="0.25">
      <c r="A22">
        <v>15</v>
      </c>
      <c r="B22" t="s">
        <v>28</v>
      </c>
      <c r="F22" t="s">
        <v>29</v>
      </c>
      <c r="G22">
        <v>1</v>
      </c>
      <c r="H22">
        <v>0</v>
      </c>
      <c r="I22" t="s">
        <v>39</v>
      </c>
      <c r="J22" t="s">
        <v>39</v>
      </c>
      <c r="L22" t="e">
        <f t="shared" si="1"/>
        <v>#VALUE!</v>
      </c>
      <c r="M22" t="e">
        <f>H22*L22</f>
        <v>#VALUE!</v>
      </c>
      <c r="N22" t="s">
        <v>30</v>
      </c>
    </row>
    <row r="23" spans="1:14" x14ac:dyDescent="0.25">
      <c r="A23" s="1">
        <v>16</v>
      </c>
      <c r="B23" t="s">
        <v>48</v>
      </c>
      <c r="F23" t="s">
        <v>29</v>
      </c>
      <c r="G23">
        <v>1</v>
      </c>
      <c r="H23">
        <v>20</v>
      </c>
      <c r="I23">
        <v>4.7530000000000001</v>
      </c>
      <c r="J23">
        <v>0.43230000000000002</v>
      </c>
      <c r="L23">
        <f t="shared" si="1"/>
        <v>5.5412960609911055</v>
      </c>
      <c r="M23">
        <f t="shared" si="2"/>
        <v>110.82592121982211</v>
      </c>
      <c r="N23" t="s">
        <v>49</v>
      </c>
    </row>
    <row r="24" spans="1:14" x14ac:dyDescent="0.25">
      <c r="A24">
        <v>17</v>
      </c>
      <c r="B24" t="s">
        <v>81</v>
      </c>
      <c r="C24">
        <v>0</v>
      </c>
      <c r="D24">
        <v>60</v>
      </c>
      <c r="E24" t="s">
        <v>75</v>
      </c>
      <c r="F24" t="s">
        <v>29</v>
      </c>
      <c r="G24">
        <v>1</v>
      </c>
      <c r="H24">
        <v>5</v>
      </c>
      <c r="I24" t="s">
        <v>39</v>
      </c>
      <c r="J24" t="s">
        <v>39</v>
      </c>
      <c r="L24" t="e">
        <f t="shared" si="1"/>
        <v>#VALUE!</v>
      </c>
      <c r="M24" t="e">
        <f t="shared" si="2"/>
        <v>#VALUE!</v>
      </c>
      <c r="N24" t="s">
        <v>82</v>
      </c>
    </row>
    <row r="25" spans="1:14" x14ac:dyDescent="0.25">
      <c r="A25">
        <v>18</v>
      </c>
      <c r="B25" t="s">
        <v>83</v>
      </c>
      <c r="C25">
        <v>0</v>
      </c>
      <c r="D25">
        <v>70</v>
      </c>
      <c r="E25" t="s">
        <v>75</v>
      </c>
      <c r="F25" t="s">
        <v>29</v>
      </c>
      <c r="G25">
        <v>1</v>
      </c>
      <c r="H25">
        <v>5</v>
      </c>
      <c r="I25" t="s">
        <v>39</v>
      </c>
      <c r="J25" t="s">
        <v>39</v>
      </c>
      <c r="L25" t="e">
        <f t="shared" si="1"/>
        <v>#VALUE!</v>
      </c>
      <c r="M25" t="e">
        <f t="shared" si="2"/>
        <v>#VALUE!</v>
      </c>
      <c r="N25" t="s">
        <v>84</v>
      </c>
    </row>
    <row r="26" spans="1:14" x14ac:dyDescent="0.25">
      <c r="A26">
        <v>19</v>
      </c>
      <c r="B26" t="s">
        <v>85</v>
      </c>
      <c r="C26">
        <v>0</v>
      </c>
      <c r="D26">
        <v>80</v>
      </c>
      <c r="E26" t="s">
        <v>75</v>
      </c>
      <c r="F26" t="s">
        <v>29</v>
      </c>
      <c r="G26">
        <v>1</v>
      </c>
      <c r="H26">
        <v>5</v>
      </c>
      <c r="I26" t="s">
        <v>39</v>
      </c>
      <c r="J26" t="s">
        <v>39</v>
      </c>
      <c r="L26" t="e">
        <f t="shared" si="1"/>
        <v>#VALUE!</v>
      </c>
      <c r="M26" t="e">
        <f t="shared" si="2"/>
        <v>#VALUE!</v>
      </c>
      <c r="N26" t="s">
        <v>86</v>
      </c>
    </row>
    <row r="27" spans="1:14" x14ac:dyDescent="0.25">
      <c r="A27">
        <v>20</v>
      </c>
      <c r="B27" t="s">
        <v>87</v>
      </c>
      <c r="C27">
        <v>0</v>
      </c>
      <c r="D27">
        <v>90</v>
      </c>
      <c r="E27" t="s">
        <v>75</v>
      </c>
      <c r="F27" t="s">
        <v>29</v>
      </c>
      <c r="G27">
        <v>1</v>
      </c>
      <c r="H27">
        <v>5</v>
      </c>
      <c r="I27" t="s">
        <v>39</v>
      </c>
      <c r="J27" t="s">
        <v>39</v>
      </c>
      <c r="L27" t="e">
        <f t="shared" si="1"/>
        <v>#VALUE!</v>
      </c>
      <c r="M27" t="e">
        <f t="shared" si="2"/>
        <v>#VALUE!</v>
      </c>
      <c r="N27" t="s">
        <v>88</v>
      </c>
    </row>
    <row r="28" spans="1:14" x14ac:dyDescent="0.25">
      <c r="A28">
        <v>21</v>
      </c>
      <c r="B28" t="s">
        <v>89</v>
      </c>
      <c r="C28">
        <v>0</v>
      </c>
      <c r="D28">
        <v>100</v>
      </c>
      <c r="E28" t="s">
        <v>75</v>
      </c>
      <c r="F28" t="s">
        <v>29</v>
      </c>
      <c r="G28">
        <v>1</v>
      </c>
      <c r="H28">
        <v>5</v>
      </c>
      <c r="I28" t="s">
        <v>39</v>
      </c>
      <c r="J28" t="s">
        <v>39</v>
      </c>
      <c r="L28" t="e">
        <f t="shared" si="1"/>
        <v>#VALUE!</v>
      </c>
      <c r="M28" t="e">
        <f t="shared" si="2"/>
        <v>#VALUE!</v>
      </c>
      <c r="N28" t="s">
        <v>90</v>
      </c>
    </row>
    <row r="29" spans="1:14" x14ac:dyDescent="0.25">
      <c r="A29">
        <v>22</v>
      </c>
      <c r="B29" t="s">
        <v>91</v>
      </c>
      <c r="C29">
        <v>0</v>
      </c>
      <c r="D29">
        <v>60</v>
      </c>
      <c r="E29" t="s">
        <v>92</v>
      </c>
      <c r="F29" t="s">
        <v>29</v>
      </c>
      <c r="G29">
        <v>1</v>
      </c>
      <c r="H29">
        <v>5</v>
      </c>
      <c r="I29" t="s">
        <v>39</v>
      </c>
      <c r="J29" t="s">
        <v>39</v>
      </c>
      <c r="L29" t="e">
        <f t="shared" si="1"/>
        <v>#VALUE!</v>
      </c>
      <c r="M29" t="e">
        <f t="shared" si="2"/>
        <v>#VALUE!</v>
      </c>
      <c r="N29" t="s">
        <v>93</v>
      </c>
    </row>
    <row r="30" spans="1:14" x14ac:dyDescent="0.25">
      <c r="A30">
        <v>23</v>
      </c>
      <c r="B30" t="s">
        <v>94</v>
      </c>
      <c r="C30">
        <v>0</v>
      </c>
      <c r="D30">
        <v>100</v>
      </c>
      <c r="E30" t="s">
        <v>92</v>
      </c>
      <c r="F30" t="s">
        <v>29</v>
      </c>
      <c r="G30">
        <v>1</v>
      </c>
      <c r="H30">
        <v>5</v>
      </c>
      <c r="I30" t="s">
        <v>39</v>
      </c>
      <c r="J30" t="s">
        <v>39</v>
      </c>
      <c r="L30" t="e">
        <f t="shared" si="1"/>
        <v>#VALUE!</v>
      </c>
      <c r="M30" t="e">
        <f t="shared" si="2"/>
        <v>#VALUE!</v>
      </c>
      <c r="N30" t="s">
        <v>95</v>
      </c>
    </row>
    <row r="31" spans="1:14" x14ac:dyDescent="0.25">
      <c r="A31">
        <v>24</v>
      </c>
      <c r="B31" t="s">
        <v>96</v>
      </c>
      <c r="C31">
        <v>10</v>
      </c>
      <c r="D31">
        <v>0</v>
      </c>
      <c r="E31" t="s">
        <v>75</v>
      </c>
      <c r="F31" t="s">
        <v>29</v>
      </c>
      <c r="G31">
        <v>1</v>
      </c>
      <c r="H31">
        <v>5</v>
      </c>
      <c r="I31" t="s">
        <v>39</v>
      </c>
      <c r="J31" t="s">
        <v>39</v>
      </c>
      <c r="L31" t="e">
        <f t="shared" si="1"/>
        <v>#VALUE!</v>
      </c>
      <c r="M31" t="e">
        <f t="shared" si="2"/>
        <v>#VALUE!</v>
      </c>
      <c r="N31" t="s">
        <v>97</v>
      </c>
    </row>
    <row r="32" spans="1:14" x14ac:dyDescent="0.25">
      <c r="A32">
        <v>25</v>
      </c>
      <c r="B32" t="s">
        <v>98</v>
      </c>
      <c r="C32">
        <v>10</v>
      </c>
      <c r="D32">
        <v>60</v>
      </c>
      <c r="E32" t="s">
        <v>75</v>
      </c>
      <c r="F32" t="s">
        <v>29</v>
      </c>
      <c r="G32">
        <v>1</v>
      </c>
      <c r="H32">
        <v>5</v>
      </c>
      <c r="I32" t="s">
        <v>39</v>
      </c>
      <c r="J32" t="s">
        <v>39</v>
      </c>
      <c r="L32" t="e">
        <f t="shared" si="1"/>
        <v>#VALUE!</v>
      </c>
      <c r="M32" t="e">
        <f t="shared" si="2"/>
        <v>#VALUE!</v>
      </c>
      <c r="N32" t="s">
        <v>99</v>
      </c>
    </row>
    <row r="33" spans="1:14" x14ac:dyDescent="0.25">
      <c r="A33">
        <v>26</v>
      </c>
      <c r="B33" t="s">
        <v>100</v>
      </c>
      <c r="C33">
        <v>10</v>
      </c>
      <c r="D33">
        <v>70</v>
      </c>
      <c r="E33" t="s">
        <v>75</v>
      </c>
      <c r="F33" t="s">
        <v>29</v>
      </c>
      <c r="G33">
        <v>1</v>
      </c>
      <c r="H33">
        <v>5</v>
      </c>
      <c r="I33" s="2" t="s">
        <v>39</v>
      </c>
      <c r="J33" s="2" t="s">
        <v>39</v>
      </c>
      <c r="L33" t="e">
        <f t="shared" si="1"/>
        <v>#VALUE!</v>
      </c>
      <c r="M33" t="e">
        <f t="shared" si="2"/>
        <v>#VALUE!</v>
      </c>
      <c r="N33" t="s">
        <v>101</v>
      </c>
    </row>
    <row r="34" spans="1:14" x14ac:dyDescent="0.25">
      <c r="A34">
        <v>27</v>
      </c>
      <c r="B34" t="s">
        <v>102</v>
      </c>
      <c r="C34">
        <v>10</v>
      </c>
      <c r="D34">
        <v>10</v>
      </c>
      <c r="E34" t="s">
        <v>92</v>
      </c>
      <c r="F34" t="s">
        <v>29</v>
      </c>
      <c r="G34">
        <v>1</v>
      </c>
      <c r="H34">
        <v>5</v>
      </c>
      <c r="I34" t="s">
        <v>39</v>
      </c>
      <c r="J34" t="s">
        <v>39</v>
      </c>
      <c r="L34" t="e">
        <f t="shared" si="1"/>
        <v>#VALUE!</v>
      </c>
      <c r="M34" t="e">
        <f t="shared" si="2"/>
        <v>#VALUE!</v>
      </c>
      <c r="N34" t="s">
        <v>103</v>
      </c>
    </row>
    <row r="35" spans="1:14" x14ac:dyDescent="0.25">
      <c r="A35">
        <v>28</v>
      </c>
      <c r="B35" t="s">
        <v>104</v>
      </c>
      <c r="C35">
        <v>10</v>
      </c>
      <c r="D35">
        <v>50</v>
      </c>
      <c r="E35" t="s">
        <v>92</v>
      </c>
      <c r="F35" t="s">
        <v>29</v>
      </c>
      <c r="G35">
        <v>1</v>
      </c>
      <c r="H35">
        <v>5</v>
      </c>
      <c r="I35" t="s">
        <v>39</v>
      </c>
      <c r="J35" t="s">
        <v>39</v>
      </c>
      <c r="L35" t="e">
        <f t="shared" si="1"/>
        <v>#VALUE!</v>
      </c>
      <c r="M35" t="e">
        <f t="shared" si="2"/>
        <v>#VALUE!</v>
      </c>
      <c r="N35" t="s">
        <v>105</v>
      </c>
    </row>
    <row r="36" spans="1:14" x14ac:dyDescent="0.25">
      <c r="A36">
        <v>30</v>
      </c>
      <c r="B36" t="s">
        <v>48</v>
      </c>
      <c r="F36" t="s">
        <v>29</v>
      </c>
      <c r="G36">
        <v>1</v>
      </c>
      <c r="H36">
        <v>20</v>
      </c>
      <c r="I36">
        <v>4.7569999999999997</v>
      </c>
      <c r="J36">
        <v>0.43880000000000002</v>
      </c>
      <c r="L36">
        <f t="shared" si="1"/>
        <v>5.6238881829733165</v>
      </c>
      <c r="M36">
        <f t="shared" si="2"/>
        <v>112.47776365946633</v>
      </c>
      <c r="N36" t="s">
        <v>49</v>
      </c>
    </row>
    <row r="37" spans="1:14" x14ac:dyDescent="0.25">
      <c r="A37">
        <v>29</v>
      </c>
      <c r="B37" t="s">
        <v>28</v>
      </c>
      <c r="F37" t="s">
        <v>29</v>
      </c>
      <c r="G37">
        <v>1</v>
      </c>
      <c r="H37">
        <v>0</v>
      </c>
      <c r="I37" t="s">
        <v>39</v>
      </c>
      <c r="J37" t="s">
        <v>39</v>
      </c>
      <c r="L37" t="e">
        <f t="shared" si="1"/>
        <v>#VALUE!</v>
      </c>
      <c r="M37" t="e">
        <f t="shared" si="2"/>
        <v>#VALUE!</v>
      </c>
      <c r="N37" t="s">
        <v>30</v>
      </c>
    </row>
    <row r="39" spans="1:14" x14ac:dyDescent="0.25">
      <c r="A39" t="s">
        <v>106</v>
      </c>
      <c r="B39">
        <v>7.8700000000000006E-2</v>
      </c>
    </row>
    <row r="40" spans="1:14" x14ac:dyDescent="0.25">
      <c r="A40" t="s">
        <v>107</v>
      </c>
      <c r="B40">
        <v>3.8E-3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B03D-25F3-4824-9343-AFD99BFEDC49}">
  <dimension ref="A1:AI55"/>
  <sheetViews>
    <sheetView topLeftCell="T7" zoomScale="85" zoomScaleNormal="85" workbookViewId="0">
      <selection activeCell="U17" sqref="U17:AD17"/>
    </sheetView>
  </sheetViews>
  <sheetFormatPr defaultRowHeight="15" x14ac:dyDescent="0.25"/>
  <cols>
    <col min="8" max="8" width="9.140625" style="25"/>
    <col min="9" max="10" width="9.140625" style="18"/>
    <col min="11" max="11" width="11.7109375" style="18" customWidth="1"/>
    <col min="12" max="12" width="14.85546875" style="18" customWidth="1"/>
    <col min="14" max="14" width="17.28515625" style="18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24" t="s">
        <v>21</v>
      </c>
      <c r="I1" s="4" t="s">
        <v>22</v>
      </c>
      <c r="J1" s="5" t="s">
        <v>188</v>
      </c>
      <c r="K1" s="4" t="s">
        <v>189</v>
      </c>
      <c r="L1" s="4" t="s">
        <v>190</v>
      </c>
      <c r="M1" s="3" t="s">
        <v>20</v>
      </c>
      <c r="N1" s="4" t="s">
        <v>191</v>
      </c>
      <c r="O1" s="4" t="s">
        <v>192</v>
      </c>
      <c r="P1" s="3" t="s">
        <v>26</v>
      </c>
      <c r="S1" s="6" t="s">
        <v>119</v>
      </c>
      <c r="T1" s="7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7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c_Nitrate_ calib_ppm</v>
      </c>
      <c r="AG1" s="6" t="s">
        <v>193</v>
      </c>
    </row>
    <row r="2" spans="1:35" x14ac:dyDescent="0.25">
      <c r="A2" s="8" t="s">
        <v>27</v>
      </c>
      <c r="B2" s="8" t="s">
        <v>28</v>
      </c>
      <c r="C2" s="8"/>
      <c r="D2" s="8"/>
      <c r="E2" s="8"/>
      <c r="F2" s="8" t="s">
        <v>29</v>
      </c>
      <c r="G2" s="8">
        <v>1</v>
      </c>
      <c r="H2" s="9">
        <v>0</v>
      </c>
      <c r="I2" s="10">
        <v>0</v>
      </c>
      <c r="J2" s="10">
        <v>0</v>
      </c>
      <c r="K2" s="10">
        <f t="shared" ref="K2:K9" si="4">IF(H2="NA", "NA", ((I2-($AH$3))/$AG$3))</f>
        <v>-0.39008369225450412</v>
      </c>
      <c r="L2" s="10">
        <v>0</v>
      </c>
      <c r="M2" s="8">
        <v>0</v>
      </c>
      <c r="N2" s="10"/>
      <c r="O2" s="10"/>
      <c r="P2" s="8" t="s">
        <v>30</v>
      </c>
      <c r="T2" s="11" t="str">
        <f t="shared" si="0"/>
        <v>Cal 1</v>
      </c>
      <c r="U2" s="8" t="str">
        <f t="shared" si="0"/>
        <v>Blank</v>
      </c>
      <c r="V2" s="8" t="str">
        <f t="shared" si="1"/>
        <v>17.11.2023</v>
      </c>
      <c r="W2" s="8">
        <f t="shared" si="1"/>
        <v>1</v>
      </c>
      <c r="X2" s="8">
        <f t="shared" si="2"/>
        <v>0</v>
      </c>
      <c r="Y2" s="10">
        <f t="shared" si="3"/>
        <v>0</v>
      </c>
      <c r="Z2" s="10">
        <f t="shared" si="3"/>
        <v>0</v>
      </c>
      <c r="AA2" s="8">
        <f t="shared" si="3"/>
        <v>0</v>
      </c>
      <c r="AG2" s="3" t="s">
        <v>121</v>
      </c>
      <c r="AH2" s="3" t="s">
        <v>122</v>
      </c>
    </row>
    <row r="3" spans="1:35" x14ac:dyDescent="0.25">
      <c r="A3" s="8" t="s">
        <v>31</v>
      </c>
      <c r="B3" s="8" t="s">
        <v>32</v>
      </c>
      <c r="C3" s="8"/>
      <c r="D3" s="8"/>
      <c r="E3" s="8"/>
      <c r="F3" s="8" t="s">
        <v>29</v>
      </c>
      <c r="G3" s="8">
        <v>1</v>
      </c>
      <c r="H3" s="9">
        <v>5.19</v>
      </c>
      <c r="I3" s="10">
        <v>0.2661</v>
      </c>
      <c r="J3" s="10">
        <v>1</v>
      </c>
      <c r="K3" s="10">
        <f t="shared" si="4"/>
        <v>1.9864594287031312</v>
      </c>
      <c r="L3" s="10">
        <v>2.3041999999999998</v>
      </c>
      <c r="M3" s="8">
        <v>100</v>
      </c>
      <c r="N3" s="10"/>
      <c r="O3" s="10"/>
      <c r="P3" s="8" t="s">
        <v>33</v>
      </c>
      <c r="T3" s="12" t="str">
        <f t="shared" si="0"/>
        <v>Cal 2</v>
      </c>
      <c r="U3" s="8" t="str">
        <f t="shared" si="0"/>
        <v>x 100</v>
      </c>
      <c r="V3" s="8" t="str">
        <f t="shared" si="1"/>
        <v>17.11.2023</v>
      </c>
      <c r="W3" s="8">
        <f t="shared" si="1"/>
        <v>1</v>
      </c>
      <c r="X3" s="8">
        <f t="shared" si="2"/>
        <v>100</v>
      </c>
      <c r="Y3" s="10">
        <f t="shared" si="3"/>
        <v>5.19</v>
      </c>
      <c r="Z3" s="10">
        <f t="shared" si="3"/>
        <v>0.2661</v>
      </c>
      <c r="AA3" s="8">
        <f t="shared" si="3"/>
        <v>1</v>
      </c>
      <c r="AF3" t="s">
        <v>123</v>
      </c>
      <c r="AG3" s="10" cm="1">
        <f t="array" ref="AG3:AH7">LINEST(Z2:Z7,AA2:AA7, TRUE, TRUE)</f>
        <v>0.11196935483870968</v>
      </c>
      <c r="AH3" s="10">
        <v>4.3677419354838598E-2</v>
      </c>
      <c r="AI3" s="13" t="s">
        <v>124</v>
      </c>
    </row>
    <row r="4" spans="1:35" x14ac:dyDescent="0.25">
      <c r="A4" s="8" t="s">
        <v>34</v>
      </c>
      <c r="B4" s="8" t="s">
        <v>35</v>
      </c>
      <c r="C4" s="8"/>
      <c r="D4" s="8"/>
      <c r="E4" s="8"/>
      <c r="F4" s="8" t="s">
        <v>29</v>
      </c>
      <c r="G4" s="8">
        <v>1</v>
      </c>
      <c r="H4" s="9">
        <v>5.1970000000000001</v>
      </c>
      <c r="I4" s="10">
        <v>0.23019999999999999</v>
      </c>
      <c r="J4" s="10">
        <v>2</v>
      </c>
      <c r="K4" s="10">
        <f t="shared" si="4"/>
        <v>1.6658359862289518</v>
      </c>
      <c r="L4" s="10">
        <v>1.9910000000000001</v>
      </c>
      <c r="M4" s="8">
        <v>50</v>
      </c>
      <c r="N4" s="10"/>
      <c r="O4" s="10"/>
      <c r="P4" s="8" t="s">
        <v>36</v>
      </c>
      <c r="T4" s="12" t="str">
        <f t="shared" si="0"/>
        <v>Cal 3</v>
      </c>
      <c r="U4" s="8" t="str">
        <f t="shared" si="0"/>
        <v>x 50</v>
      </c>
      <c r="V4" s="8" t="str">
        <f t="shared" si="1"/>
        <v>17.11.2023</v>
      </c>
      <c r="W4" s="8">
        <f t="shared" si="1"/>
        <v>1</v>
      </c>
      <c r="X4" s="8">
        <f t="shared" si="2"/>
        <v>50</v>
      </c>
      <c r="Y4" s="10">
        <f t="shared" si="3"/>
        <v>5.1970000000000001</v>
      </c>
      <c r="Z4" s="10">
        <f t="shared" si="3"/>
        <v>0.23019999999999999</v>
      </c>
      <c r="AA4" s="8">
        <f t="shared" si="3"/>
        <v>2</v>
      </c>
      <c r="AF4" t="s">
        <v>125</v>
      </c>
      <c r="AG4" s="10">
        <v>3.8810462654850831E-3</v>
      </c>
      <c r="AH4" s="10">
        <v>3.6476329449984704E-2</v>
      </c>
      <c r="AI4" t="s">
        <v>126</v>
      </c>
    </row>
    <row r="5" spans="1:35" x14ac:dyDescent="0.25">
      <c r="A5" s="8" t="s">
        <v>37</v>
      </c>
      <c r="B5" s="8" t="s">
        <v>38</v>
      </c>
      <c r="C5" s="8"/>
      <c r="D5" s="8"/>
      <c r="E5" s="8"/>
      <c r="F5" s="8" t="s">
        <v>29</v>
      </c>
      <c r="G5" s="8">
        <v>1</v>
      </c>
      <c r="H5" s="9">
        <v>5.19</v>
      </c>
      <c r="I5" s="10">
        <v>0.56079999999999997</v>
      </c>
      <c r="J5" s="10">
        <v>5</v>
      </c>
      <c r="K5" s="10">
        <f t="shared" si="4"/>
        <v>4.6184295818268257</v>
      </c>
      <c r="L5" s="10">
        <v>4.8738999999999999</v>
      </c>
      <c r="M5" s="8">
        <v>20</v>
      </c>
      <c r="N5" s="10"/>
      <c r="O5" s="10"/>
      <c r="P5" s="8" t="s">
        <v>40</v>
      </c>
      <c r="T5" s="12" t="str">
        <f t="shared" si="0"/>
        <v>Cal 4</v>
      </c>
      <c r="U5" s="8" t="str">
        <f t="shared" si="0"/>
        <v>x 20</v>
      </c>
      <c r="V5" s="8" t="str">
        <f t="shared" si="1"/>
        <v>17.11.2023</v>
      </c>
      <c r="W5" s="8">
        <f t="shared" si="1"/>
        <v>1</v>
      </c>
      <c r="X5" s="8">
        <f t="shared" si="2"/>
        <v>20</v>
      </c>
      <c r="Y5" s="10">
        <f t="shared" si="3"/>
        <v>5.19</v>
      </c>
      <c r="Z5" s="10">
        <f t="shared" si="3"/>
        <v>0.56079999999999997</v>
      </c>
      <c r="AA5" s="8">
        <f t="shared" si="3"/>
        <v>5</v>
      </c>
      <c r="AF5" t="s">
        <v>127</v>
      </c>
      <c r="AG5" s="10">
        <v>0.99521725554401208</v>
      </c>
      <c r="AH5" s="10">
        <v>6.6015825021170482E-2</v>
      </c>
      <c r="AI5" t="s">
        <v>128</v>
      </c>
    </row>
    <row r="6" spans="1:35" x14ac:dyDescent="0.25">
      <c r="A6" s="8" t="s">
        <v>41</v>
      </c>
      <c r="B6" s="8" t="s">
        <v>42</v>
      </c>
      <c r="C6" s="8"/>
      <c r="D6" s="8"/>
      <c r="E6" s="8"/>
      <c r="F6" s="8" t="s">
        <v>29</v>
      </c>
      <c r="G6" s="8">
        <v>1</v>
      </c>
      <c r="H6" s="9">
        <v>5.19</v>
      </c>
      <c r="I6" s="10">
        <v>1.1722999999999999</v>
      </c>
      <c r="J6" s="10">
        <v>10</v>
      </c>
      <c r="K6" s="10">
        <f t="shared" si="4"/>
        <v>10.079745322020715</v>
      </c>
      <c r="L6" s="10">
        <v>10.205399999999999</v>
      </c>
      <c r="M6" s="8">
        <v>10</v>
      </c>
      <c r="N6" s="10"/>
      <c r="O6" s="10"/>
      <c r="P6" s="8" t="s">
        <v>43</v>
      </c>
      <c r="T6" s="12" t="str">
        <f t="shared" si="0"/>
        <v>Cal 5</v>
      </c>
      <c r="U6" s="8" t="str">
        <f t="shared" si="0"/>
        <v>x 10</v>
      </c>
      <c r="V6" s="8" t="str">
        <f t="shared" si="1"/>
        <v>17.11.2023</v>
      </c>
      <c r="W6" s="8">
        <f t="shared" si="1"/>
        <v>1</v>
      </c>
      <c r="X6" s="8">
        <f t="shared" si="2"/>
        <v>10</v>
      </c>
      <c r="Y6" s="10">
        <f t="shared" si="3"/>
        <v>5.19</v>
      </c>
      <c r="Z6" s="10">
        <f t="shared" si="3"/>
        <v>1.1722999999999999</v>
      </c>
      <c r="AA6" s="8">
        <f t="shared" si="3"/>
        <v>10</v>
      </c>
      <c r="AF6" t="s">
        <v>129</v>
      </c>
      <c r="AG6" s="10">
        <v>832.33989580857235</v>
      </c>
      <c r="AH6" s="10">
        <v>4</v>
      </c>
      <c r="AI6" t="s">
        <v>130</v>
      </c>
    </row>
    <row r="7" spans="1:35" x14ac:dyDescent="0.25">
      <c r="A7" s="8" t="s">
        <v>44</v>
      </c>
      <c r="B7" s="8" t="s">
        <v>45</v>
      </c>
      <c r="C7" s="8"/>
      <c r="D7" s="8"/>
      <c r="E7" s="8"/>
      <c r="F7" s="8" t="s">
        <v>29</v>
      </c>
      <c r="G7" s="8">
        <v>1</v>
      </c>
      <c r="H7" s="9">
        <v>5.19</v>
      </c>
      <c r="I7" s="10">
        <v>2.2875000000000001</v>
      </c>
      <c r="J7" s="10">
        <v>20</v>
      </c>
      <c r="K7" s="10">
        <f t="shared" si="4"/>
        <v>20.039613373474886</v>
      </c>
      <c r="L7" s="10">
        <v>19.9297</v>
      </c>
      <c r="M7" s="8">
        <v>5</v>
      </c>
      <c r="N7" s="10"/>
      <c r="O7" s="10"/>
      <c r="P7" s="8" t="s">
        <v>46</v>
      </c>
      <c r="T7" s="12" t="str">
        <f t="shared" si="0"/>
        <v>Cal 6</v>
      </c>
      <c r="U7" s="8" t="str">
        <f t="shared" si="0"/>
        <v>x 5</v>
      </c>
      <c r="V7" s="8" t="str">
        <f t="shared" si="1"/>
        <v>17.11.2023</v>
      </c>
      <c r="W7" s="8">
        <f t="shared" si="1"/>
        <v>1</v>
      </c>
      <c r="X7" s="8">
        <f t="shared" si="2"/>
        <v>5</v>
      </c>
      <c r="Y7" s="10">
        <f t="shared" si="3"/>
        <v>5.19</v>
      </c>
      <c r="Z7" s="10">
        <f t="shared" si="3"/>
        <v>2.2875000000000001</v>
      </c>
      <c r="AA7" s="8">
        <f t="shared" si="3"/>
        <v>20</v>
      </c>
      <c r="AF7" t="s">
        <v>131</v>
      </c>
      <c r="AG7" s="10">
        <v>3.6274114717204311</v>
      </c>
      <c r="AH7" s="10">
        <v>1.7432356612903196E-2</v>
      </c>
      <c r="AI7" t="s">
        <v>132</v>
      </c>
    </row>
    <row r="8" spans="1:35" x14ac:dyDescent="0.25">
      <c r="A8" s="8">
        <v>1</v>
      </c>
      <c r="B8" s="8" t="s">
        <v>47</v>
      </c>
      <c r="C8" s="8"/>
      <c r="D8" s="8"/>
      <c r="E8" s="8"/>
      <c r="F8" s="8" t="s">
        <v>29</v>
      </c>
      <c r="G8" s="8">
        <v>1</v>
      </c>
      <c r="H8" s="9" t="s">
        <v>152</v>
      </c>
      <c r="I8" s="10" t="s">
        <v>152</v>
      </c>
      <c r="J8" s="10"/>
      <c r="K8" s="10" t="str">
        <f t="shared" si="4"/>
        <v>NA</v>
      </c>
      <c r="L8" s="10" t="s">
        <v>152</v>
      </c>
      <c r="M8" s="8">
        <v>0</v>
      </c>
      <c r="N8" s="10"/>
      <c r="O8" s="10"/>
      <c r="P8" s="8" t="s">
        <v>30</v>
      </c>
      <c r="S8" s="6"/>
    </row>
    <row r="9" spans="1:35" x14ac:dyDescent="0.25">
      <c r="A9" s="8">
        <v>2</v>
      </c>
      <c r="B9" s="8" t="s">
        <v>48</v>
      </c>
      <c r="C9" s="8"/>
      <c r="D9" s="8"/>
      <c r="E9" s="8"/>
      <c r="F9" s="8" t="s">
        <v>29</v>
      </c>
      <c r="G9" s="8">
        <v>1</v>
      </c>
      <c r="H9" s="9">
        <v>5.1929999999999996</v>
      </c>
      <c r="I9" s="10">
        <v>0.82520000000000004</v>
      </c>
      <c r="J9" s="10"/>
      <c r="K9" s="10">
        <f t="shared" si="4"/>
        <v>6.979789977096269</v>
      </c>
      <c r="L9" s="10">
        <v>7.1791999999999998</v>
      </c>
      <c r="M9" s="8">
        <v>20</v>
      </c>
      <c r="N9" s="10"/>
      <c r="O9" s="10"/>
      <c r="P9" s="8" t="s">
        <v>49</v>
      </c>
    </row>
    <row r="10" spans="1:35" x14ac:dyDescent="0.25">
      <c r="A10" s="8">
        <v>3</v>
      </c>
      <c r="B10" s="8" t="s">
        <v>176</v>
      </c>
      <c r="C10" s="8">
        <v>20</v>
      </c>
      <c r="D10" s="8">
        <v>20</v>
      </c>
      <c r="E10" s="8" t="s">
        <v>75</v>
      </c>
      <c r="F10" s="8" t="s">
        <v>29</v>
      </c>
      <c r="G10" s="8">
        <v>1</v>
      </c>
      <c r="H10" s="9" t="str">
        <f>IFERROR(AVERAGE(AA36:AA38), "NA")</f>
        <v>NA</v>
      </c>
      <c r="I10" s="10" t="str">
        <f>IFERROR(Y47, "NA")</f>
        <v>NA</v>
      </c>
      <c r="J10" s="10"/>
      <c r="K10" s="10" t="str">
        <f>IFERROR(Y48, "NA")</f>
        <v>NA</v>
      </c>
      <c r="L10" s="10" t="str">
        <f>IFERROR(Y49, "NA")</f>
        <v>NA</v>
      </c>
      <c r="M10" s="8">
        <v>5</v>
      </c>
      <c r="N10" s="10" t="str">
        <f t="shared" ref="N10:N15" si="5">IF(H10="NA", "NA",M10*K10)</f>
        <v>NA</v>
      </c>
      <c r="O10" s="10" t="str">
        <f t="shared" ref="O10:O15" si="6">IF(H10="NA", "NA",M10*L10)</f>
        <v>NA</v>
      </c>
      <c r="P10" s="8" t="s">
        <v>179</v>
      </c>
    </row>
    <row r="11" spans="1:35" x14ac:dyDescent="0.25">
      <c r="A11" s="8">
        <v>6</v>
      </c>
      <c r="B11" s="8" t="s">
        <v>177</v>
      </c>
      <c r="C11" s="8">
        <v>0</v>
      </c>
      <c r="D11" s="8">
        <v>10</v>
      </c>
      <c r="E11" s="8" t="s">
        <v>92</v>
      </c>
      <c r="F11" s="8" t="s">
        <v>29</v>
      </c>
      <c r="G11" s="8">
        <v>1</v>
      </c>
      <c r="H11" s="9">
        <f>IFERROR(AVERAGE(AA39:AA41), "NA")</f>
        <v>5.1909999999999998</v>
      </c>
      <c r="I11" s="10">
        <f>IFERROR(Y50, "NA")</f>
        <v>1.3600000000000001E-2</v>
      </c>
      <c r="J11" s="10"/>
      <c r="K11" s="10">
        <f>IFERROR(Y51, "NA")</f>
        <v>-0.26862188674896548</v>
      </c>
      <c r="L11" s="10">
        <f>IFERROR(Y52, "NA")</f>
        <v>0.10199999999999999</v>
      </c>
      <c r="M11" s="8">
        <v>5</v>
      </c>
      <c r="N11" s="10">
        <f t="shared" si="5"/>
        <v>-1.3431094337448273</v>
      </c>
      <c r="O11" s="10">
        <f t="shared" si="6"/>
        <v>0.51</v>
      </c>
      <c r="P11" s="8" t="s">
        <v>180</v>
      </c>
      <c r="S11" s="6" t="s">
        <v>133</v>
      </c>
      <c r="T11" s="14"/>
      <c r="U11" s="15" t="s">
        <v>134</v>
      </c>
      <c r="V11" s="16" t="s">
        <v>135</v>
      </c>
    </row>
    <row r="12" spans="1:35" x14ac:dyDescent="0.25">
      <c r="A12" s="8">
        <v>9</v>
      </c>
      <c r="B12" s="8" t="s">
        <v>178</v>
      </c>
      <c r="C12" s="8">
        <v>10</v>
      </c>
      <c r="D12" s="8">
        <v>90</v>
      </c>
      <c r="E12" s="8" t="s">
        <v>75</v>
      </c>
      <c r="F12" s="8" t="s">
        <v>29</v>
      </c>
      <c r="G12" s="8">
        <v>1</v>
      </c>
      <c r="H12" s="9">
        <f>IFERROR(AVERAGE(AA42:AA44), "NA")</f>
        <v>5.19</v>
      </c>
      <c r="I12" s="10">
        <f>IFERROR(Y53, "NA")</f>
        <v>7.0333333333333345E-2</v>
      </c>
      <c r="J12" s="10"/>
      <c r="K12" s="10">
        <f>IFERROR(Y54, "NA")</f>
        <v>0.23806437053149243</v>
      </c>
      <c r="L12" s="10">
        <f>IFERROR(Y55, "NA")</f>
        <v>0.5969000000000001</v>
      </c>
      <c r="M12" s="8">
        <v>5</v>
      </c>
      <c r="N12" s="10">
        <f t="shared" si="5"/>
        <v>1.1903218526574622</v>
      </c>
      <c r="O12" s="10">
        <f t="shared" si="6"/>
        <v>2.9845000000000006</v>
      </c>
      <c r="P12" s="8" t="s">
        <v>181</v>
      </c>
      <c r="T12" s="17" t="s">
        <v>136</v>
      </c>
      <c r="U12" s="10" t="e">
        <f xml:space="preserve"> AVERAGE(I8,I16,I31)+3*STDEV(I8,I16,I31)</f>
        <v>#DIV/0!</v>
      </c>
      <c r="V12" s="10" t="e">
        <f xml:space="preserve"> AVERAGE((I8,I16,I31))+10*STDEV(I8,I16,I31)</f>
        <v>#DIV/0!</v>
      </c>
    </row>
    <row r="13" spans="1:35" x14ac:dyDescent="0.25">
      <c r="A13" s="8">
        <v>12</v>
      </c>
      <c r="B13" s="8" t="s">
        <v>74</v>
      </c>
      <c r="C13" s="8">
        <v>0</v>
      </c>
      <c r="D13" s="8">
        <v>10</v>
      </c>
      <c r="E13" s="8" t="s">
        <v>75</v>
      </c>
      <c r="F13" s="8" t="s">
        <v>29</v>
      </c>
      <c r="G13" s="8">
        <v>1</v>
      </c>
      <c r="H13" s="9">
        <v>5.19</v>
      </c>
      <c r="I13" s="10">
        <v>3.0800000000000001E-2</v>
      </c>
      <c r="J13" s="10"/>
      <c r="K13" s="10">
        <f t="shared" ref="K13:K18" si="7">IF(H13="NA", "NA", ((I13-($AH$3))/$AG$3))</f>
        <v>-0.11500842684490183</v>
      </c>
      <c r="L13" s="10">
        <v>0.25190000000000001</v>
      </c>
      <c r="M13" s="8">
        <v>5</v>
      </c>
      <c r="N13" s="10">
        <f t="shared" si="5"/>
        <v>-0.57504213422450912</v>
      </c>
      <c r="O13" s="10">
        <f t="shared" si="6"/>
        <v>1.2595000000000001</v>
      </c>
      <c r="P13" s="8" t="s">
        <v>76</v>
      </c>
      <c r="T13" s="17" t="s">
        <v>137</v>
      </c>
      <c r="U13" s="10" t="e">
        <f xml:space="preserve"> AVERAGE(K8,K16,K31)+3*STDEV(K8,K16,K31)</f>
        <v>#DIV/0!</v>
      </c>
      <c r="V13" s="10" t="e">
        <f xml:space="preserve"> AVERAGE(K8,K16,K31)+10*STDEV(K8,K16,K31)</f>
        <v>#DIV/0!</v>
      </c>
    </row>
    <row r="14" spans="1:35" x14ac:dyDescent="0.25">
      <c r="A14" s="8">
        <v>13</v>
      </c>
      <c r="B14" s="8" t="s">
        <v>77</v>
      </c>
      <c r="C14" s="8">
        <v>0</v>
      </c>
      <c r="D14" s="8">
        <v>20</v>
      </c>
      <c r="E14" s="8" t="s">
        <v>75</v>
      </c>
      <c r="F14" s="8" t="s">
        <v>29</v>
      </c>
      <c r="G14" s="8">
        <v>1</v>
      </c>
      <c r="H14" s="9">
        <v>5.19</v>
      </c>
      <c r="I14" s="10">
        <v>0.1109</v>
      </c>
      <c r="J14" s="10"/>
      <c r="K14" s="10">
        <f t="shared" si="7"/>
        <v>0.60036588352227815</v>
      </c>
      <c r="L14" s="10">
        <v>0.95089999999999997</v>
      </c>
      <c r="M14" s="8">
        <v>5</v>
      </c>
      <c r="N14" s="10">
        <f t="shared" si="5"/>
        <v>3.0018294176113907</v>
      </c>
      <c r="O14" s="10">
        <f t="shared" si="6"/>
        <v>4.7545000000000002</v>
      </c>
      <c r="P14" s="8" t="s">
        <v>78</v>
      </c>
      <c r="T14" s="17" t="s">
        <v>138</v>
      </c>
      <c r="U14" s="10" t="e">
        <f xml:space="preserve"> AVERAGE(L8,L16,L31)+3*STDEV(L8,L16,L31)</f>
        <v>#DIV/0!</v>
      </c>
      <c r="V14" s="10" t="e">
        <f xml:space="preserve"> AVERAGE(L8,L16,L31)+10*STDEV(L8,L16,L31)</f>
        <v>#DIV/0!</v>
      </c>
    </row>
    <row r="15" spans="1:35" x14ac:dyDescent="0.25">
      <c r="A15" s="8">
        <v>14</v>
      </c>
      <c r="B15" s="8" t="s">
        <v>79</v>
      </c>
      <c r="C15" s="8">
        <v>0</v>
      </c>
      <c r="D15" s="8">
        <v>30</v>
      </c>
      <c r="E15" s="8" t="s">
        <v>75</v>
      </c>
      <c r="F15" s="8" t="s">
        <v>29</v>
      </c>
      <c r="G15" s="8">
        <v>1</v>
      </c>
      <c r="H15" s="9">
        <v>5.19</v>
      </c>
      <c r="I15" s="10">
        <v>3.7499999999999999E-2</v>
      </c>
      <c r="J15" s="10"/>
      <c r="K15" s="10">
        <f t="shared" si="7"/>
        <v>-5.5170625603202655E-2</v>
      </c>
      <c r="L15" s="10">
        <v>0.31019999999999998</v>
      </c>
      <c r="M15" s="8">
        <v>5</v>
      </c>
      <c r="N15" s="10">
        <f t="shared" si="5"/>
        <v>-0.27585312801601325</v>
      </c>
      <c r="O15" s="10">
        <f t="shared" si="6"/>
        <v>1.5509999999999999</v>
      </c>
      <c r="P15" s="8" t="s">
        <v>80</v>
      </c>
    </row>
    <row r="16" spans="1:35" x14ac:dyDescent="0.25">
      <c r="A16" s="8">
        <v>15</v>
      </c>
      <c r="B16" s="8" t="s">
        <v>28</v>
      </c>
      <c r="C16" s="8"/>
      <c r="D16" s="8"/>
      <c r="E16" s="8"/>
      <c r="F16" s="8" t="s">
        <v>29</v>
      </c>
      <c r="G16" s="8">
        <v>1</v>
      </c>
      <c r="H16" s="9" t="s">
        <v>152</v>
      </c>
      <c r="I16" s="10" t="s">
        <v>152</v>
      </c>
      <c r="J16" s="10"/>
      <c r="K16" s="10" t="str">
        <f t="shared" si="7"/>
        <v>NA</v>
      </c>
      <c r="L16" s="10" t="s">
        <v>152</v>
      </c>
      <c r="M16" s="8">
        <v>0</v>
      </c>
      <c r="N16" s="10"/>
      <c r="O16" s="10"/>
      <c r="P16" s="8" t="s">
        <v>30</v>
      </c>
      <c r="S16" s="6" t="s">
        <v>139</v>
      </c>
      <c r="T16" s="7"/>
      <c r="U16" s="3" t="s">
        <v>140</v>
      </c>
      <c r="V16" s="3" t="s">
        <v>141</v>
      </c>
      <c r="W16" s="3" t="s">
        <v>142</v>
      </c>
      <c r="X16" s="3" t="s">
        <v>143</v>
      </c>
      <c r="Y16" s="7" t="s">
        <v>144</v>
      </c>
      <c r="Z16" s="3" t="s">
        <v>145</v>
      </c>
      <c r="AA16" s="3" t="s">
        <v>146</v>
      </c>
      <c r="AB16" s="3" t="s">
        <v>147</v>
      </c>
      <c r="AC16" s="3" t="s">
        <v>148</v>
      </c>
      <c r="AD16" s="3" t="s">
        <v>149</v>
      </c>
    </row>
    <row r="17" spans="1:30" x14ac:dyDescent="0.25">
      <c r="A17" s="23">
        <v>16</v>
      </c>
      <c r="B17" s="8" t="s">
        <v>48</v>
      </c>
      <c r="C17" s="8"/>
      <c r="D17" s="8"/>
      <c r="E17" s="8"/>
      <c r="F17" s="8" t="s">
        <v>29</v>
      </c>
      <c r="G17" s="8">
        <v>1</v>
      </c>
      <c r="H17" s="9">
        <v>5.1870000000000003</v>
      </c>
      <c r="I17" s="10">
        <v>0.86299999999999999</v>
      </c>
      <c r="J17" s="10"/>
      <c r="K17" s="10">
        <f t="shared" si="7"/>
        <v>7.3173823482807805</v>
      </c>
      <c r="L17" s="10">
        <v>7.5087000000000002</v>
      </c>
      <c r="M17" s="8">
        <v>20</v>
      </c>
      <c r="N17" s="10"/>
      <c r="O17" s="10"/>
      <c r="P17" s="8" t="s">
        <v>49</v>
      </c>
      <c r="T17" s="17" t="s">
        <v>150</v>
      </c>
      <c r="U17" s="9">
        <f>AVERAGE(H3:H31)</f>
        <v>5.1906363636363624</v>
      </c>
      <c r="V17" s="9">
        <f>MEDIAN(H3:H31)</f>
        <v>5.19</v>
      </c>
      <c r="W17" s="9">
        <f>STDEV(H3:H31)</f>
        <v>1.9159842564580149E-3</v>
      </c>
      <c r="X17" s="9">
        <f>W17/U17*100</f>
        <v>3.6912319072872776E-2</v>
      </c>
      <c r="Y17" s="9">
        <f>VAR(H3:H31)</f>
        <v>3.6709956709949726E-6</v>
      </c>
      <c r="Z17" s="9">
        <f>MAX(H3:H31)</f>
        <v>5.1970000000000001</v>
      </c>
      <c r="AA17" s="9">
        <f>MIN(H3:H31)</f>
        <v>5.1870000000000003</v>
      </c>
      <c r="AB17" s="9">
        <f>Z17-AA17</f>
        <v>9.9999999999997868E-3</v>
      </c>
      <c r="AC17" s="9">
        <f>COUNT(H3:H31)</f>
        <v>22</v>
      </c>
      <c r="AD17" s="9">
        <f>W17/SQRT(AC17)</f>
        <v>4.0848921600292036E-4</v>
      </c>
    </row>
    <row r="18" spans="1:30" x14ac:dyDescent="0.25">
      <c r="A18" s="8">
        <v>17</v>
      </c>
      <c r="B18" s="8" t="s">
        <v>81</v>
      </c>
      <c r="C18" s="8">
        <v>0</v>
      </c>
      <c r="D18" s="8">
        <v>60</v>
      </c>
      <c r="E18" s="8" t="s">
        <v>75</v>
      </c>
      <c r="F18" s="8" t="s">
        <v>29</v>
      </c>
      <c r="G18" s="8">
        <v>1</v>
      </c>
      <c r="H18" s="9" t="s">
        <v>152</v>
      </c>
      <c r="I18" s="10" t="s">
        <v>152</v>
      </c>
      <c r="J18" s="10"/>
      <c r="K18" s="10" t="str">
        <f t="shared" si="7"/>
        <v>NA</v>
      </c>
      <c r="L18" s="10" t="s">
        <v>152</v>
      </c>
      <c r="M18" s="8">
        <v>5</v>
      </c>
      <c r="N18" s="10" t="str">
        <f t="shared" ref="N18:N29" si="8">IF(H18="NA", "NA",M18*K18)</f>
        <v>NA</v>
      </c>
      <c r="O18" s="10" t="str">
        <f t="shared" ref="O18:O29" si="9">IF(H18="NA", "NA",M18*L18)</f>
        <v>NA</v>
      </c>
      <c r="P18" s="8" t="s">
        <v>82</v>
      </c>
      <c r="T18" s="17" t="s">
        <v>151</v>
      </c>
      <c r="U18" s="10">
        <f>AVERAGE(I9,I17,I30)</f>
        <v>0.85573333333333335</v>
      </c>
      <c r="V18" s="10">
        <f>MEDIAN(I9,I17,I30)</f>
        <v>0.86299999999999999</v>
      </c>
      <c r="W18" s="10">
        <f>STDEV(I9,I17,I30)</f>
        <v>2.7626315956589868E-2</v>
      </c>
      <c r="X18" s="10">
        <f>W18/U18*100</f>
        <v>3.2283790849863512</v>
      </c>
      <c r="Y18" s="10">
        <f>VAR(I9,I17,I30)</f>
        <v>7.6321333333333196E-4</v>
      </c>
      <c r="Z18" s="10">
        <f>MAX(I9,I17,I30)</f>
        <v>0.879</v>
      </c>
      <c r="AA18" s="10">
        <f>MIN(I9,I17,I30)</f>
        <v>0.82520000000000004</v>
      </c>
      <c r="AB18" s="10">
        <f>Z18-AA18</f>
        <v>5.3799999999999959E-2</v>
      </c>
      <c r="AC18" s="10">
        <f>COUNT(I9,I17,I30)</f>
        <v>3</v>
      </c>
      <c r="AD18" s="10">
        <f>W18/SQRT(AC18)</f>
        <v>1.5950060954254816E-2</v>
      </c>
    </row>
    <row r="19" spans="1:30" x14ac:dyDescent="0.25">
      <c r="A19" s="8">
        <v>18</v>
      </c>
      <c r="B19" s="8" t="s">
        <v>83</v>
      </c>
      <c r="C19" s="8">
        <v>0</v>
      </c>
      <c r="D19" s="8">
        <v>70</v>
      </c>
      <c r="E19" s="8" t="s">
        <v>75</v>
      </c>
      <c r="F19" s="8" t="s">
        <v>29</v>
      </c>
      <c r="G19" s="8">
        <v>1</v>
      </c>
      <c r="H19" s="9" t="s">
        <v>152</v>
      </c>
      <c r="I19" s="10" t="s">
        <v>152</v>
      </c>
      <c r="J19" s="10"/>
      <c r="K19" s="10" t="str">
        <f t="shared" ref="K19:K31" si="10">IF(H19="NA", "NA", ((I19-($AH$3))/$AG$3))</f>
        <v>NA</v>
      </c>
      <c r="L19" s="10" t="s">
        <v>152</v>
      </c>
      <c r="M19" s="8">
        <v>5</v>
      </c>
      <c r="N19" s="10" t="str">
        <f t="shared" si="8"/>
        <v>NA</v>
      </c>
      <c r="O19" s="10" t="str">
        <f t="shared" si="9"/>
        <v>NA</v>
      </c>
      <c r="P19" s="8" t="s">
        <v>84</v>
      </c>
      <c r="T19" s="17" t="s">
        <v>153</v>
      </c>
      <c r="U19" s="10">
        <f>AVERAGE(K9,K17,K30)</f>
        <v>7.2524836384763516</v>
      </c>
      <c r="V19" s="10">
        <f>MEDIAN(K9,K17,K30)</f>
        <v>7.3173823482807805</v>
      </c>
      <c r="W19" s="10">
        <f>STDEV(K9,K17,K30)</f>
        <v>0.24673104526131459</v>
      </c>
      <c r="X19" s="10">
        <f>W19/U19*100</f>
        <v>3.4020213979158926</v>
      </c>
      <c r="Y19" s="10">
        <f>VAR(K9,K17,K30)</f>
        <v>6.0876208695740869E-2</v>
      </c>
      <c r="Z19" s="10">
        <f>MAX(K9,K17,K30)</f>
        <v>7.4602785900520026</v>
      </c>
      <c r="AA19" s="10">
        <f>MIN(K9,K17,K30)</f>
        <v>6.979789977096269</v>
      </c>
      <c r="AB19" s="10">
        <f>Z19-AA19</f>
        <v>0.48048861295573353</v>
      </c>
      <c r="AC19" s="10">
        <f>COUNT(K9,K17,K30)</f>
        <v>3</v>
      </c>
      <c r="AD19" s="10">
        <f>W19/SQRT(AC19)</f>
        <v>0.14245023539905771</v>
      </c>
    </row>
    <row r="20" spans="1:30" x14ac:dyDescent="0.25">
      <c r="A20" s="8">
        <v>19</v>
      </c>
      <c r="B20" s="8" t="s">
        <v>85</v>
      </c>
      <c r="C20" s="8">
        <v>0</v>
      </c>
      <c r="D20" s="8">
        <v>80</v>
      </c>
      <c r="E20" s="8" t="s">
        <v>75</v>
      </c>
      <c r="F20" s="8" t="s">
        <v>29</v>
      </c>
      <c r="G20" s="8">
        <v>1</v>
      </c>
      <c r="H20" s="9">
        <v>5.1929999999999996</v>
      </c>
      <c r="I20" s="10">
        <v>2.0400000000000001E-2</v>
      </c>
      <c r="J20" s="10"/>
      <c r="K20" s="10">
        <f t="shared" si="10"/>
        <v>-0.2078909839961961</v>
      </c>
      <c r="L20" s="10">
        <v>0.1615</v>
      </c>
      <c r="M20" s="8">
        <v>5</v>
      </c>
      <c r="N20" s="10">
        <f t="shared" si="8"/>
        <v>-1.0394549199809804</v>
      </c>
      <c r="O20" s="10">
        <f t="shared" si="9"/>
        <v>0.8075</v>
      </c>
      <c r="P20" s="8" t="s">
        <v>86</v>
      </c>
      <c r="T20" s="17" t="s">
        <v>154</v>
      </c>
      <c r="U20" s="10">
        <f>AVERAGE(L9,L17,L30)</f>
        <v>7.4453333333333331</v>
      </c>
      <c r="V20" s="10">
        <f>MEDIAN(L9,L17,L30)</f>
        <v>7.5087000000000002</v>
      </c>
      <c r="W20" s="10">
        <f>STDEV(L9,L17,L30)</f>
        <v>0.24078684211005688</v>
      </c>
      <c r="X20" s="10">
        <f>W20/U20*100</f>
        <v>3.23406396100542</v>
      </c>
      <c r="Y20" s="10">
        <f>VAR(L9,L17,L30)</f>
        <v>5.7978303333333467E-2</v>
      </c>
      <c r="Z20" s="10">
        <f>MAX(L9,L17,L30)</f>
        <v>7.6481000000000003</v>
      </c>
      <c r="AA20" s="10">
        <f>MIN(L9,L17,L30)</f>
        <v>7.1791999999999998</v>
      </c>
      <c r="AB20" s="10">
        <f>Z20-AA20</f>
        <v>0.46890000000000054</v>
      </c>
      <c r="AC20" s="10">
        <f>COUNT(L9,L17,L30)</f>
        <v>3</v>
      </c>
      <c r="AD20" s="10">
        <f>W20/SQRT(AC20)</f>
        <v>0.13901834810956126</v>
      </c>
    </row>
    <row r="21" spans="1:30" x14ac:dyDescent="0.25">
      <c r="A21" s="8">
        <v>20</v>
      </c>
      <c r="B21" s="8" t="s">
        <v>87</v>
      </c>
      <c r="C21" s="8">
        <v>0</v>
      </c>
      <c r="D21" s="8">
        <v>90</v>
      </c>
      <c r="E21" s="8" t="s">
        <v>75</v>
      </c>
      <c r="F21" s="8" t="s">
        <v>29</v>
      </c>
      <c r="G21" s="8">
        <v>1</v>
      </c>
      <c r="H21" s="9">
        <v>5.19</v>
      </c>
      <c r="I21" s="10">
        <v>7.6100000000000001E-2</v>
      </c>
      <c r="J21" s="10"/>
      <c r="K21" s="10">
        <f t="shared" si="10"/>
        <v>0.28956655766987033</v>
      </c>
      <c r="L21" s="10">
        <v>0.64749999999999996</v>
      </c>
      <c r="M21" s="8">
        <v>5</v>
      </c>
      <c r="N21" s="10">
        <f t="shared" si="8"/>
        <v>1.4478327883493516</v>
      </c>
      <c r="O21" s="10">
        <f t="shared" si="9"/>
        <v>3.2374999999999998</v>
      </c>
      <c r="P21" s="8" t="s">
        <v>88</v>
      </c>
      <c r="T21" s="17" t="s">
        <v>155</v>
      </c>
      <c r="U21" s="10" t="e">
        <f>AVERAGE(I8,I16,I31)</f>
        <v>#DIV/0!</v>
      </c>
      <c r="V21" s="10" t="e">
        <f>MEDIAN(I8,I16,I31)</f>
        <v>#NUM!</v>
      </c>
      <c r="W21" s="10" t="e">
        <f>STDEV(I8,I16,I31)</f>
        <v>#DIV/0!</v>
      </c>
      <c r="X21" s="10" t="e">
        <f t="shared" ref="X21:X23" si="11">W21/U21*100</f>
        <v>#DIV/0!</v>
      </c>
      <c r="Y21" s="10" t="e">
        <f>VAR(I8,I16,I31)</f>
        <v>#DIV/0!</v>
      </c>
      <c r="Z21" s="10">
        <f>MAX(I8,I16,I31)</f>
        <v>0</v>
      </c>
      <c r="AA21" s="10">
        <f>MIN(I8,I16,I31)</f>
        <v>0</v>
      </c>
      <c r="AB21" s="10">
        <f t="shared" ref="AB21:AB23" si="12">Z21-AA21</f>
        <v>0</v>
      </c>
      <c r="AC21" s="10">
        <f>COUNT(I8,I16,I31)</f>
        <v>0</v>
      </c>
      <c r="AD21" s="10" t="e">
        <f t="shared" ref="AD21:AD23" si="13">W21/SQRT(AC21)</f>
        <v>#DIV/0!</v>
      </c>
    </row>
    <row r="22" spans="1:30" x14ac:dyDescent="0.25">
      <c r="A22" s="8">
        <v>21</v>
      </c>
      <c r="B22" s="8" t="s">
        <v>89</v>
      </c>
      <c r="C22" s="8">
        <v>0</v>
      </c>
      <c r="D22" s="8">
        <v>100</v>
      </c>
      <c r="E22" s="8" t="s">
        <v>75</v>
      </c>
      <c r="F22" s="8" t="s">
        <v>29</v>
      </c>
      <c r="G22" s="8">
        <v>1</v>
      </c>
      <c r="H22" s="9">
        <v>5.19</v>
      </c>
      <c r="I22" s="10">
        <v>4.5499999999999999E-2</v>
      </c>
      <c r="J22" s="10"/>
      <c r="K22" s="10">
        <f t="shared" si="10"/>
        <v>1.6277495282408325E-2</v>
      </c>
      <c r="L22" s="10">
        <v>0.38</v>
      </c>
      <c r="M22" s="8">
        <v>5</v>
      </c>
      <c r="N22" s="10">
        <f t="shared" si="8"/>
        <v>8.1387476412041623E-2</v>
      </c>
      <c r="O22" s="10">
        <f t="shared" si="9"/>
        <v>1.9</v>
      </c>
      <c r="P22" s="8" t="s">
        <v>90</v>
      </c>
      <c r="T22" s="17" t="s">
        <v>156</v>
      </c>
      <c r="U22" s="10" t="e">
        <f>AVERAGE(K8,K16,K31)</f>
        <v>#DIV/0!</v>
      </c>
      <c r="V22" s="10" t="e">
        <f>MEDIAN(K8,K16,K31)</f>
        <v>#NUM!</v>
      </c>
      <c r="W22" s="10" t="e">
        <f>STDEV(K8,K16,K31)</f>
        <v>#DIV/0!</v>
      </c>
      <c r="X22" s="10" t="e">
        <f t="shared" si="11"/>
        <v>#DIV/0!</v>
      </c>
      <c r="Y22" s="10" t="e">
        <f>VAR(K8,K16,K31)</f>
        <v>#DIV/0!</v>
      </c>
      <c r="Z22" s="10">
        <f>MAX(K8,K16,K31)</f>
        <v>0</v>
      </c>
      <c r="AA22" s="10">
        <f>MIN(K8,K16,K31)</f>
        <v>0</v>
      </c>
      <c r="AB22" s="10">
        <f t="shared" si="12"/>
        <v>0</v>
      </c>
      <c r="AC22" s="10">
        <f>COUNT(K8,K16,K31)</f>
        <v>0</v>
      </c>
      <c r="AD22" s="10" t="e">
        <f t="shared" si="13"/>
        <v>#DIV/0!</v>
      </c>
    </row>
    <row r="23" spans="1:30" x14ac:dyDescent="0.25">
      <c r="A23" s="8">
        <v>22</v>
      </c>
      <c r="B23" s="8" t="s">
        <v>91</v>
      </c>
      <c r="C23" s="8">
        <v>0</v>
      </c>
      <c r="D23" s="8">
        <v>60</v>
      </c>
      <c r="E23" s="8" t="s">
        <v>92</v>
      </c>
      <c r="F23" s="8" t="s">
        <v>29</v>
      </c>
      <c r="G23" s="8">
        <v>1</v>
      </c>
      <c r="H23" s="9" t="s">
        <v>152</v>
      </c>
      <c r="I23" s="10" t="s">
        <v>152</v>
      </c>
      <c r="J23" s="10"/>
      <c r="K23" s="10" t="str">
        <f t="shared" si="10"/>
        <v>NA</v>
      </c>
      <c r="L23" s="10" t="s">
        <v>152</v>
      </c>
      <c r="M23" s="8">
        <v>5</v>
      </c>
      <c r="N23" s="10" t="str">
        <f t="shared" si="8"/>
        <v>NA</v>
      </c>
      <c r="O23" s="10" t="str">
        <f t="shared" si="9"/>
        <v>NA</v>
      </c>
      <c r="P23" s="8" t="s">
        <v>93</v>
      </c>
      <c r="T23" s="17" t="s">
        <v>157</v>
      </c>
      <c r="U23" s="10" t="e">
        <f>AVERAGE(L8,L16,L31)</f>
        <v>#DIV/0!</v>
      </c>
      <c r="V23" s="10" t="e">
        <f>MEDIAN(L8,L16,L31)</f>
        <v>#NUM!</v>
      </c>
      <c r="W23" s="10" t="e">
        <f>STDEV(L8,L16,L31)</f>
        <v>#DIV/0!</v>
      </c>
      <c r="X23" s="10" t="e">
        <f t="shared" si="11"/>
        <v>#DIV/0!</v>
      </c>
      <c r="Y23" s="10" t="e">
        <f>VAR(L8,L16,L31)</f>
        <v>#DIV/0!</v>
      </c>
      <c r="Z23" s="10">
        <f>MAX(L8,L16,L31)</f>
        <v>0</v>
      </c>
      <c r="AA23" s="10">
        <f>MIN(L8,L16,L31)</f>
        <v>0</v>
      </c>
      <c r="AB23" s="10">
        <f t="shared" si="12"/>
        <v>0</v>
      </c>
      <c r="AC23" s="10">
        <f>COUNT(L8,L16,L31)</f>
        <v>0</v>
      </c>
      <c r="AD23" s="10" t="e">
        <f t="shared" si="13"/>
        <v>#DIV/0!</v>
      </c>
    </row>
    <row r="24" spans="1:30" x14ac:dyDescent="0.25">
      <c r="A24" s="8">
        <v>23</v>
      </c>
      <c r="B24" s="8" t="s">
        <v>94</v>
      </c>
      <c r="C24" s="8">
        <v>0</v>
      </c>
      <c r="D24" s="8">
        <v>100</v>
      </c>
      <c r="E24" s="8" t="s">
        <v>92</v>
      </c>
      <c r="F24" s="8" t="s">
        <v>29</v>
      </c>
      <c r="G24" s="8">
        <v>1</v>
      </c>
      <c r="H24" s="9">
        <v>5.19</v>
      </c>
      <c r="I24" s="10">
        <v>3.3799999999999997E-2</v>
      </c>
      <c r="J24" s="10"/>
      <c r="K24" s="10">
        <f t="shared" si="10"/>
        <v>-8.8215381512797758E-2</v>
      </c>
      <c r="L24" s="10">
        <v>0.27829999999999999</v>
      </c>
      <c r="M24" s="8">
        <v>5</v>
      </c>
      <c r="N24" s="10">
        <f t="shared" si="8"/>
        <v>-0.44107690756398876</v>
      </c>
      <c r="O24" s="10">
        <f t="shared" si="9"/>
        <v>1.3915</v>
      </c>
      <c r="P24" s="8" t="s">
        <v>95</v>
      </c>
    </row>
    <row r="25" spans="1:30" x14ac:dyDescent="0.25">
      <c r="A25" s="8">
        <v>24</v>
      </c>
      <c r="B25" s="8" t="s">
        <v>96</v>
      </c>
      <c r="C25" s="8">
        <v>10</v>
      </c>
      <c r="D25" s="8">
        <v>0</v>
      </c>
      <c r="E25" s="8" t="s">
        <v>75</v>
      </c>
      <c r="F25" s="8" t="s">
        <v>29</v>
      </c>
      <c r="G25" s="8">
        <v>1</v>
      </c>
      <c r="H25" s="9">
        <v>5.19</v>
      </c>
      <c r="I25" s="10">
        <v>1.47E-2</v>
      </c>
      <c r="J25" s="10"/>
      <c r="K25" s="10">
        <f t="shared" si="10"/>
        <v>-0.25879777012719396</v>
      </c>
      <c r="L25" s="10">
        <v>0.112</v>
      </c>
      <c r="M25" s="8">
        <v>5</v>
      </c>
      <c r="N25" s="10">
        <f t="shared" si="8"/>
        <v>-1.2939888506359698</v>
      </c>
      <c r="O25" s="10">
        <f t="shared" si="9"/>
        <v>0.56000000000000005</v>
      </c>
      <c r="P25" s="8" t="s">
        <v>97</v>
      </c>
      <c r="T25" s="19"/>
    </row>
    <row r="26" spans="1:30" x14ac:dyDescent="0.25">
      <c r="A26" s="8">
        <v>25</v>
      </c>
      <c r="B26" s="8" t="s">
        <v>98</v>
      </c>
      <c r="C26" s="8">
        <v>10</v>
      </c>
      <c r="D26" s="8">
        <v>60</v>
      </c>
      <c r="E26" s="8" t="s">
        <v>75</v>
      </c>
      <c r="F26" s="8" t="s">
        <v>29</v>
      </c>
      <c r="G26" s="8">
        <v>1</v>
      </c>
      <c r="H26" s="9">
        <v>5.19</v>
      </c>
      <c r="I26" s="10">
        <v>1.6199999999999999E-2</v>
      </c>
      <c r="J26" s="10"/>
      <c r="K26" s="10">
        <f t="shared" si="10"/>
        <v>-0.24540124746114189</v>
      </c>
      <c r="L26" s="10">
        <v>0.1246</v>
      </c>
      <c r="M26" s="8">
        <v>5</v>
      </c>
      <c r="N26" s="10">
        <f t="shared" si="8"/>
        <v>-1.2270062373057096</v>
      </c>
      <c r="O26" s="10">
        <f t="shared" si="9"/>
        <v>0.623</v>
      </c>
      <c r="P26" s="8" t="s">
        <v>99</v>
      </c>
      <c r="T26" s="11"/>
      <c r="U26" s="3" t="s">
        <v>158</v>
      </c>
      <c r="V26" s="3" t="s">
        <v>159</v>
      </c>
      <c r="W26" s="3" t="s">
        <v>160</v>
      </c>
      <c r="X26" s="3" t="s">
        <v>161</v>
      </c>
      <c r="Y26" s="3" t="s">
        <v>162</v>
      </c>
      <c r="Z26" s="3" t="s">
        <v>163</v>
      </c>
      <c r="AA26" s="3" t="s">
        <v>164</v>
      </c>
    </row>
    <row r="27" spans="1:30" ht="45" x14ac:dyDescent="0.25">
      <c r="A27" s="8">
        <v>26</v>
      </c>
      <c r="B27" s="8" t="s">
        <v>100</v>
      </c>
      <c r="C27" s="8">
        <v>10</v>
      </c>
      <c r="D27" s="8">
        <v>70</v>
      </c>
      <c r="E27" s="8" t="s">
        <v>75</v>
      </c>
      <c r="F27" s="8" t="s">
        <v>29</v>
      </c>
      <c r="G27" s="8">
        <v>1</v>
      </c>
      <c r="H27" s="9">
        <v>5.19</v>
      </c>
      <c r="I27" s="10">
        <v>7.6499999999999999E-2</v>
      </c>
      <c r="J27" s="10"/>
      <c r="K27" s="10">
        <f t="shared" si="10"/>
        <v>0.29313896371415088</v>
      </c>
      <c r="L27" s="10">
        <v>0.65100000000000002</v>
      </c>
      <c r="M27" s="8">
        <v>5</v>
      </c>
      <c r="N27" s="10">
        <f t="shared" si="8"/>
        <v>1.4656948185707543</v>
      </c>
      <c r="O27" s="10">
        <f t="shared" si="9"/>
        <v>3.2549999999999999</v>
      </c>
      <c r="P27" s="8" t="s">
        <v>101</v>
      </c>
      <c r="T27" s="20" t="s">
        <v>165</v>
      </c>
      <c r="U27" s="21">
        <f>K5</f>
        <v>4.6184295818268257</v>
      </c>
      <c r="V27" s="21">
        <f>L5</f>
        <v>4.8738999999999999</v>
      </c>
      <c r="W27" s="22">
        <v>102</v>
      </c>
      <c r="X27" s="22">
        <v>1</v>
      </c>
      <c r="Y27" s="21">
        <f>W27/(20)</f>
        <v>5.0999999999999996</v>
      </c>
      <c r="Z27" s="21">
        <f>V27/Y27 *100</f>
        <v>95.566666666666663</v>
      </c>
      <c r="AA27" s="21">
        <f>U27/Y27 *100</f>
        <v>90.557442780918166</v>
      </c>
    </row>
    <row r="28" spans="1:30" ht="45" x14ac:dyDescent="0.25">
      <c r="A28" s="8">
        <v>27</v>
      </c>
      <c r="B28" s="8" t="s">
        <v>102</v>
      </c>
      <c r="C28" s="8">
        <v>10</v>
      </c>
      <c r="D28" s="8">
        <v>10</v>
      </c>
      <c r="E28" s="8" t="s">
        <v>92</v>
      </c>
      <c r="F28" s="8" t="s">
        <v>29</v>
      </c>
      <c r="G28" s="8">
        <v>1</v>
      </c>
      <c r="H28" s="9">
        <v>5.1929999999999996</v>
      </c>
      <c r="I28" s="10">
        <v>2.87E-2</v>
      </c>
      <c r="J28" s="10"/>
      <c r="K28" s="10">
        <f t="shared" si="10"/>
        <v>-0.13376355857737474</v>
      </c>
      <c r="L28" s="10">
        <v>0.2336</v>
      </c>
      <c r="M28" s="8">
        <v>5</v>
      </c>
      <c r="N28" s="10">
        <f t="shared" si="8"/>
        <v>-0.66881779288687371</v>
      </c>
      <c r="O28" s="10">
        <f t="shared" si="9"/>
        <v>1.1679999999999999</v>
      </c>
      <c r="P28" s="8" t="s">
        <v>103</v>
      </c>
      <c r="T28" s="20" t="s">
        <v>166</v>
      </c>
      <c r="U28" s="21">
        <f>U19</f>
        <v>7.2524836384763516</v>
      </c>
      <c r="V28" s="21">
        <f>U20</f>
        <v>7.4453333333333331</v>
      </c>
      <c r="W28" s="22">
        <v>100</v>
      </c>
      <c r="X28" s="22">
        <v>1</v>
      </c>
      <c r="Y28" s="21">
        <f>W28/(20)</f>
        <v>5</v>
      </c>
      <c r="Z28" s="21">
        <f>V28/Y28 *100</f>
        <v>148.90666666666667</v>
      </c>
      <c r="AA28" s="21">
        <f>U28/Y28 *100</f>
        <v>145.04967276952704</v>
      </c>
    </row>
    <row r="29" spans="1:30" x14ac:dyDescent="0.25">
      <c r="A29" s="8">
        <v>28</v>
      </c>
      <c r="B29" s="8" t="s">
        <v>104</v>
      </c>
      <c r="C29" s="8">
        <v>10</v>
      </c>
      <c r="D29" s="8">
        <v>50</v>
      </c>
      <c r="E29" s="8" t="s">
        <v>92</v>
      </c>
      <c r="F29" s="8" t="s">
        <v>29</v>
      </c>
      <c r="G29" s="8">
        <v>1</v>
      </c>
      <c r="H29" s="9">
        <v>5.19</v>
      </c>
      <c r="I29" s="10">
        <v>1.15E-2</v>
      </c>
      <c r="J29" s="10"/>
      <c r="K29" s="10">
        <f t="shared" si="10"/>
        <v>-0.28737701848143837</v>
      </c>
      <c r="L29" s="10">
        <v>8.4099999999999994E-2</v>
      </c>
      <c r="M29" s="8">
        <v>5</v>
      </c>
      <c r="N29" s="10">
        <f t="shared" si="8"/>
        <v>-1.4368850924071919</v>
      </c>
      <c r="O29" s="10">
        <f t="shared" si="9"/>
        <v>0.42049999999999998</v>
      </c>
      <c r="P29" s="8" t="s">
        <v>105</v>
      </c>
    </row>
    <row r="30" spans="1:30" x14ac:dyDescent="0.25">
      <c r="A30" s="8">
        <v>29</v>
      </c>
      <c r="B30" s="8" t="s">
        <v>48</v>
      </c>
      <c r="C30" s="8"/>
      <c r="D30" s="8"/>
      <c r="E30" s="8"/>
      <c r="F30" s="8" t="s">
        <v>29</v>
      </c>
      <c r="G30" s="8">
        <v>1</v>
      </c>
      <c r="H30" s="9">
        <v>5.19</v>
      </c>
      <c r="I30" s="10">
        <v>0.879</v>
      </c>
      <c r="J30" s="10"/>
      <c r="K30" s="10">
        <f t="shared" si="10"/>
        <v>7.4602785900520026</v>
      </c>
      <c r="L30" s="10">
        <v>7.6481000000000003</v>
      </c>
      <c r="M30" s="8">
        <v>20</v>
      </c>
      <c r="N30" s="10"/>
      <c r="O30" s="8"/>
      <c r="P30" s="8" t="s">
        <v>49</v>
      </c>
    </row>
    <row r="31" spans="1:30" x14ac:dyDescent="0.25">
      <c r="A31" s="8">
        <v>30</v>
      </c>
      <c r="B31" s="8" t="s">
        <v>28</v>
      </c>
      <c r="C31" s="8"/>
      <c r="D31" s="8"/>
      <c r="E31" s="8"/>
      <c r="F31" s="8" t="s">
        <v>29</v>
      </c>
      <c r="G31" s="8">
        <v>1</v>
      </c>
      <c r="H31" s="9" t="s">
        <v>152</v>
      </c>
      <c r="I31" s="10" t="s">
        <v>152</v>
      </c>
      <c r="J31" s="10"/>
      <c r="K31" s="10" t="str">
        <f t="shared" si="10"/>
        <v>NA</v>
      </c>
      <c r="L31" s="10" t="s">
        <v>152</v>
      </c>
      <c r="M31" s="8">
        <v>0</v>
      </c>
      <c r="N31" s="10"/>
      <c r="O31" s="8"/>
      <c r="P31" s="8" t="s">
        <v>30</v>
      </c>
      <c r="T31" s="8"/>
      <c r="U31" s="3" t="s">
        <v>167</v>
      </c>
      <c r="V31" s="3" t="s">
        <v>168</v>
      </c>
      <c r="W31" s="3" t="s">
        <v>169</v>
      </c>
      <c r="X31" s="3" t="s">
        <v>170</v>
      </c>
      <c r="Y31" s="3" t="s">
        <v>171</v>
      </c>
      <c r="Z31" s="3" t="s">
        <v>172</v>
      </c>
      <c r="AA31" s="3" t="s">
        <v>173</v>
      </c>
      <c r="AB31" s="3" t="s">
        <v>163</v>
      </c>
      <c r="AC31" s="3" t="s">
        <v>164</v>
      </c>
    </row>
    <row r="32" spans="1:30" x14ac:dyDescent="0.25">
      <c r="T32" s="17" t="s">
        <v>174</v>
      </c>
      <c r="U32" s="10">
        <f>I5</f>
        <v>0.56079999999999997</v>
      </c>
      <c r="V32" s="10">
        <f>U18</f>
        <v>0.85573333333333335</v>
      </c>
      <c r="W32" s="10">
        <f>K5</f>
        <v>4.6184295818268257</v>
      </c>
      <c r="X32" s="10">
        <f>L5</f>
        <v>4.8738999999999999</v>
      </c>
      <c r="Y32" s="10">
        <f>U19</f>
        <v>7.2524836384763516</v>
      </c>
      <c r="Z32" s="10">
        <f>U20</f>
        <v>7.4453333333333331</v>
      </c>
      <c r="AA32" s="10">
        <f>U32/V32 *100</f>
        <v>65.53443440324088</v>
      </c>
      <c r="AB32" s="10">
        <f>W32/Y32 *100</f>
        <v>63.68066185389003</v>
      </c>
      <c r="AC32" s="10">
        <f>X32/Z32 *100</f>
        <v>65.462482091690546</v>
      </c>
    </row>
    <row r="35" spans="19:34" x14ac:dyDescent="0.25">
      <c r="S35" s="6" t="s">
        <v>175</v>
      </c>
      <c r="T35" s="3" t="s">
        <v>13</v>
      </c>
      <c r="U35" s="3" t="s">
        <v>14</v>
      </c>
      <c r="V35" s="3" t="s">
        <v>15</v>
      </c>
      <c r="W35" s="3" t="s">
        <v>16</v>
      </c>
      <c r="X35" s="3" t="s">
        <v>17</v>
      </c>
      <c r="Y35" s="3" t="s">
        <v>18</v>
      </c>
      <c r="Z35" s="3" t="s">
        <v>19</v>
      </c>
      <c r="AA35" s="4" t="s">
        <v>21</v>
      </c>
      <c r="AB35" s="4" t="s">
        <v>22</v>
      </c>
      <c r="AC35" s="4" t="s">
        <v>189</v>
      </c>
      <c r="AD35" s="4" t="s">
        <v>190</v>
      </c>
    </row>
    <row r="36" spans="19:34" x14ac:dyDescent="0.25">
      <c r="T36" s="8">
        <v>3</v>
      </c>
      <c r="U36" s="8" t="s">
        <v>50</v>
      </c>
      <c r="V36" s="8">
        <v>20</v>
      </c>
      <c r="W36" s="8">
        <v>20</v>
      </c>
      <c r="X36" s="8" t="s">
        <v>51</v>
      </c>
      <c r="Y36" s="8" t="s">
        <v>29</v>
      </c>
      <c r="Z36" s="8">
        <v>1</v>
      </c>
      <c r="AA36" s="9" t="s">
        <v>152</v>
      </c>
      <c r="AB36" s="10" t="s">
        <v>152</v>
      </c>
      <c r="AC36" s="10" t="str">
        <f>IF(AA36="NA", "NA", ((AB36-($AH$3))/$AG$3))</f>
        <v>NA</v>
      </c>
      <c r="AD36" s="10" t="s">
        <v>152</v>
      </c>
    </row>
    <row r="37" spans="19:34" x14ac:dyDescent="0.25">
      <c r="T37" s="8">
        <v>4</v>
      </c>
      <c r="U37" s="8" t="s">
        <v>53</v>
      </c>
      <c r="V37" s="8">
        <v>20</v>
      </c>
      <c r="W37" s="8">
        <v>20</v>
      </c>
      <c r="X37" s="8" t="s">
        <v>54</v>
      </c>
      <c r="Y37" s="8" t="s">
        <v>29</v>
      </c>
      <c r="Z37" s="8">
        <v>1</v>
      </c>
      <c r="AA37" s="9" t="s">
        <v>152</v>
      </c>
      <c r="AB37" s="10" t="s">
        <v>152</v>
      </c>
      <c r="AC37" s="10" t="str">
        <f t="shared" ref="AC37:AC44" si="14">IF(AA37="NA", "NA", ((AB37-($AH$3))/$AG$3))</f>
        <v>NA</v>
      </c>
      <c r="AD37" s="10" t="s">
        <v>152</v>
      </c>
    </row>
    <row r="38" spans="19:34" x14ac:dyDescent="0.25">
      <c r="T38" s="8">
        <v>5</v>
      </c>
      <c r="U38" s="8" t="s">
        <v>56</v>
      </c>
      <c r="V38" s="8">
        <v>20</v>
      </c>
      <c r="W38" s="8">
        <v>20</v>
      </c>
      <c r="X38" s="8" t="s">
        <v>57</v>
      </c>
      <c r="Y38" s="8" t="s">
        <v>29</v>
      </c>
      <c r="Z38" s="8">
        <v>1</v>
      </c>
      <c r="AA38" s="9" t="s">
        <v>152</v>
      </c>
      <c r="AB38" s="10" t="s">
        <v>152</v>
      </c>
      <c r="AC38" s="10" t="str">
        <f t="shared" si="14"/>
        <v>NA</v>
      </c>
      <c r="AD38" s="10" t="s">
        <v>152</v>
      </c>
    </row>
    <row r="39" spans="19:34" x14ac:dyDescent="0.25">
      <c r="T39" s="8">
        <v>6</v>
      </c>
      <c r="U39" s="8" t="s">
        <v>59</v>
      </c>
      <c r="V39" s="8">
        <v>0</v>
      </c>
      <c r="W39" s="8">
        <v>10</v>
      </c>
      <c r="X39" s="8" t="s">
        <v>60</v>
      </c>
      <c r="Y39" s="8" t="s">
        <v>29</v>
      </c>
      <c r="Z39" s="8">
        <v>1</v>
      </c>
      <c r="AA39" s="9">
        <v>5.19</v>
      </c>
      <c r="AB39" s="10">
        <v>1.3299999999999999E-2</v>
      </c>
      <c r="AC39" s="10">
        <f t="shared" si="14"/>
        <v>-0.27130119128217589</v>
      </c>
      <c r="AD39" s="10">
        <v>9.9500000000000005E-2</v>
      </c>
    </row>
    <row r="40" spans="19:34" x14ac:dyDescent="0.25">
      <c r="T40" s="8">
        <v>7</v>
      </c>
      <c r="U40" s="8" t="s">
        <v>62</v>
      </c>
      <c r="V40" s="8">
        <v>0</v>
      </c>
      <c r="W40" s="8">
        <v>10</v>
      </c>
      <c r="X40" s="8" t="s">
        <v>63</v>
      </c>
      <c r="Y40" s="8" t="s">
        <v>29</v>
      </c>
      <c r="Z40" s="8">
        <v>1</v>
      </c>
      <c r="AA40" s="9">
        <v>5.1929999999999996</v>
      </c>
      <c r="AB40" s="10">
        <v>1.37E-2</v>
      </c>
      <c r="AC40" s="10">
        <f t="shared" si="14"/>
        <v>-0.26772878523789534</v>
      </c>
      <c r="AD40" s="10">
        <v>0.1027</v>
      </c>
    </row>
    <row r="41" spans="19:34" x14ac:dyDescent="0.25">
      <c r="T41" s="8">
        <v>8</v>
      </c>
      <c r="U41" s="8" t="s">
        <v>65</v>
      </c>
      <c r="V41" s="8">
        <v>0</v>
      </c>
      <c r="W41" s="8">
        <v>10</v>
      </c>
      <c r="X41" s="8" t="s">
        <v>66</v>
      </c>
      <c r="Y41" s="8" t="s">
        <v>29</v>
      </c>
      <c r="Z41" s="8">
        <v>1</v>
      </c>
      <c r="AA41" s="9">
        <v>5.19</v>
      </c>
      <c r="AB41" s="10">
        <v>1.38E-2</v>
      </c>
      <c r="AC41" s="10">
        <f t="shared" si="14"/>
        <v>-0.2668356837268252</v>
      </c>
      <c r="AD41" s="10">
        <v>0.1038</v>
      </c>
    </row>
    <row r="42" spans="19:34" x14ac:dyDescent="0.25">
      <c r="T42" s="8">
        <v>9</v>
      </c>
      <c r="U42" s="8" t="s">
        <v>68</v>
      </c>
      <c r="V42" s="8">
        <v>10</v>
      </c>
      <c r="W42" s="8">
        <v>90</v>
      </c>
      <c r="X42" s="8" t="s">
        <v>51</v>
      </c>
      <c r="Y42" s="8" t="s">
        <v>29</v>
      </c>
      <c r="Z42" s="8">
        <v>1</v>
      </c>
      <c r="AA42" s="9">
        <v>5.19</v>
      </c>
      <c r="AB42" s="10">
        <v>7.0000000000000007E-2</v>
      </c>
      <c r="AC42" s="10">
        <f>IF(AA42="NA", "NA", ((AB42-($AH$3))/$AG$3))</f>
        <v>0.23508736549459203</v>
      </c>
      <c r="AD42" s="10">
        <v>0.59389999999999998</v>
      </c>
    </row>
    <row r="43" spans="19:34" x14ac:dyDescent="0.25">
      <c r="T43" s="8">
        <v>10</v>
      </c>
      <c r="U43" s="8" t="s">
        <v>70</v>
      </c>
      <c r="V43" s="8">
        <v>10</v>
      </c>
      <c r="W43" s="8">
        <v>90</v>
      </c>
      <c r="X43" s="8" t="s">
        <v>54</v>
      </c>
      <c r="Y43" s="8" t="s">
        <v>29</v>
      </c>
      <c r="Z43" s="8">
        <v>1</v>
      </c>
      <c r="AA43" s="9">
        <v>5.19</v>
      </c>
      <c r="AB43" s="10">
        <v>7.0300000000000001E-2</v>
      </c>
      <c r="AC43" s="10">
        <f t="shared" si="14"/>
        <v>0.23776667002780238</v>
      </c>
      <c r="AD43" s="10">
        <v>0.59660000000000002</v>
      </c>
    </row>
    <row r="44" spans="19:34" x14ac:dyDescent="0.25">
      <c r="T44" s="8">
        <v>11</v>
      </c>
      <c r="U44" s="8" t="s">
        <v>72</v>
      </c>
      <c r="V44" s="8">
        <v>10</v>
      </c>
      <c r="W44" s="8">
        <v>90</v>
      </c>
      <c r="X44" s="8" t="s">
        <v>57</v>
      </c>
      <c r="Y44" s="8" t="s">
        <v>29</v>
      </c>
      <c r="Z44" s="8">
        <v>1</v>
      </c>
      <c r="AA44" s="9">
        <v>5.19</v>
      </c>
      <c r="AB44" s="10">
        <v>7.0699999999999999E-2</v>
      </c>
      <c r="AC44" s="10">
        <f t="shared" si="14"/>
        <v>0.24133907607208291</v>
      </c>
      <c r="AD44" s="10">
        <v>0.60019999999999996</v>
      </c>
    </row>
    <row r="46" spans="19:34" x14ac:dyDescent="0.25">
      <c r="T46" s="7"/>
      <c r="U46" s="3" t="s">
        <v>14</v>
      </c>
      <c r="V46" s="3" t="s">
        <v>15</v>
      </c>
      <c r="W46" s="3" t="s">
        <v>16</v>
      </c>
      <c r="X46" s="3" t="s">
        <v>17</v>
      </c>
      <c r="Y46" s="3" t="s">
        <v>140</v>
      </c>
      <c r="Z46" s="3" t="s">
        <v>141</v>
      </c>
      <c r="AA46" s="3" t="s">
        <v>142</v>
      </c>
      <c r="AB46" s="3" t="s">
        <v>143</v>
      </c>
      <c r="AC46" s="7" t="s">
        <v>144</v>
      </c>
      <c r="AD46" s="3" t="s">
        <v>145</v>
      </c>
      <c r="AE46" s="3" t="s">
        <v>146</v>
      </c>
      <c r="AF46" s="3" t="s">
        <v>147</v>
      </c>
      <c r="AG46" s="3" t="s">
        <v>148</v>
      </c>
      <c r="AH46" s="3" t="s">
        <v>149</v>
      </c>
    </row>
    <row r="47" spans="19:34" x14ac:dyDescent="0.25">
      <c r="T47" s="4" t="s">
        <v>22</v>
      </c>
      <c r="U47" s="8" t="s">
        <v>176</v>
      </c>
      <c r="V47" s="8">
        <v>20</v>
      </c>
      <c r="W47" s="8">
        <v>20</v>
      </c>
      <c r="X47" s="8" t="s">
        <v>75</v>
      </c>
      <c r="Y47" s="9" t="e">
        <f>AVERAGE(AB36:AB38)</f>
        <v>#DIV/0!</v>
      </c>
      <c r="Z47" s="9" t="e">
        <f>MEDIAN(AB36:AB38)</f>
        <v>#NUM!</v>
      </c>
      <c r="AA47" s="9" t="e">
        <f>STDEV(AB36:AB38)</f>
        <v>#DIV/0!</v>
      </c>
      <c r="AB47" s="9" t="e">
        <f t="shared" ref="AB47:AB55" si="15">AA47/Y47*100</f>
        <v>#DIV/0!</v>
      </c>
      <c r="AC47" s="9" t="e">
        <f>VAR(AB36:AB38)</f>
        <v>#DIV/0!</v>
      </c>
      <c r="AD47" s="9">
        <f>MAX(AB36:AB38)</f>
        <v>0</v>
      </c>
      <c r="AE47" s="9">
        <f>MIN(AB36:AB38)</f>
        <v>0</v>
      </c>
      <c r="AF47" s="9">
        <f t="shared" ref="AF47:AF55" si="16">AD47-AE47</f>
        <v>0</v>
      </c>
      <c r="AG47" s="9">
        <f>COUNT(AB36:AB38)</f>
        <v>0</v>
      </c>
      <c r="AH47" s="9" t="e">
        <f t="shared" ref="AH47:AH55" si="17">AA47/SQRT(AG47)</f>
        <v>#DIV/0!</v>
      </c>
    </row>
    <row r="48" spans="19:34" x14ac:dyDescent="0.25">
      <c r="T48" s="4" t="s">
        <v>189</v>
      </c>
      <c r="U48" s="8" t="s">
        <v>176</v>
      </c>
      <c r="V48" s="8">
        <v>20</v>
      </c>
      <c r="W48" s="8">
        <v>20</v>
      </c>
      <c r="X48" s="8" t="s">
        <v>75</v>
      </c>
      <c r="Y48" s="10" t="e">
        <f>AVERAGE(AC36:AC38)</f>
        <v>#DIV/0!</v>
      </c>
      <c r="Z48" s="10" t="e">
        <f>MEDIAN(AC36:AC38)</f>
        <v>#NUM!</v>
      </c>
      <c r="AA48" s="10" t="e">
        <f>STDEV(AC36:AC38)</f>
        <v>#DIV/0!</v>
      </c>
      <c r="AB48" s="10" t="e">
        <f t="shared" si="15"/>
        <v>#DIV/0!</v>
      </c>
      <c r="AC48" s="10" t="e">
        <f>VAR(AC36:AC38)</f>
        <v>#DIV/0!</v>
      </c>
      <c r="AD48" s="10">
        <f>MAX(AC36:AC38)</f>
        <v>0</v>
      </c>
      <c r="AE48" s="10">
        <f>MIN(AC36:AC38)</f>
        <v>0</v>
      </c>
      <c r="AF48" s="10">
        <f t="shared" si="16"/>
        <v>0</v>
      </c>
      <c r="AG48" s="10">
        <f>COUNT(AC36:AC38)</f>
        <v>0</v>
      </c>
      <c r="AH48" s="10" t="e">
        <f t="shared" si="17"/>
        <v>#DIV/0!</v>
      </c>
    </row>
    <row r="49" spans="20:34" x14ac:dyDescent="0.25">
      <c r="T49" s="4" t="s">
        <v>190</v>
      </c>
      <c r="U49" s="8" t="s">
        <v>176</v>
      </c>
      <c r="V49" s="8">
        <v>20</v>
      </c>
      <c r="W49" s="8">
        <v>20</v>
      </c>
      <c r="X49" s="8" t="s">
        <v>75</v>
      </c>
      <c r="Y49" s="10" t="e">
        <f>AVERAGE(AD36:AD38)</f>
        <v>#DIV/0!</v>
      </c>
      <c r="Z49" s="10" t="e">
        <f>MEDIAN(AD36:AD38)</f>
        <v>#NUM!</v>
      </c>
      <c r="AA49" s="10" t="e">
        <f>STDEV(AD36:AD38)</f>
        <v>#DIV/0!</v>
      </c>
      <c r="AB49" s="10" t="e">
        <f t="shared" si="15"/>
        <v>#DIV/0!</v>
      </c>
      <c r="AC49" s="10" t="e">
        <f>VAR(AD36:AD38)</f>
        <v>#DIV/0!</v>
      </c>
      <c r="AD49" s="10">
        <f>MAX(AD36:AD38)</f>
        <v>0</v>
      </c>
      <c r="AE49" s="10">
        <f>MIN(AD36:AD38)</f>
        <v>0</v>
      </c>
      <c r="AF49" s="10">
        <f t="shared" si="16"/>
        <v>0</v>
      </c>
      <c r="AG49" s="10">
        <f>COUNT(AD36:AD38)</f>
        <v>0</v>
      </c>
      <c r="AH49" s="10" t="e">
        <f t="shared" si="17"/>
        <v>#DIV/0!</v>
      </c>
    </row>
    <row r="50" spans="20:34" x14ac:dyDescent="0.25">
      <c r="T50" s="4" t="s">
        <v>22</v>
      </c>
      <c r="U50" s="8" t="s">
        <v>177</v>
      </c>
      <c r="V50" s="8">
        <v>0</v>
      </c>
      <c r="W50" s="8">
        <v>10</v>
      </c>
      <c r="X50" s="8" t="s">
        <v>92</v>
      </c>
      <c r="Y50" s="9">
        <f>AVERAGE(AB39:AB41)</f>
        <v>1.3600000000000001E-2</v>
      </c>
      <c r="Z50" s="9">
        <f>MEDIAN(AB39:AB41)</f>
        <v>1.37E-2</v>
      </c>
      <c r="AA50" s="9">
        <f>STDEV(AB39:AB41)</f>
        <v>2.6457513110645942E-4</v>
      </c>
      <c r="AB50" s="9">
        <f t="shared" si="15"/>
        <v>1.9454053757827896</v>
      </c>
      <c r="AC50" s="9">
        <f>VAR(AB39:AB41)</f>
        <v>7.000000000000019E-8</v>
      </c>
      <c r="AD50" s="9">
        <f>MAX(AB39:AB41)</f>
        <v>1.38E-2</v>
      </c>
      <c r="AE50" s="9">
        <f>MIN(AB39:AB41)</f>
        <v>1.3299999999999999E-2</v>
      </c>
      <c r="AF50" s="9">
        <f t="shared" si="16"/>
        <v>5.0000000000000044E-4</v>
      </c>
      <c r="AG50" s="9">
        <f>COUNT(AB39:AB41)</f>
        <v>3</v>
      </c>
      <c r="AH50" s="9">
        <f t="shared" si="17"/>
        <v>1.527525231651949E-4</v>
      </c>
    </row>
    <row r="51" spans="20:34" x14ac:dyDescent="0.25">
      <c r="T51" s="4" t="s">
        <v>189</v>
      </c>
      <c r="U51" s="8" t="s">
        <v>177</v>
      </c>
      <c r="V51" s="8">
        <v>0</v>
      </c>
      <c r="W51" s="8">
        <v>10</v>
      </c>
      <c r="X51" s="8" t="s">
        <v>92</v>
      </c>
      <c r="Y51" s="10">
        <f>AVERAGE(AC39:AC41)</f>
        <v>-0.26862188674896548</v>
      </c>
      <c r="Z51" s="10">
        <f>MEDIAN(AC39:AC41)</f>
        <v>-0.26772878523789534</v>
      </c>
      <c r="AA51" s="10">
        <f>STDEV(AC39:AC41)</f>
        <v>2.3629244938275845E-3</v>
      </c>
      <c r="AB51" s="10">
        <f t="shared" si="15"/>
        <v>-0.87964704679325045</v>
      </c>
      <c r="AC51" s="10">
        <f>VAR(AC39:AC41)</f>
        <v>5.5834121635303459E-6</v>
      </c>
      <c r="AD51" s="10">
        <f>MAX(AC39:AC41)</f>
        <v>-0.2668356837268252</v>
      </c>
      <c r="AE51" s="10">
        <f>MIN(AC39:AC41)</f>
        <v>-0.27130119128217589</v>
      </c>
      <c r="AF51" s="10">
        <f t="shared" si="16"/>
        <v>4.4655075553506896E-3</v>
      </c>
      <c r="AG51" s="10">
        <f>COUNT(AC39:AC41)</f>
        <v>3</v>
      </c>
      <c r="AH51" s="10">
        <f t="shared" si="17"/>
        <v>1.3642350925861162E-3</v>
      </c>
    </row>
    <row r="52" spans="20:34" x14ac:dyDescent="0.25">
      <c r="T52" s="4" t="s">
        <v>190</v>
      </c>
      <c r="U52" s="8" t="s">
        <v>177</v>
      </c>
      <c r="V52" s="8">
        <v>0</v>
      </c>
      <c r="W52" s="8">
        <v>10</v>
      </c>
      <c r="X52" s="8" t="s">
        <v>92</v>
      </c>
      <c r="Y52" s="10">
        <f>AVERAGE(AD39:AD41)</f>
        <v>0.10199999999999999</v>
      </c>
      <c r="Z52" s="10">
        <f>MEDIAN(AD39:AD41)</f>
        <v>0.1027</v>
      </c>
      <c r="AA52" s="10">
        <f>STDEV(AD39:AD41)</f>
        <v>2.2338307903688659E-3</v>
      </c>
      <c r="AB52" s="10">
        <f t="shared" si="15"/>
        <v>2.1900301866361431</v>
      </c>
      <c r="AC52" s="10">
        <f>VAR(AD39:AD41)</f>
        <v>4.9899999999999929E-6</v>
      </c>
      <c r="AD52" s="10">
        <f>MAX(AD39:AD41)</f>
        <v>0.1038</v>
      </c>
      <c r="AE52" s="10">
        <f>MIN(AD39:AD41)</f>
        <v>9.9500000000000005E-2</v>
      </c>
      <c r="AF52" s="10">
        <f t="shared" si="16"/>
        <v>4.2999999999999983E-3</v>
      </c>
      <c r="AG52" s="10">
        <f>COUNT(AD39:AD41)</f>
        <v>3</v>
      </c>
      <c r="AH52" s="10">
        <f t="shared" si="17"/>
        <v>1.2897028081435393E-3</v>
      </c>
    </row>
    <row r="53" spans="20:34" x14ac:dyDescent="0.25">
      <c r="T53" s="4" t="s">
        <v>22</v>
      </c>
      <c r="U53" s="8" t="s">
        <v>178</v>
      </c>
      <c r="V53" s="8">
        <v>10</v>
      </c>
      <c r="W53" s="8">
        <v>90</v>
      </c>
      <c r="X53" s="8" t="s">
        <v>75</v>
      </c>
      <c r="Y53" s="9">
        <f>AVERAGE(AB42:AB44)</f>
        <v>7.0333333333333345E-2</v>
      </c>
      <c r="Z53" s="9">
        <f>MEDIAN(AB42:AB44)</f>
        <v>7.0300000000000001E-2</v>
      </c>
      <c r="AA53" s="9">
        <f>STDEV(AB42:AB44)</f>
        <v>3.5118845842842087E-4</v>
      </c>
      <c r="AB53" s="9">
        <f t="shared" si="15"/>
        <v>0.49932008307358411</v>
      </c>
      <c r="AC53" s="9">
        <f>VAR(AB42:AB44)</f>
        <v>1.2333333333333068E-7</v>
      </c>
      <c r="AD53" s="9">
        <f>MAX(AB42:AB44)</f>
        <v>7.0699999999999999E-2</v>
      </c>
      <c r="AE53" s="9">
        <f>MIN(AB42:AB44)</f>
        <v>7.0000000000000007E-2</v>
      </c>
      <c r="AF53" s="9">
        <f t="shared" si="16"/>
        <v>6.999999999999923E-4</v>
      </c>
      <c r="AG53" s="9">
        <f>COUNT(AB42:AB44)</f>
        <v>3</v>
      </c>
      <c r="AH53" s="9">
        <f t="shared" si="17"/>
        <v>2.027587510099385E-4</v>
      </c>
    </row>
    <row r="54" spans="20:34" x14ac:dyDescent="0.25">
      <c r="T54" s="4" t="s">
        <v>189</v>
      </c>
      <c r="U54" s="8" t="s">
        <v>178</v>
      </c>
      <c r="V54" s="8">
        <v>10</v>
      </c>
      <c r="W54" s="8">
        <v>90</v>
      </c>
      <c r="X54" s="8" t="s">
        <v>75</v>
      </c>
      <c r="Y54" s="10">
        <f>AVERAGE(AC42:AC44)</f>
        <v>0.23806437053149243</v>
      </c>
      <c r="Z54" s="10">
        <f>MEDIAN(AC42:AC44)</f>
        <v>0.23776667002780238</v>
      </c>
      <c r="AA54" s="10">
        <f>STDEV(AC42:AC44)</f>
        <v>3.1364694289281428E-3</v>
      </c>
      <c r="AB54" s="10">
        <f t="shared" si="15"/>
        <v>1.3174879642534472</v>
      </c>
      <c r="AC54" s="10">
        <f>VAR(AC42:AC44)</f>
        <v>9.8374404786008298E-6</v>
      </c>
      <c r="AD54" s="10">
        <f>MAX(AC42:AC44)</f>
        <v>0.24133907607208291</v>
      </c>
      <c r="AE54" s="10">
        <f>MIN(AC42:AC44)</f>
        <v>0.23508736549459203</v>
      </c>
      <c r="AF54" s="10">
        <f t="shared" si="16"/>
        <v>6.2517105774908821E-3</v>
      </c>
      <c r="AG54" s="10">
        <f>COUNT(AC42:AC44)</f>
        <v>3</v>
      </c>
      <c r="AH54" s="10">
        <f t="shared" si="17"/>
        <v>1.8108414690966952E-3</v>
      </c>
    </row>
    <row r="55" spans="20:34" x14ac:dyDescent="0.25">
      <c r="T55" s="4" t="s">
        <v>190</v>
      </c>
      <c r="U55" s="8" t="s">
        <v>178</v>
      </c>
      <c r="V55" s="8">
        <v>10</v>
      </c>
      <c r="W55" s="8">
        <v>90</v>
      </c>
      <c r="X55" s="8" t="s">
        <v>75</v>
      </c>
      <c r="Y55" s="10">
        <f>AVERAGE(AD42:AD44)</f>
        <v>0.5969000000000001</v>
      </c>
      <c r="Z55" s="10">
        <f>MEDIAN(AD42:AD44)</f>
        <v>0.59660000000000002</v>
      </c>
      <c r="AA55" s="10">
        <f>STDEV(AD42:AD44)</f>
        <v>3.1606961258558055E-3</v>
      </c>
      <c r="AB55" s="10">
        <f t="shared" si="15"/>
        <v>0.52951853339852661</v>
      </c>
      <c r="AC55" s="10">
        <f>VAR(AD42:AD44)</f>
        <v>9.9899999999998993E-6</v>
      </c>
      <c r="AD55" s="10">
        <f>MAX(AD42:AD44)</f>
        <v>0.60019999999999996</v>
      </c>
      <c r="AE55" s="10">
        <f>MIN(AD42:AD44)</f>
        <v>0.59389999999999998</v>
      </c>
      <c r="AF55" s="10">
        <f t="shared" si="16"/>
        <v>6.2999999999999723E-3</v>
      </c>
      <c r="AG55" s="10">
        <f>COUNT(AD42:AD44)</f>
        <v>3</v>
      </c>
      <c r="AH55" s="10">
        <f t="shared" si="17"/>
        <v>1.8248287590894568E-3</v>
      </c>
    </row>
  </sheetData>
  <conditionalFormatting sqref="I2:I9">
    <cfRule type="cellIs" dxfId="67" priority="1" operator="lessThan">
      <formula>$U$12</formula>
    </cfRule>
    <cfRule type="cellIs" dxfId="66" priority="2" operator="lessThan">
      <formula>$V$12</formula>
    </cfRule>
    <cfRule type="cellIs" dxfId="65" priority="3" operator="lessThan">
      <formula>$U$12</formula>
    </cfRule>
    <cfRule type="cellIs" dxfId="64" priority="4" operator="lessThan">
      <formula>$V$12</formula>
    </cfRule>
  </conditionalFormatting>
  <conditionalFormatting sqref="I2:I31">
    <cfRule type="cellIs" dxfId="63" priority="5" operator="lessThan">
      <formula>$U$12</formula>
    </cfRule>
    <cfRule type="cellIs" dxfId="62" priority="6" operator="lessThan">
      <formula>$V$12</formula>
    </cfRule>
  </conditionalFormatting>
  <conditionalFormatting sqref="I10:I31">
    <cfRule type="cellIs" dxfId="61" priority="15" operator="lessThan">
      <formula>$U$12</formula>
    </cfRule>
    <cfRule type="cellIs" dxfId="60" priority="16" operator="lessThan">
      <formula>$V$12</formula>
    </cfRule>
    <cfRule type="cellIs" dxfId="59" priority="22" operator="lessThan">
      <formula>$V$12</formula>
    </cfRule>
    <cfRule type="cellIs" dxfId="58" priority="21" operator="lessThan">
      <formula>$U$12</formula>
    </cfRule>
  </conditionalFormatting>
  <conditionalFormatting sqref="K2:K31">
    <cfRule type="cellIs" dxfId="57" priority="24" operator="lessThan">
      <formula>$V$13</formula>
    </cfRule>
    <cfRule type="cellIs" dxfId="56" priority="23" operator="lessThan">
      <formula>$U$13</formula>
    </cfRule>
    <cfRule type="cellIs" dxfId="55" priority="19" operator="lessThan">
      <formula>$U$13</formula>
    </cfRule>
    <cfRule type="cellIs" dxfId="54" priority="20" operator="lessThan">
      <formula>$V$13</formula>
    </cfRule>
  </conditionalFormatting>
  <conditionalFormatting sqref="K11:K12">
    <cfRule type="cellIs" dxfId="53" priority="7" operator="lessThan">
      <formula>$U$13</formula>
    </cfRule>
    <cfRule type="cellIs" dxfId="52" priority="8" operator="lessThan">
      <formula>$V$13</formula>
    </cfRule>
  </conditionalFormatting>
  <conditionalFormatting sqref="L2:L31">
    <cfRule type="cellIs" dxfId="51" priority="26" operator="lessThan">
      <formula>$V$14</formula>
    </cfRule>
    <cfRule type="cellIs" dxfId="50" priority="25" operator="lessThan">
      <formula>$U$14</formula>
    </cfRule>
  </conditionalFormatting>
  <conditionalFormatting sqref="L11:L12">
    <cfRule type="cellIs" dxfId="49" priority="11" operator="lessThan">
      <formula>$U$14</formula>
    </cfRule>
    <cfRule type="cellIs" dxfId="48" priority="12" operator="lessThan">
      <formula>$V$14</formula>
    </cfRule>
  </conditionalFormatting>
  <conditionalFormatting sqref="T48">
    <cfRule type="cellIs" dxfId="47" priority="37" operator="lessThan">
      <formula>$U$13</formula>
    </cfRule>
    <cfRule type="cellIs" dxfId="46" priority="38" operator="lessThan">
      <formula>$V$13</formula>
    </cfRule>
  </conditionalFormatting>
  <conditionalFormatting sqref="T49">
    <cfRule type="cellIs" dxfId="45" priority="35" operator="lessThan">
      <formula>$U$14</formula>
    </cfRule>
    <cfRule type="cellIs" dxfId="44" priority="36" operator="lessThan">
      <formula>$V$14</formula>
    </cfRule>
  </conditionalFormatting>
  <conditionalFormatting sqref="T51">
    <cfRule type="cellIs" dxfId="43" priority="33" operator="lessThan">
      <formula>$U$13</formula>
    </cfRule>
    <cfRule type="cellIs" dxfId="42" priority="34" operator="lessThan">
      <formula>$V$13</formula>
    </cfRule>
  </conditionalFormatting>
  <conditionalFormatting sqref="T52">
    <cfRule type="cellIs" dxfId="41" priority="31" operator="lessThan">
      <formula>$U$14</formula>
    </cfRule>
    <cfRule type="cellIs" dxfId="40" priority="32" operator="lessThan">
      <formula>$V$14</formula>
    </cfRule>
  </conditionalFormatting>
  <conditionalFormatting sqref="T54">
    <cfRule type="cellIs" dxfId="39" priority="29" operator="lessThan">
      <formula>$U$13</formula>
    </cfRule>
    <cfRule type="cellIs" dxfId="38" priority="30" operator="lessThan">
      <formula>$V$13</formula>
    </cfRule>
  </conditionalFormatting>
  <conditionalFormatting sqref="T55">
    <cfRule type="cellIs" dxfId="37" priority="27" operator="lessThan">
      <formula>$U$14</formula>
    </cfRule>
    <cfRule type="cellIs" dxfId="36" priority="28" operator="lessThan">
      <formula>$V$14</formula>
    </cfRule>
  </conditionalFormatting>
  <conditionalFormatting sqref="AC35">
    <cfRule type="cellIs" dxfId="35" priority="39" operator="lessThan">
      <formula>$U$13</formula>
    </cfRule>
    <cfRule type="cellIs" dxfId="34" priority="40" operator="lessThan">
      <formula>$V$13</formula>
    </cfRule>
  </conditionalFormatting>
  <conditionalFormatting sqref="AD35">
    <cfRule type="cellIs" dxfId="33" priority="41" operator="lessThan">
      <formula>$U$14</formula>
    </cfRule>
    <cfRule type="cellIs" dxfId="32" priority="42" operator="lessThan">
      <formula>$V$14</formula>
    </cfRule>
  </conditionalFormatting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F385-6A4E-4818-A353-544C43E338B7}">
  <dimension ref="A1:O40"/>
  <sheetViews>
    <sheetView zoomScale="70" zoomScaleNormal="70" workbookViewId="0">
      <selection activeCell="M24" sqref="M24"/>
    </sheetView>
  </sheetViews>
  <sheetFormatPr defaultRowHeight="15" x14ac:dyDescent="0.25"/>
  <cols>
    <col min="13" max="13" width="16.85546875" customWidth="1"/>
    <col min="15" max="15" width="18.140625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112</v>
      </c>
      <c r="L1" t="s">
        <v>113</v>
      </c>
      <c r="M1" t="s">
        <v>114</v>
      </c>
      <c r="N1" t="s">
        <v>26</v>
      </c>
    </row>
    <row r="2" spans="1:15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39</v>
      </c>
      <c r="J2" t="s">
        <v>39</v>
      </c>
      <c r="K2">
        <v>0</v>
      </c>
      <c r="L2" t="e">
        <f>(J2+$B$40)/$B$39</f>
        <v>#VALUE!</v>
      </c>
      <c r="M2" t="e">
        <f t="shared" ref="M2:M7" si="0">H2*L2</f>
        <v>#VALUE!</v>
      </c>
      <c r="N2" t="s">
        <v>30</v>
      </c>
    </row>
    <row r="3" spans="1:15" x14ac:dyDescent="0.25">
      <c r="A3" t="s">
        <v>31</v>
      </c>
      <c r="B3" t="s">
        <v>32</v>
      </c>
      <c r="F3" t="s">
        <v>29</v>
      </c>
      <c r="G3">
        <v>1</v>
      </c>
      <c r="H3">
        <v>100</v>
      </c>
      <c r="I3">
        <v>6.423</v>
      </c>
      <c r="J3">
        <v>8.5400000000000004E-2</v>
      </c>
      <c r="K3">
        <v>2</v>
      </c>
      <c r="L3">
        <f t="shared" ref="L3:L37" si="1">(J3+$B$40)/$B$39</f>
        <v>2.473913043478261</v>
      </c>
      <c r="M3">
        <f t="shared" si="0"/>
        <v>247.39130434782609</v>
      </c>
      <c r="N3" t="s">
        <v>33</v>
      </c>
    </row>
    <row r="4" spans="1:15" x14ac:dyDescent="0.25">
      <c r="A4" t="s">
        <v>34</v>
      </c>
      <c r="B4" t="s">
        <v>35</v>
      </c>
      <c r="F4" t="s">
        <v>29</v>
      </c>
      <c r="G4">
        <v>1</v>
      </c>
      <c r="H4">
        <v>50</v>
      </c>
      <c r="I4">
        <v>6.4269999999999996</v>
      </c>
      <c r="J4">
        <v>0.15590000000000001</v>
      </c>
      <c r="K4">
        <v>4</v>
      </c>
      <c r="L4">
        <f t="shared" si="1"/>
        <v>4.0065217391304353</v>
      </c>
      <c r="M4">
        <f t="shared" si="0"/>
        <v>200.32608695652178</v>
      </c>
      <c r="N4" t="s">
        <v>36</v>
      </c>
    </row>
    <row r="5" spans="1:15" x14ac:dyDescent="0.25">
      <c r="A5" t="s">
        <v>37</v>
      </c>
      <c r="B5" t="s">
        <v>38</v>
      </c>
      <c r="F5" t="s">
        <v>29</v>
      </c>
      <c r="G5">
        <v>1</v>
      </c>
      <c r="H5">
        <v>20</v>
      </c>
      <c r="I5">
        <v>6.423</v>
      </c>
      <c r="J5">
        <v>0.39410000000000001</v>
      </c>
      <c r="K5">
        <v>10</v>
      </c>
      <c r="L5">
        <f t="shared" si="1"/>
        <v>9.1847826086956523</v>
      </c>
      <c r="M5">
        <f t="shared" si="0"/>
        <v>183.69565217391306</v>
      </c>
      <c r="N5" t="s">
        <v>40</v>
      </c>
    </row>
    <row r="6" spans="1:15" x14ac:dyDescent="0.25">
      <c r="A6" t="s">
        <v>41</v>
      </c>
      <c r="B6" t="s">
        <v>42</v>
      </c>
      <c r="F6" t="s">
        <v>29</v>
      </c>
      <c r="G6">
        <v>1</v>
      </c>
      <c r="H6">
        <v>10</v>
      </c>
      <c r="I6">
        <v>6.423</v>
      </c>
      <c r="J6">
        <v>0.84930000000000005</v>
      </c>
      <c r="K6">
        <v>20</v>
      </c>
      <c r="L6">
        <f t="shared" si="1"/>
        <v>19.080434782608698</v>
      </c>
      <c r="M6">
        <f t="shared" si="0"/>
        <v>190.804347826087</v>
      </c>
      <c r="N6" t="s">
        <v>43</v>
      </c>
    </row>
    <row r="7" spans="1:15" x14ac:dyDescent="0.25">
      <c r="A7" t="s">
        <v>44</v>
      </c>
      <c r="B7" t="s">
        <v>45</v>
      </c>
      <c r="F7" t="s">
        <v>29</v>
      </c>
      <c r="G7">
        <v>1</v>
      </c>
      <c r="H7">
        <v>5</v>
      </c>
      <c r="I7">
        <v>6.42</v>
      </c>
      <c r="J7">
        <v>1.8411999999999999</v>
      </c>
      <c r="K7">
        <v>40</v>
      </c>
      <c r="L7">
        <f t="shared" si="1"/>
        <v>40.643478260869564</v>
      </c>
      <c r="M7">
        <f t="shared" si="0"/>
        <v>203.21739130434781</v>
      </c>
      <c r="N7" t="s">
        <v>46</v>
      </c>
    </row>
    <row r="8" spans="1:15" x14ac:dyDescent="0.25">
      <c r="A8">
        <v>1</v>
      </c>
      <c r="B8" t="s">
        <v>47</v>
      </c>
      <c r="F8" t="s">
        <v>29</v>
      </c>
      <c r="G8">
        <v>1</v>
      </c>
      <c r="H8">
        <v>0</v>
      </c>
      <c r="I8" t="s">
        <v>39</v>
      </c>
      <c r="J8" t="s">
        <v>39</v>
      </c>
      <c r="L8" t="e">
        <f t="shared" si="1"/>
        <v>#VALUE!</v>
      </c>
      <c r="M8" t="e">
        <f t="shared" ref="M8:M37" si="2">H8*L8</f>
        <v>#VALUE!</v>
      </c>
      <c r="N8" t="s">
        <v>30</v>
      </c>
    </row>
    <row r="9" spans="1:15" x14ac:dyDescent="0.25">
      <c r="A9">
        <v>2</v>
      </c>
      <c r="B9" t="s">
        <v>48</v>
      </c>
      <c r="F9" t="s">
        <v>29</v>
      </c>
      <c r="G9">
        <v>1</v>
      </c>
      <c r="H9">
        <v>20</v>
      </c>
      <c r="I9">
        <v>6.4269999999999996</v>
      </c>
      <c r="J9">
        <v>0.44319999999999998</v>
      </c>
      <c r="L9">
        <f t="shared" si="1"/>
        <v>10.252173913043478</v>
      </c>
      <c r="M9">
        <f t="shared" si="2"/>
        <v>205.04347826086956</v>
      </c>
      <c r="N9" t="s">
        <v>49</v>
      </c>
    </row>
    <row r="10" spans="1:15" x14ac:dyDescent="0.25">
      <c r="A10">
        <v>3</v>
      </c>
      <c r="B10" t="s">
        <v>50</v>
      </c>
      <c r="C10">
        <v>20</v>
      </c>
      <c r="D10">
        <v>20</v>
      </c>
      <c r="E10" t="s">
        <v>51</v>
      </c>
      <c r="F10" t="s">
        <v>29</v>
      </c>
      <c r="G10">
        <v>1</v>
      </c>
      <c r="H10">
        <v>5</v>
      </c>
      <c r="I10" t="s">
        <v>39</v>
      </c>
      <c r="J10" t="s">
        <v>39</v>
      </c>
      <c r="L10" t="e">
        <f t="shared" si="1"/>
        <v>#VALUE!</v>
      </c>
      <c r="M10" t="e">
        <f t="shared" si="2"/>
        <v>#VALUE!</v>
      </c>
      <c r="N10" t="s">
        <v>52</v>
      </c>
      <c r="O10" t="e">
        <f>AVERAGE(M10:M12)</f>
        <v>#VALUE!</v>
      </c>
    </row>
    <row r="11" spans="1:15" x14ac:dyDescent="0.25">
      <c r="A11">
        <v>4</v>
      </c>
      <c r="B11" t="s">
        <v>53</v>
      </c>
      <c r="C11">
        <v>20</v>
      </c>
      <c r="D11">
        <v>20</v>
      </c>
      <c r="E11" t="s">
        <v>54</v>
      </c>
      <c r="F11" t="s">
        <v>29</v>
      </c>
      <c r="G11">
        <v>1</v>
      </c>
      <c r="H11">
        <v>5</v>
      </c>
      <c r="I11" t="s">
        <v>39</v>
      </c>
      <c r="J11" t="s">
        <v>39</v>
      </c>
      <c r="L11" t="e">
        <f t="shared" si="1"/>
        <v>#VALUE!</v>
      </c>
      <c r="M11" t="e">
        <f t="shared" si="2"/>
        <v>#VALUE!</v>
      </c>
      <c r="N11" t="s">
        <v>55</v>
      </c>
    </row>
    <row r="12" spans="1:15" x14ac:dyDescent="0.25">
      <c r="A12">
        <v>5</v>
      </c>
      <c r="B12" t="s">
        <v>56</v>
      </c>
      <c r="C12">
        <v>20</v>
      </c>
      <c r="D12">
        <v>20</v>
      </c>
      <c r="E12" t="s">
        <v>57</v>
      </c>
      <c r="F12" t="s">
        <v>29</v>
      </c>
      <c r="G12">
        <v>1</v>
      </c>
      <c r="H12">
        <v>5</v>
      </c>
      <c r="I12" t="s">
        <v>39</v>
      </c>
      <c r="J12" t="s">
        <v>39</v>
      </c>
      <c r="L12" t="e">
        <f t="shared" si="1"/>
        <v>#VALUE!</v>
      </c>
      <c r="M12" t="e">
        <f t="shared" si="2"/>
        <v>#VALUE!</v>
      </c>
      <c r="N12" t="s">
        <v>58</v>
      </c>
    </row>
    <row r="13" spans="1:15" x14ac:dyDescent="0.25">
      <c r="A13">
        <v>6</v>
      </c>
      <c r="B13" t="s">
        <v>59</v>
      </c>
      <c r="C13">
        <v>0</v>
      </c>
      <c r="D13">
        <v>10</v>
      </c>
      <c r="E13" t="s">
        <v>60</v>
      </c>
      <c r="F13" t="s">
        <v>29</v>
      </c>
      <c r="G13">
        <v>1</v>
      </c>
      <c r="H13">
        <v>5</v>
      </c>
      <c r="I13">
        <v>6.44</v>
      </c>
      <c r="J13">
        <v>2.2100000000000002E-2</v>
      </c>
      <c r="L13">
        <f t="shared" si="1"/>
        <v>1.0978260869565217</v>
      </c>
      <c r="M13">
        <f t="shared" si="2"/>
        <v>5.4891304347826084</v>
      </c>
      <c r="N13" t="s">
        <v>61</v>
      </c>
      <c r="O13" t="e">
        <f>AVERAGE(M13:M15)</f>
        <v>#VALUE!</v>
      </c>
    </row>
    <row r="14" spans="1:15" x14ac:dyDescent="0.25">
      <c r="A14">
        <v>7</v>
      </c>
      <c r="B14" t="s">
        <v>62</v>
      </c>
      <c r="C14">
        <v>0</v>
      </c>
      <c r="D14">
        <v>10</v>
      </c>
      <c r="E14" t="s">
        <v>63</v>
      </c>
      <c r="F14" t="s">
        <v>29</v>
      </c>
      <c r="G14">
        <v>1</v>
      </c>
      <c r="H14">
        <v>5</v>
      </c>
      <c r="I14" t="s">
        <v>39</v>
      </c>
      <c r="J14" t="s">
        <v>39</v>
      </c>
      <c r="L14" t="e">
        <f t="shared" si="1"/>
        <v>#VALUE!</v>
      </c>
      <c r="M14" t="e">
        <f t="shared" si="2"/>
        <v>#VALUE!</v>
      </c>
      <c r="N14" t="s">
        <v>64</v>
      </c>
    </row>
    <row r="15" spans="1:15" x14ac:dyDescent="0.25">
      <c r="A15">
        <v>8</v>
      </c>
      <c r="B15" t="s">
        <v>65</v>
      </c>
      <c r="C15">
        <v>0</v>
      </c>
      <c r="D15">
        <v>10</v>
      </c>
      <c r="E15" t="s">
        <v>66</v>
      </c>
      <c r="F15" t="s">
        <v>29</v>
      </c>
      <c r="G15">
        <v>1</v>
      </c>
      <c r="H15">
        <v>5</v>
      </c>
      <c r="I15" t="s">
        <v>39</v>
      </c>
      <c r="J15" t="s">
        <v>39</v>
      </c>
      <c r="L15" t="e">
        <f t="shared" si="1"/>
        <v>#VALUE!</v>
      </c>
      <c r="M15" t="e">
        <f t="shared" si="2"/>
        <v>#VALUE!</v>
      </c>
      <c r="N15" t="s">
        <v>67</v>
      </c>
    </row>
    <row r="16" spans="1:15" x14ac:dyDescent="0.25">
      <c r="A16">
        <v>9</v>
      </c>
      <c r="B16" t="s">
        <v>68</v>
      </c>
      <c r="C16">
        <v>10</v>
      </c>
      <c r="D16">
        <v>90</v>
      </c>
      <c r="E16" t="s">
        <v>51</v>
      </c>
      <c r="F16" t="s">
        <v>29</v>
      </c>
      <c r="G16">
        <v>1</v>
      </c>
      <c r="H16">
        <v>5</v>
      </c>
      <c r="I16">
        <v>6.38</v>
      </c>
      <c r="J16">
        <v>1.5599999999999999E-2</v>
      </c>
      <c r="L16">
        <f t="shared" si="1"/>
        <v>0.9565217391304347</v>
      </c>
      <c r="M16">
        <f t="shared" si="2"/>
        <v>4.7826086956521738</v>
      </c>
      <c r="N16" t="s">
        <v>69</v>
      </c>
      <c r="O16">
        <f>AVERAGE(M16,M18)</f>
        <v>4.8369565217391308</v>
      </c>
    </row>
    <row r="17" spans="1:14" x14ac:dyDescent="0.25">
      <c r="A17">
        <v>10</v>
      </c>
      <c r="B17" t="s">
        <v>70</v>
      </c>
      <c r="C17">
        <v>10</v>
      </c>
      <c r="D17">
        <v>90</v>
      </c>
      <c r="E17" t="s">
        <v>54</v>
      </c>
      <c r="F17" t="s">
        <v>29</v>
      </c>
      <c r="G17">
        <v>1</v>
      </c>
      <c r="H17">
        <v>5</v>
      </c>
      <c r="I17" t="s">
        <v>39</v>
      </c>
      <c r="J17" t="s">
        <v>39</v>
      </c>
      <c r="L17" t="e">
        <f t="shared" si="1"/>
        <v>#VALUE!</v>
      </c>
      <c r="M17" t="e">
        <f t="shared" si="2"/>
        <v>#VALUE!</v>
      </c>
      <c r="N17" t="s">
        <v>71</v>
      </c>
    </row>
    <row r="18" spans="1:14" x14ac:dyDescent="0.25">
      <c r="A18">
        <v>11</v>
      </c>
      <c r="B18" t="s">
        <v>72</v>
      </c>
      <c r="C18">
        <v>10</v>
      </c>
      <c r="D18">
        <v>90</v>
      </c>
      <c r="E18" t="s">
        <v>57</v>
      </c>
      <c r="F18" t="s">
        <v>29</v>
      </c>
      <c r="G18">
        <v>1</v>
      </c>
      <c r="H18">
        <v>5</v>
      </c>
      <c r="I18">
        <v>6.38</v>
      </c>
      <c r="J18">
        <v>1.66E-2</v>
      </c>
      <c r="L18">
        <f t="shared" si="1"/>
        <v>0.97826086956521741</v>
      </c>
      <c r="M18">
        <f t="shared" si="2"/>
        <v>4.8913043478260869</v>
      </c>
      <c r="N18" t="s">
        <v>73</v>
      </c>
    </row>
    <row r="19" spans="1:14" x14ac:dyDescent="0.25">
      <c r="A19">
        <v>12</v>
      </c>
      <c r="B19" t="s">
        <v>74</v>
      </c>
      <c r="C19">
        <v>0</v>
      </c>
      <c r="D19">
        <v>10</v>
      </c>
      <c r="E19" t="s">
        <v>75</v>
      </c>
      <c r="F19" t="s">
        <v>29</v>
      </c>
      <c r="G19">
        <v>1</v>
      </c>
      <c r="H19">
        <v>5</v>
      </c>
      <c r="I19" t="s">
        <v>39</v>
      </c>
      <c r="J19" t="s">
        <v>39</v>
      </c>
      <c r="L19" t="e">
        <f t="shared" si="1"/>
        <v>#VALUE!</v>
      </c>
      <c r="M19" t="e">
        <f t="shared" si="2"/>
        <v>#VALUE!</v>
      </c>
      <c r="N19" t="s">
        <v>76</v>
      </c>
    </row>
    <row r="20" spans="1:14" x14ac:dyDescent="0.25">
      <c r="A20">
        <v>13</v>
      </c>
      <c r="B20" t="s">
        <v>77</v>
      </c>
      <c r="C20">
        <v>0</v>
      </c>
      <c r="D20">
        <v>20</v>
      </c>
      <c r="E20" t="s">
        <v>75</v>
      </c>
      <c r="F20" t="s">
        <v>29</v>
      </c>
      <c r="G20">
        <v>1</v>
      </c>
      <c r="H20">
        <v>5</v>
      </c>
      <c r="I20" t="s">
        <v>39</v>
      </c>
      <c r="J20" t="s">
        <v>39</v>
      </c>
      <c r="L20" t="e">
        <f t="shared" si="1"/>
        <v>#VALUE!</v>
      </c>
      <c r="M20" t="e">
        <f t="shared" si="2"/>
        <v>#VALUE!</v>
      </c>
      <c r="N20" t="s">
        <v>78</v>
      </c>
    </row>
    <row r="21" spans="1:14" x14ac:dyDescent="0.25">
      <c r="A21">
        <v>14</v>
      </c>
      <c r="B21" t="s">
        <v>79</v>
      </c>
      <c r="C21">
        <v>0</v>
      </c>
      <c r="D21">
        <v>30</v>
      </c>
      <c r="E21" t="s">
        <v>75</v>
      </c>
      <c r="F21" t="s">
        <v>29</v>
      </c>
      <c r="G21">
        <v>1</v>
      </c>
      <c r="H21">
        <v>5</v>
      </c>
      <c r="I21" t="s">
        <v>39</v>
      </c>
      <c r="J21" t="s">
        <v>39</v>
      </c>
      <c r="L21" t="e">
        <f t="shared" si="1"/>
        <v>#VALUE!</v>
      </c>
      <c r="M21" t="e">
        <f t="shared" si="2"/>
        <v>#VALUE!</v>
      </c>
      <c r="N21" t="s">
        <v>80</v>
      </c>
    </row>
    <row r="22" spans="1:14" x14ac:dyDescent="0.25">
      <c r="A22">
        <v>15</v>
      </c>
      <c r="B22" t="s">
        <v>28</v>
      </c>
      <c r="F22" t="s">
        <v>29</v>
      </c>
      <c r="G22">
        <v>1</v>
      </c>
      <c r="H22">
        <v>0</v>
      </c>
      <c r="I22">
        <v>6.4370000000000003</v>
      </c>
      <c r="J22">
        <v>2.18E-2</v>
      </c>
      <c r="L22">
        <f t="shared" si="1"/>
        <v>1.0913043478260871</v>
      </c>
      <c r="M22">
        <f>H22*L22</f>
        <v>0</v>
      </c>
      <c r="N22" t="s">
        <v>30</v>
      </c>
    </row>
    <row r="23" spans="1:14" x14ac:dyDescent="0.25">
      <c r="A23" s="1">
        <v>16</v>
      </c>
      <c r="B23" t="s">
        <v>48</v>
      </c>
      <c r="F23" t="s">
        <v>29</v>
      </c>
      <c r="G23">
        <v>1</v>
      </c>
      <c r="H23">
        <v>20</v>
      </c>
      <c r="I23">
        <v>6.4169999999999998</v>
      </c>
      <c r="J23">
        <v>0.46710000000000002</v>
      </c>
      <c r="L23">
        <f t="shared" si="1"/>
        <v>10.771739130434783</v>
      </c>
      <c r="M23">
        <f t="shared" si="2"/>
        <v>215.43478260869566</v>
      </c>
      <c r="N23" t="s">
        <v>49</v>
      </c>
    </row>
    <row r="24" spans="1:14" x14ac:dyDescent="0.25">
      <c r="A24">
        <v>17</v>
      </c>
      <c r="B24" t="s">
        <v>81</v>
      </c>
      <c r="C24">
        <v>0</v>
      </c>
      <c r="D24">
        <v>60</v>
      </c>
      <c r="E24" t="s">
        <v>75</v>
      </c>
      <c r="F24" t="s">
        <v>29</v>
      </c>
      <c r="G24">
        <v>1</v>
      </c>
      <c r="H24">
        <v>5</v>
      </c>
      <c r="I24" t="s">
        <v>39</v>
      </c>
      <c r="J24" t="s">
        <v>39</v>
      </c>
      <c r="L24" t="e">
        <f t="shared" si="1"/>
        <v>#VALUE!</v>
      </c>
      <c r="M24" t="e">
        <f t="shared" si="2"/>
        <v>#VALUE!</v>
      </c>
      <c r="N24" t="s">
        <v>82</v>
      </c>
    </row>
    <row r="25" spans="1:14" x14ac:dyDescent="0.25">
      <c r="A25">
        <v>18</v>
      </c>
      <c r="B25" t="s">
        <v>83</v>
      </c>
      <c r="C25">
        <v>0</v>
      </c>
      <c r="D25">
        <v>70</v>
      </c>
      <c r="E25" t="s">
        <v>75</v>
      </c>
      <c r="F25" t="s">
        <v>29</v>
      </c>
      <c r="G25">
        <v>1</v>
      </c>
      <c r="H25">
        <v>5</v>
      </c>
      <c r="I25" t="s">
        <v>39</v>
      </c>
      <c r="J25" t="s">
        <v>39</v>
      </c>
      <c r="L25" t="e">
        <f t="shared" si="1"/>
        <v>#VALUE!</v>
      </c>
      <c r="M25" t="e">
        <f t="shared" si="2"/>
        <v>#VALUE!</v>
      </c>
      <c r="N25" t="s">
        <v>84</v>
      </c>
    </row>
    <row r="26" spans="1:14" x14ac:dyDescent="0.25">
      <c r="A26">
        <v>19</v>
      </c>
      <c r="B26" t="s">
        <v>85</v>
      </c>
      <c r="C26">
        <v>0</v>
      </c>
      <c r="D26">
        <v>80</v>
      </c>
      <c r="E26" t="s">
        <v>75</v>
      </c>
      <c r="F26" t="s">
        <v>29</v>
      </c>
      <c r="G26">
        <v>1</v>
      </c>
      <c r="H26">
        <v>5</v>
      </c>
      <c r="I26" t="s">
        <v>39</v>
      </c>
      <c r="J26" t="s">
        <v>39</v>
      </c>
      <c r="L26" t="e">
        <f t="shared" si="1"/>
        <v>#VALUE!</v>
      </c>
      <c r="M26" t="e">
        <f t="shared" si="2"/>
        <v>#VALUE!</v>
      </c>
      <c r="N26" t="s">
        <v>86</v>
      </c>
    </row>
    <row r="27" spans="1:14" x14ac:dyDescent="0.25">
      <c r="A27">
        <v>20</v>
      </c>
      <c r="B27" t="s">
        <v>87</v>
      </c>
      <c r="C27">
        <v>0</v>
      </c>
      <c r="D27">
        <v>90</v>
      </c>
      <c r="E27" t="s">
        <v>75</v>
      </c>
      <c r="F27" t="s">
        <v>29</v>
      </c>
      <c r="G27">
        <v>1</v>
      </c>
      <c r="H27">
        <v>5</v>
      </c>
      <c r="I27" t="s">
        <v>39</v>
      </c>
      <c r="J27" t="s">
        <v>39</v>
      </c>
      <c r="L27" t="e">
        <f t="shared" si="1"/>
        <v>#VALUE!</v>
      </c>
      <c r="M27" t="e">
        <f t="shared" si="2"/>
        <v>#VALUE!</v>
      </c>
      <c r="N27" t="s">
        <v>88</v>
      </c>
    </row>
    <row r="28" spans="1:14" x14ac:dyDescent="0.25">
      <c r="A28">
        <v>21</v>
      </c>
      <c r="B28" t="s">
        <v>89</v>
      </c>
      <c r="C28">
        <v>0</v>
      </c>
      <c r="D28">
        <v>100</v>
      </c>
      <c r="E28" t="s">
        <v>75</v>
      </c>
      <c r="F28" t="s">
        <v>29</v>
      </c>
      <c r="G28">
        <v>1</v>
      </c>
      <c r="H28">
        <v>5</v>
      </c>
      <c r="I28" t="s">
        <v>39</v>
      </c>
      <c r="J28" t="s">
        <v>39</v>
      </c>
      <c r="L28" t="e">
        <f t="shared" si="1"/>
        <v>#VALUE!</v>
      </c>
      <c r="M28" t="e">
        <f t="shared" si="2"/>
        <v>#VALUE!</v>
      </c>
      <c r="N28" t="s">
        <v>90</v>
      </c>
    </row>
    <row r="29" spans="1:14" x14ac:dyDescent="0.25">
      <c r="A29">
        <v>22</v>
      </c>
      <c r="B29" t="s">
        <v>91</v>
      </c>
      <c r="C29">
        <v>0</v>
      </c>
      <c r="D29">
        <v>60</v>
      </c>
      <c r="E29" t="s">
        <v>92</v>
      </c>
      <c r="F29" t="s">
        <v>29</v>
      </c>
      <c r="G29">
        <v>1</v>
      </c>
      <c r="H29">
        <v>5</v>
      </c>
      <c r="I29" t="s">
        <v>39</v>
      </c>
      <c r="J29" t="s">
        <v>39</v>
      </c>
      <c r="L29" t="e">
        <f t="shared" si="1"/>
        <v>#VALUE!</v>
      </c>
      <c r="M29" t="e">
        <f t="shared" si="2"/>
        <v>#VALUE!</v>
      </c>
      <c r="N29" t="s">
        <v>93</v>
      </c>
    </row>
    <row r="30" spans="1:14" x14ac:dyDescent="0.25">
      <c r="A30">
        <v>23</v>
      </c>
      <c r="B30" t="s">
        <v>94</v>
      </c>
      <c r="C30">
        <v>0</v>
      </c>
      <c r="D30">
        <v>100</v>
      </c>
      <c r="E30" t="s">
        <v>92</v>
      </c>
      <c r="F30" t="s">
        <v>29</v>
      </c>
      <c r="G30">
        <v>1</v>
      </c>
      <c r="H30">
        <v>5</v>
      </c>
      <c r="I30" t="s">
        <v>39</v>
      </c>
      <c r="J30" t="s">
        <v>39</v>
      </c>
      <c r="L30" t="e">
        <f t="shared" si="1"/>
        <v>#VALUE!</v>
      </c>
      <c r="M30" t="e">
        <f t="shared" si="2"/>
        <v>#VALUE!</v>
      </c>
      <c r="N30" t="s">
        <v>95</v>
      </c>
    </row>
    <row r="31" spans="1:14" x14ac:dyDescent="0.25">
      <c r="A31">
        <v>24</v>
      </c>
      <c r="B31" t="s">
        <v>96</v>
      </c>
      <c r="C31">
        <v>10</v>
      </c>
      <c r="D31">
        <v>0</v>
      </c>
      <c r="E31" t="s">
        <v>75</v>
      </c>
      <c r="F31" t="s">
        <v>29</v>
      </c>
      <c r="G31">
        <v>1</v>
      </c>
      <c r="H31">
        <v>5</v>
      </c>
      <c r="I31" t="s">
        <v>39</v>
      </c>
      <c r="J31" t="s">
        <v>39</v>
      </c>
      <c r="L31" t="e">
        <f t="shared" si="1"/>
        <v>#VALUE!</v>
      </c>
      <c r="M31" t="e">
        <f t="shared" si="2"/>
        <v>#VALUE!</v>
      </c>
      <c r="N31" t="s">
        <v>97</v>
      </c>
    </row>
    <row r="32" spans="1:14" x14ac:dyDescent="0.25">
      <c r="A32">
        <v>25</v>
      </c>
      <c r="B32" t="s">
        <v>98</v>
      </c>
      <c r="C32">
        <v>10</v>
      </c>
      <c r="D32">
        <v>60</v>
      </c>
      <c r="E32" t="s">
        <v>75</v>
      </c>
      <c r="F32" t="s">
        <v>29</v>
      </c>
      <c r="G32">
        <v>1</v>
      </c>
      <c r="H32">
        <v>5</v>
      </c>
      <c r="I32" t="s">
        <v>39</v>
      </c>
      <c r="J32" t="s">
        <v>39</v>
      </c>
      <c r="L32" t="e">
        <f t="shared" si="1"/>
        <v>#VALUE!</v>
      </c>
      <c r="M32" t="e">
        <f t="shared" si="2"/>
        <v>#VALUE!</v>
      </c>
      <c r="N32" t="s">
        <v>99</v>
      </c>
    </row>
    <row r="33" spans="1:14" x14ac:dyDescent="0.25">
      <c r="A33">
        <v>26</v>
      </c>
      <c r="B33" t="s">
        <v>100</v>
      </c>
      <c r="C33">
        <v>10</v>
      </c>
      <c r="D33">
        <v>70</v>
      </c>
      <c r="E33" t="s">
        <v>75</v>
      </c>
      <c r="F33" t="s">
        <v>29</v>
      </c>
      <c r="G33">
        <v>1</v>
      </c>
      <c r="H33">
        <v>5</v>
      </c>
      <c r="I33" t="s">
        <v>39</v>
      </c>
      <c r="J33" t="s">
        <v>39</v>
      </c>
      <c r="L33" t="e">
        <f t="shared" si="1"/>
        <v>#VALUE!</v>
      </c>
      <c r="M33" t="e">
        <f t="shared" si="2"/>
        <v>#VALUE!</v>
      </c>
      <c r="N33" t="s">
        <v>101</v>
      </c>
    </row>
    <row r="34" spans="1:14" x14ac:dyDescent="0.25">
      <c r="A34">
        <v>27</v>
      </c>
      <c r="B34" t="s">
        <v>102</v>
      </c>
      <c r="C34">
        <v>10</v>
      </c>
      <c r="D34">
        <v>10</v>
      </c>
      <c r="E34" t="s">
        <v>92</v>
      </c>
      <c r="F34" t="s">
        <v>29</v>
      </c>
      <c r="G34">
        <v>1</v>
      </c>
      <c r="H34">
        <v>5</v>
      </c>
      <c r="I34" t="s">
        <v>39</v>
      </c>
      <c r="J34" t="s">
        <v>39</v>
      </c>
      <c r="L34" t="e">
        <f t="shared" si="1"/>
        <v>#VALUE!</v>
      </c>
      <c r="M34" t="e">
        <f t="shared" si="2"/>
        <v>#VALUE!</v>
      </c>
      <c r="N34" t="s">
        <v>103</v>
      </c>
    </row>
    <row r="35" spans="1:14" x14ac:dyDescent="0.25">
      <c r="A35">
        <v>28</v>
      </c>
      <c r="B35" t="s">
        <v>104</v>
      </c>
      <c r="C35">
        <v>10</v>
      </c>
      <c r="D35">
        <v>50</v>
      </c>
      <c r="E35" t="s">
        <v>92</v>
      </c>
      <c r="F35" t="s">
        <v>29</v>
      </c>
      <c r="G35">
        <v>1</v>
      </c>
      <c r="H35">
        <v>5</v>
      </c>
      <c r="I35" t="s">
        <v>39</v>
      </c>
      <c r="J35" t="s">
        <v>39</v>
      </c>
      <c r="L35" t="e">
        <f t="shared" si="1"/>
        <v>#VALUE!</v>
      </c>
      <c r="M35" t="e">
        <f t="shared" si="2"/>
        <v>#VALUE!</v>
      </c>
      <c r="N35" t="s">
        <v>105</v>
      </c>
    </row>
    <row r="36" spans="1:14" x14ac:dyDescent="0.25">
      <c r="A36">
        <v>30</v>
      </c>
      <c r="B36" t="s">
        <v>48</v>
      </c>
      <c r="F36" t="s">
        <v>29</v>
      </c>
      <c r="G36">
        <v>1</v>
      </c>
      <c r="H36">
        <v>20</v>
      </c>
      <c r="I36">
        <v>6.4169999999999998</v>
      </c>
      <c r="J36">
        <v>0.47299999999999998</v>
      </c>
      <c r="L36">
        <f t="shared" si="1"/>
        <v>10.899999999999999</v>
      </c>
      <c r="M36">
        <f t="shared" si="2"/>
        <v>217.99999999999997</v>
      </c>
      <c r="N36" t="s">
        <v>49</v>
      </c>
    </row>
    <row r="37" spans="1:14" x14ac:dyDescent="0.25">
      <c r="A37">
        <v>29</v>
      </c>
      <c r="B37" t="s">
        <v>28</v>
      </c>
      <c r="F37" t="s">
        <v>29</v>
      </c>
      <c r="G37">
        <v>1</v>
      </c>
      <c r="H37">
        <v>0</v>
      </c>
      <c r="I37" t="s">
        <v>39</v>
      </c>
      <c r="J37" t="s">
        <v>39</v>
      </c>
      <c r="L37" t="e">
        <f t="shared" si="1"/>
        <v>#VALUE!</v>
      </c>
      <c r="M37" t="e">
        <f t="shared" si="2"/>
        <v>#VALUE!</v>
      </c>
      <c r="N37" t="s">
        <v>30</v>
      </c>
    </row>
    <row r="39" spans="1:14" x14ac:dyDescent="0.25">
      <c r="A39" t="s">
        <v>106</v>
      </c>
      <c r="B39">
        <v>4.5999999999999999E-2</v>
      </c>
    </row>
    <row r="40" spans="1:14" x14ac:dyDescent="0.25">
      <c r="A40" t="s">
        <v>107</v>
      </c>
      <c r="B40">
        <v>2.8400000000000002E-2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516-9729-4C1E-B3E2-BA1F062C4DF6}">
  <dimension ref="A1:AI55"/>
  <sheetViews>
    <sheetView topLeftCell="T1" zoomScale="70" zoomScaleNormal="70" workbookViewId="0">
      <selection activeCell="AB58" sqref="AB58"/>
    </sheetView>
  </sheetViews>
  <sheetFormatPr defaultRowHeight="15" x14ac:dyDescent="0.25"/>
  <cols>
    <col min="8" max="8" width="9.140625" style="25"/>
    <col min="9" max="10" width="9.140625" style="18"/>
    <col min="11" max="11" width="11.7109375" style="18" customWidth="1"/>
    <col min="12" max="12" width="14.85546875" style="18" customWidth="1"/>
    <col min="14" max="14" width="17.28515625" style="18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24" t="s">
        <v>21</v>
      </c>
      <c r="I1" s="4" t="s">
        <v>22</v>
      </c>
      <c r="J1" s="5" t="s">
        <v>194</v>
      </c>
      <c r="K1" s="4" t="s">
        <v>195</v>
      </c>
      <c r="L1" s="4" t="s">
        <v>196</v>
      </c>
      <c r="M1" s="3" t="s">
        <v>20</v>
      </c>
      <c r="N1" s="4" t="s">
        <v>197</v>
      </c>
      <c r="O1" s="4" t="s">
        <v>198</v>
      </c>
      <c r="P1" s="3" t="s">
        <v>26</v>
      </c>
      <c r="S1" s="6" t="s">
        <v>119</v>
      </c>
      <c r="T1" s="7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7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c_Sulfate_ calib_ppm</v>
      </c>
      <c r="AG1" s="6" t="s">
        <v>199</v>
      </c>
    </row>
    <row r="2" spans="1:35" x14ac:dyDescent="0.25">
      <c r="A2" s="8" t="s">
        <v>27</v>
      </c>
      <c r="B2" s="8" t="s">
        <v>28</v>
      </c>
      <c r="C2" s="8"/>
      <c r="D2" s="8"/>
      <c r="E2" s="8"/>
      <c r="F2" s="8" t="s">
        <v>29</v>
      </c>
      <c r="G2" s="8">
        <v>1</v>
      </c>
      <c r="H2" s="9">
        <v>7.14</v>
      </c>
      <c r="I2" s="10">
        <v>3.1099999999999999E-2</v>
      </c>
      <c r="J2" s="10">
        <v>0</v>
      </c>
      <c r="K2" s="10">
        <f t="shared" ref="K2:K9" si="4">IF(H2="NA", "NA", ((I2-($AH$3))/$AG$3))</f>
        <v>0.32479469385741455</v>
      </c>
      <c r="L2" s="10">
        <v>0.32479999999999998</v>
      </c>
      <c r="M2" s="8">
        <v>0</v>
      </c>
      <c r="N2" s="10"/>
      <c r="O2" s="10"/>
      <c r="P2" s="8" t="s">
        <v>30</v>
      </c>
      <c r="T2" s="11" t="str">
        <f t="shared" si="0"/>
        <v>Cal 1</v>
      </c>
      <c r="U2" s="8" t="str">
        <f t="shared" si="0"/>
        <v>Blank</v>
      </c>
      <c r="V2" s="8" t="str">
        <f t="shared" si="1"/>
        <v>17.11.2023</v>
      </c>
      <c r="W2" s="8">
        <f t="shared" si="1"/>
        <v>1</v>
      </c>
      <c r="X2" s="8">
        <f t="shared" si="2"/>
        <v>0</v>
      </c>
      <c r="Y2" s="10">
        <f t="shared" si="3"/>
        <v>7.14</v>
      </c>
      <c r="Z2" s="10">
        <f t="shared" si="3"/>
        <v>3.1099999999999999E-2</v>
      </c>
      <c r="AA2" s="8">
        <f t="shared" si="3"/>
        <v>0</v>
      </c>
      <c r="AG2" s="3" t="s">
        <v>121</v>
      </c>
      <c r="AH2" s="3" t="s">
        <v>122</v>
      </c>
    </row>
    <row r="3" spans="1:35" x14ac:dyDescent="0.25">
      <c r="A3" s="8" t="s">
        <v>31</v>
      </c>
      <c r="B3" s="8" t="s">
        <v>32</v>
      </c>
      <c r="C3" s="8"/>
      <c r="D3" s="8"/>
      <c r="E3" s="8"/>
      <c r="F3" s="8" t="s">
        <v>29</v>
      </c>
      <c r="G3" s="8">
        <v>1</v>
      </c>
      <c r="H3" s="9">
        <v>7.18</v>
      </c>
      <c r="I3" s="10">
        <v>0.13930000000000001</v>
      </c>
      <c r="J3" s="10">
        <v>1</v>
      </c>
      <c r="K3" s="10">
        <f t="shared" si="4"/>
        <v>1.1101265409980965</v>
      </c>
      <c r="L3" s="10">
        <v>1.1100000000000001</v>
      </c>
      <c r="M3" s="8">
        <v>100</v>
      </c>
      <c r="N3" s="10"/>
      <c r="O3" s="10"/>
      <c r="P3" s="8" t="s">
        <v>33</v>
      </c>
      <c r="T3" s="12" t="str">
        <f t="shared" si="0"/>
        <v>Cal 2</v>
      </c>
      <c r="U3" s="8" t="str">
        <f t="shared" si="0"/>
        <v>x 100</v>
      </c>
      <c r="V3" s="8" t="str">
        <f t="shared" si="1"/>
        <v>17.11.2023</v>
      </c>
      <c r="W3" s="8">
        <f t="shared" si="1"/>
        <v>1</v>
      </c>
      <c r="X3" s="8">
        <f t="shared" si="2"/>
        <v>100</v>
      </c>
      <c r="Y3" s="10">
        <f t="shared" si="3"/>
        <v>7.18</v>
      </c>
      <c r="Z3" s="10">
        <f t="shared" si="3"/>
        <v>0.13930000000000001</v>
      </c>
      <c r="AA3" s="8">
        <f t="shared" si="3"/>
        <v>1</v>
      </c>
      <c r="AF3" t="s">
        <v>123</v>
      </c>
      <c r="AG3" s="10" cm="1">
        <f t="array" ref="AG3:AH7">LINEST(Z2:Z7,AA2:AA7, TRUE, TRUE)</f>
        <v>0.13777615207373273</v>
      </c>
      <c r="AH3" s="10">
        <v>-1.3648963133640613E-2</v>
      </c>
      <c r="AI3" s="13" t="s">
        <v>124</v>
      </c>
    </row>
    <row r="4" spans="1:35" x14ac:dyDescent="0.25">
      <c r="A4" s="8" t="s">
        <v>34</v>
      </c>
      <c r="B4" s="8" t="s">
        <v>35</v>
      </c>
      <c r="C4" s="8"/>
      <c r="D4" s="8"/>
      <c r="E4" s="8"/>
      <c r="F4" s="8" t="s">
        <v>29</v>
      </c>
      <c r="G4" s="8">
        <v>1</v>
      </c>
      <c r="H4" s="9">
        <v>7.1970000000000001</v>
      </c>
      <c r="I4" s="10">
        <v>0.25469999999999998</v>
      </c>
      <c r="J4" s="10">
        <v>2</v>
      </c>
      <c r="K4" s="10">
        <f t="shared" si="4"/>
        <v>1.9477170692793779</v>
      </c>
      <c r="L4" s="10">
        <v>1.948</v>
      </c>
      <c r="M4" s="8">
        <v>50</v>
      </c>
      <c r="N4" s="10"/>
      <c r="O4" s="10"/>
      <c r="P4" s="8" t="s">
        <v>36</v>
      </c>
      <c r="T4" s="12" t="str">
        <f t="shared" si="0"/>
        <v>Cal 3</v>
      </c>
      <c r="U4" s="8" t="str">
        <f t="shared" si="0"/>
        <v>x 50</v>
      </c>
      <c r="V4" s="8" t="str">
        <f t="shared" si="1"/>
        <v>17.11.2023</v>
      </c>
      <c r="W4" s="8">
        <f t="shared" si="1"/>
        <v>1</v>
      </c>
      <c r="X4" s="8">
        <f t="shared" si="2"/>
        <v>50</v>
      </c>
      <c r="Y4" s="10">
        <f t="shared" si="3"/>
        <v>7.1970000000000001</v>
      </c>
      <c r="Z4" s="10">
        <f t="shared" si="3"/>
        <v>0.25469999999999998</v>
      </c>
      <c r="AA4" s="8">
        <f t="shared" si="3"/>
        <v>2</v>
      </c>
      <c r="AF4" t="s">
        <v>125</v>
      </c>
      <c r="AG4" s="10">
        <v>2.3831848020390619E-3</v>
      </c>
      <c r="AH4" s="10">
        <v>2.2398556480106337E-2</v>
      </c>
      <c r="AI4" t="s">
        <v>126</v>
      </c>
    </row>
    <row r="5" spans="1:35" x14ac:dyDescent="0.25">
      <c r="A5" s="8" t="s">
        <v>37</v>
      </c>
      <c r="B5" s="8" t="s">
        <v>38</v>
      </c>
      <c r="C5" s="8"/>
      <c r="D5" s="8"/>
      <c r="E5" s="8"/>
      <c r="F5" s="8" t="s">
        <v>29</v>
      </c>
      <c r="G5" s="8">
        <v>1</v>
      </c>
      <c r="H5" s="9">
        <v>7.1929999999999996</v>
      </c>
      <c r="I5" s="10">
        <v>0.62860000000000005</v>
      </c>
      <c r="J5" s="10">
        <v>5</v>
      </c>
      <c r="K5" s="10">
        <f t="shared" si="4"/>
        <v>4.661539413511365</v>
      </c>
      <c r="L5" s="10">
        <v>4.6612999999999998</v>
      </c>
      <c r="M5" s="8">
        <v>20</v>
      </c>
      <c r="N5" s="10"/>
      <c r="O5" s="10"/>
      <c r="P5" s="8" t="s">
        <v>40</v>
      </c>
      <c r="T5" s="12" t="str">
        <f t="shared" si="0"/>
        <v>Cal 4</v>
      </c>
      <c r="U5" s="8" t="str">
        <f t="shared" si="0"/>
        <v>x 20</v>
      </c>
      <c r="V5" s="8" t="str">
        <f t="shared" si="1"/>
        <v>17.11.2023</v>
      </c>
      <c r="W5" s="8">
        <f t="shared" si="1"/>
        <v>1</v>
      </c>
      <c r="X5" s="8">
        <f t="shared" si="2"/>
        <v>20</v>
      </c>
      <c r="Y5" s="10">
        <f t="shared" si="3"/>
        <v>7.1929999999999996</v>
      </c>
      <c r="Z5" s="10">
        <f t="shared" si="3"/>
        <v>0.62860000000000005</v>
      </c>
      <c r="AA5" s="8">
        <f t="shared" si="3"/>
        <v>5</v>
      </c>
      <c r="AF5" t="s">
        <v>127</v>
      </c>
      <c r="AG5" s="10">
        <v>0.99880461481144989</v>
      </c>
      <c r="AH5" s="10">
        <v>4.0537499458244537E-2</v>
      </c>
      <c r="AI5" t="s">
        <v>128</v>
      </c>
    </row>
    <row r="6" spans="1:35" x14ac:dyDescent="0.25">
      <c r="A6" s="8" t="s">
        <v>41</v>
      </c>
      <c r="B6" s="8" t="s">
        <v>42</v>
      </c>
      <c r="C6" s="8"/>
      <c r="D6" s="8"/>
      <c r="E6" s="8"/>
      <c r="F6" s="8" t="s">
        <v>29</v>
      </c>
      <c r="G6" s="8">
        <v>1</v>
      </c>
      <c r="H6" s="9">
        <v>7.2030000000000003</v>
      </c>
      <c r="I6" s="10">
        <v>1.3287</v>
      </c>
      <c r="J6" s="10">
        <v>10</v>
      </c>
      <c r="K6" s="10">
        <f t="shared" si="4"/>
        <v>9.7429703394188643</v>
      </c>
      <c r="L6" s="10">
        <v>9.7429000000000006</v>
      </c>
      <c r="M6" s="8">
        <v>10</v>
      </c>
      <c r="N6" s="10"/>
      <c r="O6" s="10"/>
      <c r="P6" s="8" t="s">
        <v>43</v>
      </c>
      <c r="T6" s="12" t="str">
        <f t="shared" si="0"/>
        <v>Cal 5</v>
      </c>
      <c r="U6" s="8" t="str">
        <f t="shared" si="0"/>
        <v>x 10</v>
      </c>
      <c r="V6" s="8" t="str">
        <f t="shared" si="1"/>
        <v>17.11.2023</v>
      </c>
      <c r="W6" s="8">
        <f t="shared" si="1"/>
        <v>1</v>
      </c>
      <c r="X6" s="8">
        <f t="shared" si="2"/>
        <v>10</v>
      </c>
      <c r="Y6" s="10">
        <f t="shared" si="3"/>
        <v>7.2030000000000003</v>
      </c>
      <c r="Z6" s="10">
        <f t="shared" si="3"/>
        <v>1.3287</v>
      </c>
      <c r="AA6" s="8">
        <f t="shared" si="3"/>
        <v>10</v>
      </c>
      <c r="AF6" t="s">
        <v>129</v>
      </c>
      <c r="AG6" s="10">
        <v>3342.2017417595907</v>
      </c>
      <c r="AH6" s="10">
        <v>4</v>
      </c>
      <c r="AI6" t="s">
        <v>130</v>
      </c>
    </row>
    <row r="7" spans="1:35" x14ac:dyDescent="0.25">
      <c r="A7" s="8" t="s">
        <v>44</v>
      </c>
      <c r="B7" s="8" t="s">
        <v>45</v>
      </c>
      <c r="C7" s="8"/>
      <c r="D7" s="8"/>
      <c r="E7" s="8"/>
      <c r="F7" s="8" t="s">
        <v>29</v>
      </c>
      <c r="G7" s="8">
        <v>1</v>
      </c>
      <c r="H7" s="9">
        <v>7.2169999999999996</v>
      </c>
      <c r="I7" s="10">
        <v>2.7711999999999999</v>
      </c>
      <c r="J7" s="10">
        <v>20</v>
      </c>
      <c r="K7" s="10">
        <f t="shared" si="4"/>
        <v>20.212851942934883</v>
      </c>
      <c r="L7" s="10">
        <v>20.212900000000001</v>
      </c>
      <c r="M7" s="8">
        <v>5</v>
      </c>
      <c r="N7" s="10"/>
      <c r="O7" s="10"/>
      <c r="P7" s="8" t="s">
        <v>46</v>
      </c>
      <c r="T7" s="12" t="str">
        <f t="shared" si="0"/>
        <v>Cal 6</v>
      </c>
      <c r="U7" s="8" t="str">
        <f t="shared" si="0"/>
        <v>x 5</v>
      </c>
      <c r="V7" s="8" t="str">
        <f t="shared" si="1"/>
        <v>17.11.2023</v>
      </c>
      <c r="W7" s="8">
        <f t="shared" si="1"/>
        <v>1</v>
      </c>
      <c r="X7" s="8">
        <f t="shared" si="2"/>
        <v>5</v>
      </c>
      <c r="Y7" s="10">
        <f t="shared" si="3"/>
        <v>7.2169999999999996</v>
      </c>
      <c r="Z7" s="10">
        <f t="shared" si="3"/>
        <v>2.7711999999999999</v>
      </c>
      <c r="AA7" s="8">
        <f t="shared" si="3"/>
        <v>20</v>
      </c>
      <c r="AF7" t="s">
        <v>131</v>
      </c>
      <c r="AG7" s="10">
        <v>5.4922028978840238</v>
      </c>
      <c r="AH7" s="10">
        <v>6.5731554493087038E-3</v>
      </c>
      <c r="AI7" t="s">
        <v>132</v>
      </c>
    </row>
    <row r="8" spans="1:35" x14ac:dyDescent="0.25">
      <c r="A8" s="8">
        <v>1</v>
      </c>
      <c r="B8" s="8" t="s">
        <v>47</v>
      </c>
      <c r="C8" s="8"/>
      <c r="D8" s="8"/>
      <c r="E8" s="8"/>
      <c r="F8" s="8" t="s">
        <v>29</v>
      </c>
      <c r="G8" s="8">
        <v>1</v>
      </c>
      <c r="H8" s="9" t="s">
        <v>152</v>
      </c>
      <c r="I8" s="10" t="s">
        <v>152</v>
      </c>
      <c r="J8" s="10"/>
      <c r="K8" s="10" t="str">
        <f t="shared" si="4"/>
        <v>NA</v>
      </c>
      <c r="L8" s="10" t="s">
        <v>152</v>
      </c>
      <c r="M8" s="8">
        <v>0</v>
      </c>
      <c r="N8" s="10"/>
      <c r="O8" s="10"/>
      <c r="P8" s="8" t="s">
        <v>30</v>
      </c>
      <c r="S8" s="6"/>
    </row>
    <row r="9" spans="1:35" x14ac:dyDescent="0.25">
      <c r="A9" s="8">
        <v>2</v>
      </c>
      <c r="B9" s="8" t="s">
        <v>48</v>
      </c>
      <c r="C9" s="8"/>
      <c r="D9" s="8"/>
      <c r="E9" s="8"/>
      <c r="F9" s="8" t="s">
        <v>29</v>
      </c>
      <c r="G9" s="8">
        <v>1</v>
      </c>
      <c r="H9" s="9">
        <v>7.2</v>
      </c>
      <c r="I9" s="10">
        <v>0.69979999999999998</v>
      </c>
      <c r="J9" s="10"/>
      <c r="K9" s="10">
        <f t="shared" si="4"/>
        <v>5.1783197047906295</v>
      </c>
      <c r="L9" s="10">
        <v>5.1780999999999997</v>
      </c>
      <c r="M9" s="8">
        <v>20</v>
      </c>
      <c r="N9" s="10"/>
      <c r="O9" s="10"/>
      <c r="P9" s="8" t="s">
        <v>49</v>
      </c>
    </row>
    <row r="10" spans="1:35" x14ac:dyDescent="0.25">
      <c r="A10" s="8">
        <v>3</v>
      </c>
      <c r="B10" s="8" t="s">
        <v>176</v>
      </c>
      <c r="C10" s="8">
        <v>20</v>
      </c>
      <c r="D10" s="8">
        <v>20</v>
      </c>
      <c r="E10" s="8" t="s">
        <v>75</v>
      </c>
      <c r="F10" s="8" t="s">
        <v>29</v>
      </c>
      <c r="G10" s="8">
        <v>1</v>
      </c>
      <c r="H10" s="9">
        <f>IFERROR(AVERAGE(AA36:AA38), "NA")</f>
        <v>7.1829999999999998</v>
      </c>
      <c r="I10" s="10">
        <f>IFERROR(Y47, "NA")</f>
        <v>0.11203333333333333</v>
      </c>
      <c r="J10" s="10"/>
      <c r="K10" s="10">
        <f>IFERROR(Y48, "NA")</f>
        <v>0.91222098001193563</v>
      </c>
      <c r="L10" s="10">
        <f>IFERROR(Y49, "NA")</f>
        <v>0.91223333333333334</v>
      </c>
      <c r="M10" s="8">
        <v>5</v>
      </c>
      <c r="N10" s="10">
        <f t="shared" ref="N10:N15" si="5">IF(H10="NA", "NA",M10*K10)</f>
        <v>4.5611049000596786</v>
      </c>
      <c r="O10" s="10">
        <f t="shared" ref="O10:O15" si="6">IF(H10="NA", "NA",M10*L10)</f>
        <v>4.5611666666666668</v>
      </c>
      <c r="P10" s="8" t="s">
        <v>179</v>
      </c>
    </row>
    <row r="11" spans="1:35" x14ac:dyDescent="0.25">
      <c r="A11" s="8">
        <v>6</v>
      </c>
      <c r="B11" s="8" t="s">
        <v>177</v>
      </c>
      <c r="C11" s="8">
        <v>0</v>
      </c>
      <c r="D11" s="8">
        <v>10</v>
      </c>
      <c r="E11" s="8" t="s">
        <v>92</v>
      </c>
      <c r="F11" s="8" t="s">
        <v>29</v>
      </c>
      <c r="G11" s="8">
        <v>1</v>
      </c>
      <c r="H11" s="9">
        <f>IFERROR(AVERAGE(AA39:AA41), "NA")</f>
        <v>7.1879999999999997</v>
      </c>
      <c r="I11" s="10">
        <f>IFERROR(Y50, "NA")</f>
        <v>0.2863</v>
      </c>
      <c r="J11" s="10"/>
      <c r="K11" s="10">
        <f>IFERROR(Y51, "NA")</f>
        <v>2.1770746142853441</v>
      </c>
      <c r="L11" s="10">
        <f>IFERROR(Y52, "NA")</f>
        <v>2.1773000000000002</v>
      </c>
      <c r="M11" s="8">
        <v>5</v>
      </c>
      <c r="N11" s="10">
        <f t="shared" si="5"/>
        <v>10.88537307142672</v>
      </c>
      <c r="O11" s="10">
        <f t="shared" si="6"/>
        <v>10.886500000000002</v>
      </c>
      <c r="P11" s="8" t="s">
        <v>180</v>
      </c>
      <c r="S11" s="6" t="s">
        <v>133</v>
      </c>
      <c r="T11" s="14"/>
      <c r="U11" s="15" t="s">
        <v>134</v>
      </c>
      <c r="V11" s="16" t="s">
        <v>135</v>
      </c>
    </row>
    <row r="12" spans="1:35" x14ac:dyDescent="0.25">
      <c r="A12" s="8">
        <v>9</v>
      </c>
      <c r="B12" s="8" t="s">
        <v>178</v>
      </c>
      <c r="C12" s="8">
        <v>10</v>
      </c>
      <c r="D12" s="8">
        <v>90</v>
      </c>
      <c r="E12" s="8" t="s">
        <v>75</v>
      </c>
      <c r="F12" s="8" t="s">
        <v>29</v>
      </c>
      <c r="G12" s="8">
        <v>1</v>
      </c>
      <c r="H12" s="9">
        <f>IFERROR(AVERAGE(AA42:AA44), "NA")</f>
        <v>7.18</v>
      </c>
      <c r="I12" s="10">
        <f>IFERROR(Y53, "NA")</f>
        <v>2.2666666666666668E-2</v>
      </c>
      <c r="J12" s="10"/>
      <c r="K12" s="10">
        <f>IFERROR(Y54, "NA")</f>
        <v>0.26358429418810075</v>
      </c>
      <c r="L12" s="10">
        <f>IFERROR(Y55, "NA")</f>
        <v>0.26376666666666665</v>
      </c>
      <c r="M12" s="8">
        <v>5</v>
      </c>
      <c r="N12" s="10">
        <f t="shared" si="5"/>
        <v>1.3179214709405038</v>
      </c>
      <c r="O12" s="10">
        <f t="shared" si="6"/>
        <v>1.3188333333333333</v>
      </c>
      <c r="P12" s="8" t="s">
        <v>181</v>
      </c>
      <c r="T12" s="17" t="s">
        <v>136</v>
      </c>
      <c r="U12" s="10" t="e">
        <f xml:space="preserve"> AVERAGE(I8,I16,I31)+3*STDEV(I8,I16,I31)</f>
        <v>#DIV/0!</v>
      </c>
      <c r="V12" s="10" t="e">
        <f xml:space="preserve"> AVERAGE((I8,I16,I31))+10*STDEV(I8,I16,I31)</f>
        <v>#DIV/0!</v>
      </c>
    </row>
    <row r="13" spans="1:35" x14ac:dyDescent="0.25">
      <c r="A13" s="8">
        <v>12</v>
      </c>
      <c r="B13" s="8" t="s">
        <v>74</v>
      </c>
      <c r="C13" s="8">
        <v>0</v>
      </c>
      <c r="D13" s="8">
        <v>10</v>
      </c>
      <c r="E13" s="8" t="s">
        <v>75</v>
      </c>
      <c r="F13" s="8" t="s">
        <v>29</v>
      </c>
      <c r="G13" s="8">
        <v>1</v>
      </c>
      <c r="H13" s="9">
        <v>7.1870000000000003</v>
      </c>
      <c r="I13" s="10">
        <v>0.22120000000000001</v>
      </c>
      <c r="J13" s="10"/>
      <c r="K13" s="10">
        <f t="shared" ref="K13:K18" si="7">IF(H13="NA", "NA", ((I13-($AH$3))/$AG$3))</f>
        <v>1.7045690389724202</v>
      </c>
      <c r="L13" s="10">
        <v>1.7044999999999999</v>
      </c>
      <c r="M13" s="8">
        <v>5</v>
      </c>
      <c r="N13" s="10">
        <f t="shared" si="5"/>
        <v>8.5228451948621</v>
      </c>
      <c r="O13" s="10">
        <f t="shared" si="6"/>
        <v>8.5224999999999991</v>
      </c>
      <c r="P13" s="8" t="s">
        <v>76</v>
      </c>
      <c r="T13" s="17" t="s">
        <v>137</v>
      </c>
      <c r="U13" s="10" t="e">
        <f xml:space="preserve"> AVERAGE(K8,K16,K31)+3*STDEV(K8,K16,K31)</f>
        <v>#DIV/0!</v>
      </c>
      <c r="V13" s="10" t="e">
        <f xml:space="preserve"> AVERAGE(K8,K16,K31)+10*STDEV(K8,K16,K31)</f>
        <v>#DIV/0!</v>
      </c>
    </row>
    <row r="14" spans="1:35" x14ac:dyDescent="0.25">
      <c r="A14" s="8">
        <v>13</v>
      </c>
      <c r="B14" s="8" t="s">
        <v>77</v>
      </c>
      <c r="C14" s="8">
        <v>0</v>
      </c>
      <c r="D14" s="8">
        <v>20</v>
      </c>
      <c r="E14" s="8" t="s">
        <v>75</v>
      </c>
      <c r="F14" s="8" t="s">
        <v>29</v>
      </c>
      <c r="G14" s="8">
        <v>1</v>
      </c>
      <c r="H14" s="9">
        <v>7.1829999999999998</v>
      </c>
      <c r="I14" s="10">
        <v>0.15210000000000001</v>
      </c>
      <c r="J14" s="10"/>
      <c r="K14" s="10">
        <f t="shared" si="7"/>
        <v>1.2030308630258295</v>
      </c>
      <c r="L14" s="10">
        <v>1.2032</v>
      </c>
      <c r="M14" s="8">
        <v>5</v>
      </c>
      <c r="N14" s="10">
        <f t="shared" si="5"/>
        <v>6.0151543151291476</v>
      </c>
      <c r="O14" s="10">
        <f t="shared" si="6"/>
        <v>6.016</v>
      </c>
      <c r="P14" s="8" t="s">
        <v>78</v>
      </c>
      <c r="T14" s="17" t="s">
        <v>138</v>
      </c>
      <c r="U14" s="10" t="e">
        <f xml:space="preserve"> AVERAGE(L8,L16,L31)+3*STDEV(L8,L16,L31)</f>
        <v>#DIV/0!</v>
      </c>
      <c r="V14" s="10" t="e">
        <f xml:space="preserve"> AVERAGE(L8,L16,L31)+10*STDEV(L8,L16,L31)</f>
        <v>#DIV/0!</v>
      </c>
    </row>
    <row r="15" spans="1:35" x14ac:dyDescent="0.25">
      <c r="A15" s="8">
        <v>14</v>
      </c>
      <c r="B15" s="8" t="s">
        <v>79</v>
      </c>
      <c r="C15" s="8">
        <v>0</v>
      </c>
      <c r="D15" s="8">
        <v>30</v>
      </c>
      <c r="E15" s="8" t="s">
        <v>75</v>
      </c>
      <c r="F15" s="8" t="s">
        <v>29</v>
      </c>
      <c r="G15" s="8">
        <v>1</v>
      </c>
      <c r="H15" s="9">
        <v>7.18</v>
      </c>
      <c r="I15" s="10">
        <v>0.1116</v>
      </c>
      <c r="J15" s="10"/>
      <c r="K15" s="10">
        <f t="shared" si="7"/>
        <v>0.90907578160995517</v>
      </c>
      <c r="L15" s="10">
        <v>0.90890000000000004</v>
      </c>
      <c r="M15" s="8">
        <v>5</v>
      </c>
      <c r="N15" s="10">
        <f t="shared" si="5"/>
        <v>4.5453789080497762</v>
      </c>
      <c r="O15" s="10">
        <f t="shared" si="6"/>
        <v>4.5445000000000002</v>
      </c>
      <c r="P15" s="8" t="s">
        <v>80</v>
      </c>
    </row>
    <row r="16" spans="1:35" x14ac:dyDescent="0.25">
      <c r="A16" s="8">
        <v>15</v>
      </c>
      <c r="B16" s="8" t="s">
        <v>28</v>
      </c>
      <c r="C16" s="8"/>
      <c r="D16" s="8"/>
      <c r="E16" s="8"/>
      <c r="F16" s="8" t="s">
        <v>29</v>
      </c>
      <c r="G16" s="8">
        <v>1</v>
      </c>
      <c r="H16" s="9">
        <v>7.157</v>
      </c>
      <c r="I16" s="10">
        <v>1.2999999999999999E-2</v>
      </c>
      <c r="J16" s="10"/>
      <c r="K16" s="10">
        <f t="shared" si="7"/>
        <v>0.19342217599007314</v>
      </c>
      <c r="L16" s="10">
        <v>0.19350000000000001</v>
      </c>
      <c r="M16" s="8">
        <v>0</v>
      </c>
      <c r="N16" s="10"/>
      <c r="O16" s="10"/>
      <c r="P16" s="8" t="s">
        <v>30</v>
      </c>
      <c r="S16" s="6" t="s">
        <v>139</v>
      </c>
      <c r="T16" s="7"/>
      <c r="U16" s="3" t="s">
        <v>140</v>
      </c>
      <c r="V16" s="3" t="s">
        <v>141</v>
      </c>
      <c r="W16" s="3" t="s">
        <v>142</v>
      </c>
      <c r="X16" s="3" t="s">
        <v>143</v>
      </c>
      <c r="Y16" s="7" t="s">
        <v>144</v>
      </c>
      <c r="Z16" s="3" t="s">
        <v>145</v>
      </c>
      <c r="AA16" s="3" t="s">
        <v>146</v>
      </c>
      <c r="AB16" s="3" t="s">
        <v>147</v>
      </c>
      <c r="AC16" s="3" t="s">
        <v>148</v>
      </c>
      <c r="AD16" s="3" t="s">
        <v>149</v>
      </c>
    </row>
    <row r="17" spans="1:30" x14ac:dyDescent="0.25">
      <c r="A17" s="23">
        <v>16</v>
      </c>
      <c r="B17" s="8" t="s">
        <v>48</v>
      </c>
      <c r="C17" s="8"/>
      <c r="D17" s="8"/>
      <c r="E17" s="8"/>
      <c r="F17" s="8" t="s">
        <v>29</v>
      </c>
      <c r="G17" s="8">
        <v>1</v>
      </c>
      <c r="H17" s="9">
        <v>7.1929999999999996</v>
      </c>
      <c r="I17" s="10">
        <v>0.7157</v>
      </c>
      <c r="J17" s="10"/>
      <c r="K17" s="10">
        <f t="shared" si="7"/>
        <v>5.293724292309455</v>
      </c>
      <c r="L17" s="10">
        <v>5.2942</v>
      </c>
      <c r="M17" s="8">
        <v>20</v>
      </c>
      <c r="N17" s="10"/>
      <c r="O17" s="10"/>
      <c r="P17" s="8" t="s">
        <v>49</v>
      </c>
      <c r="T17" s="17" t="s">
        <v>150</v>
      </c>
      <c r="U17" s="9">
        <f>AVERAGE(H2:H31)</f>
        <v>7.1824285714285727</v>
      </c>
      <c r="V17" s="9">
        <f>MEDIAN(H2:H31)</f>
        <v>7.18</v>
      </c>
      <c r="W17" s="9">
        <f>STDEV(H2:H31)</f>
        <v>1.4198144300833911E-2</v>
      </c>
      <c r="X17" s="9">
        <f>W17/U17*100</f>
        <v>0.19767887922079153</v>
      </c>
      <c r="Y17" s="9">
        <f>VAR(H2:H31)</f>
        <v>2.0158730158730247E-4</v>
      </c>
      <c r="Z17" s="9">
        <f>MAX(H2:H31)</f>
        <v>7.2169999999999996</v>
      </c>
      <c r="AA17" s="9">
        <f>MIN(H2:H31)</f>
        <v>7.14</v>
      </c>
      <c r="AB17" s="9">
        <f>Z17-AA17</f>
        <v>7.6999999999999957E-2</v>
      </c>
      <c r="AC17" s="9">
        <f>COUNT(H2:H31)</f>
        <v>28</v>
      </c>
      <c r="AD17" s="9">
        <f>W17/SQRT(AC17)</f>
        <v>2.683197064186826E-3</v>
      </c>
    </row>
    <row r="18" spans="1:30" x14ac:dyDescent="0.25">
      <c r="A18" s="8">
        <v>17</v>
      </c>
      <c r="B18" s="8" t="s">
        <v>81</v>
      </c>
      <c r="C18" s="8">
        <v>0</v>
      </c>
      <c r="D18" s="8">
        <v>60</v>
      </c>
      <c r="E18" s="8" t="s">
        <v>75</v>
      </c>
      <c r="F18" s="8" t="s">
        <v>29</v>
      </c>
      <c r="G18" s="8">
        <v>1</v>
      </c>
      <c r="H18" s="9">
        <v>7.18</v>
      </c>
      <c r="I18" s="10">
        <v>0.15</v>
      </c>
      <c r="J18" s="10"/>
      <c r="K18" s="10">
        <f t="shared" si="7"/>
        <v>1.1877887476931546</v>
      </c>
      <c r="L18" s="10">
        <v>1.1882999999999999</v>
      </c>
      <c r="M18" s="8">
        <v>5</v>
      </c>
      <c r="N18" s="10">
        <f t="shared" ref="N18:N29" si="8">IF(H18="NA", "NA",M18*K18)</f>
        <v>5.9389437384657731</v>
      </c>
      <c r="O18" s="10">
        <f t="shared" ref="O18:O29" si="9">IF(H18="NA", "NA",M18*L18)</f>
        <v>5.9414999999999996</v>
      </c>
      <c r="P18" s="8" t="s">
        <v>82</v>
      </c>
      <c r="T18" s="17" t="s">
        <v>151</v>
      </c>
      <c r="U18" s="10">
        <f>AVERAGE(I9,I17,I30)</f>
        <v>0.71526666666666661</v>
      </c>
      <c r="V18" s="10">
        <f>MEDIAN(I9,I17,I30)</f>
        <v>0.7157</v>
      </c>
      <c r="W18" s="10">
        <f>STDEV(I9,I17,I30)</f>
        <v>1.5254616787495283E-2</v>
      </c>
      <c r="X18" s="10">
        <f>W18/U18*100</f>
        <v>2.132717418328169</v>
      </c>
      <c r="Y18" s="10">
        <f>VAR(I9,I17,I30)</f>
        <v>2.327033333333329E-4</v>
      </c>
      <c r="Z18" s="10">
        <f>MAX(I9,I17,I30)</f>
        <v>0.73029999999999995</v>
      </c>
      <c r="AA18" s="10">
        <f>MIN(I9,I17,I30)</f>
        <v>0.69979999999999998</v>
      </c>
      <c r="AB18" s="10">
        <f>Z18-AA18</f>
        <v>3.0499999999999972E-2</v>
      </c>
      <c r="AC18" s="10">
        <f>COUNT(I9,I17,I30)</f>
        <v>3</v>
      </c>
      <c r="AD18" s="10">
        <f>W18/SQRT(AC18)</f>
        <v>8.807257108644986E-3</v>
      </c>
    </row>
    <row r="19" spans="1:30" x14ac:dyDescent="0.25">
      <c r="A19" s="8">
        <v>18</v>
      </c>
      <c r="B19" s="8" t="s">
        <v>83</v>
      </c>
      <c r="C19" s="8">
        <v>0</v>
      </c>
      <c r="D19" s="8">
        <v>70</v>
      </c>
      <c r="E19" s="8" t="s">
        <v>75</v>
      </c>
      <c r="F19" s="8" t="s">
        <v>29</v>
      </c>
      <c r="G19" s="8">
        <v>1</v>
      </c>
      <c r="H19" s="9">
        <v>7.18</v>
      </c>
      <c r="I19" s="10">
        <v>0.13059999999999999</v>
      </c>
      <c r="J19" s="10"/>
      <c r="K19" s="10">
        <f t="shared" ref="K19:K31" si="10">IF(H19="NA", "NA", ((I19-($AH$3))/$AG$3))</f>
        <v>1.0469806346198713</v>
      </c>
      <c r="L19" s="10">
        <v>1.0470999999999999</v>
      </c>
      <c r="M19" s="8">
        <v>5</v>
      </c>
      <c r="N19" s="10">
        <f t="shared" si="8"/>
        <v>5.2349031730993563</v>
      </c>
      <c r="O19" s="10">
        <f t="shared" si="9"/>
        <v>5.2355</v>
      </c>
      <c r="P19" s="8" t="s">
        <v>84</v>
      </c>
      <c r="T19" s="17" t="s">
        <v>153</v>
      </c>
      <c r="U19" s="10">
        <f>AVERAGE(K9,K17,K30)</f>
        <v>5.2905790939074739</v>
      </c>
      <c r="V19" s="10">
        <f>MEDIAN(K9,K17,K30)</f>
        <v>5.293724292309455</v>
      </c>
      <c r="W19" s="10">
        <f>STDEV(K9,K17,K30)</f>
        <v>0.11072029925274428</v>
      </c>
      <c r="X19" s="10">
        <f>W19/U19*100</f>
        <v>2.0927822321047533</v>
      </c>
      <c r="Y19" s="10">
        <f>VAR(K9,K17,K30)</f>
        <v>1.2258984666617245E-2</v>
      </c>
      <c r="Z19" s="10">
        <f>MAX(K9,K17,K30)</f>
        <v>5.3996932846223373</v>
      </c>
      <c r="AA19" s="10">
        <f>MIN(K9,K17,K30)</f>
        <v>5.1783197047906295</v>
      </c>
      <c r="AB19" s="10">
        <f>Z19-AA19</f>
        <v>0.2213735798317078</v>
      </c>
      <c r="AC19" s="10">
        <f>COUNT(K9,K17,K30)</f>
        <v>3</v>
      </c>
      <c r="AD19" s="10">
        <f>W19/SQRT(AC19)</f>
        <v>6.3924394578327839E-2</v>
      </c>
    </row>
    <row r="20" spans="1:30" x14ac:dyDescent="0.25">
      <c r="A20" s="8">
        <v>19</v>
      </c>
      <c r="B20" s="8" t="s">
        <v>85</v>
      </c>
      <c r="C20" s="8">
        <v>0</v>
      </c>
      <c r="D20" s="8">
        <v>80</v>
      </c>
      <c r="E20" s="8" t="s">
        <v>75</v>
      </c>
      <c r="F20" s="8" t="s">
        <v>29</v>
      </c>
      <c r="G20" s="8">
        <v>1</v>
      </c>
      <c r="H20" s="9">
        <v>7.18</v>
      </c>
      <c r="I20" s="10">
        <v>0.1022</v>
      </c>
      <c r="J20" s="10"/>
      <c r="K20" s="10">
        <f t="shared" si="10"/>
        <v>0.8408491701208386</v>
      </c>
      <c r="L20" s="10">
        <v>0.84119999999999995</v>
      </c>
      <c r="M20" s="8">
        <v>5</v>
      </c>
      <c r="N20" s="10">
        <f t="shared" si="8"/>
        <v>4.2042458506041926</v>
      </c>
      <c r="O20" s="10">
        <f t="shared" si="9"/>
        <v>4.2059999999999995</v>
      </c>
      <c r="P20" s="8" t="s">
        <v>86</v>
      </c>
      <c r="T20" s="17" t="s">
        <v>154</v>
      </c>
      <c r="U20" s="10">
        <f>AVERAGE(L9,L17,L30)</f>
        <v>5.2908333333333335</v>
      </c>
      <c r="V20" s="10">
        <f>MEDIAN(L9,L17,L30)</f>
        <v>5.2942</v>
      </c>
      <c r="W20" s="10">
        <f>STDEV(L9,L17,L30)</f>
        <v>0.11108826820746355</v>
      </c>
      <c r="X20" s="10">
        <f>W20/U20*100</f>
        <v>2.0996365073075487</v>
      </c>
      <c r="Y20" s="10">
        <f>VAR(L9,L17,L30)</f>
        <v>1.2340603333333356E-2</v>
      </c>
      <c r="Z20" s="10">
        <f>MAX(L9,L17,L30)</f>
        <v>5.4001999999999999</v>
      </c>
      <c r="AA20" s="10">
        <f>MIN(L9,L17,L30)</f>
        <v>5.1780999999999997</v>
      </c>
      <c r="AB20" s="10">
        <f>Z20-AA20</f>
        <v>0.22210000000000019</v>
      </c>
      <c r="AC20" s="10">
        <f>COUNT(L9,L17,L30)</f>
        <v>3</v>
      </c>
      <c r="AD20" s="10">
        <f>W20/SQRT(AC20)</f>
        <v>6.4136841553388432E-2</v>
      </c>
    </row>
    <row r="21" spans="1:30" x14ac:dyDescent="0.25">
      <c r="A21" s="8">
        <v>20</v>
      </c>
      <c r="B21" s="8" t="s">
        <v>87</v>
      </c>
      <c r="C21" s="8">
        <v>0</v>
      </c>
      <c r="D21" s="8">
        <v>90</v>
      </c>
      <c r="E21" s="8" t="s">
        <v>75</v>
      </c>
      <c r="F21" s="8" t="s">
        <v>29</v>
      </c>
      <c r="G21" s="8">
        <v>1</v>
      </c>
      <c r="H21" s="9">
        <v>7.1769999999999996</v>
      </c>
      <c r="I21" s="10">
        <v>7.2800000000000004E-2</v>
      </c>
      <c r="J21" s="10"/>
      <c r="K21" s="10">
        <f t="shared" si="10"/>
        <v>0.62745955546338894</v>
      </c>
      <c r="L21" s="10">
        <v>0.62719999999999998</v>
      </c>
      <c r="M21" s="8">
        <v>5</v>
      </c>
      <c r="N21" s="10">
        <f t="shared" si="8"/>
        <v>3.1372977773169448</v>
      </c>
      <c r="O21" s="10">
        <f t="shared" si="9"/>
        <v>3.1360000000000001</v>
      </c>
      <c r="P21" s="8" t="s">
        <v>88</v>
      </c>
      <c r="T21" s="17" t="s">
        <v>155</v>
      </c>
      <c r="U21" s="10">
        <f>AVERAGE(I8,I16,I31)</f>
        <v>1.2999999999999999E-2</v>
      </c>
      <c r="V21" s="10">
        <f>MEDIAN(I8,I16,I31)</f>
        <v>1.2999999999999999E-2</v>
      </c>
      <c r="W21" s="10" t="e">
        <f>STDEV(I8,I16,I31)</f>
        <v>#DIV/0!</v>
      </c>
      <c r="X21" s="10" t="e">
        <f t="shared" ref="X21:X23" si="11">W21/U21*100</f>
        <v>#DIV/0!</v>
      </c>
      <c r="Y21" s="10" t="e">
        <f>VAR(I8,I16,I31)</f>
        <v>#DIV/0!</v>
      </c>
      <c r="Z21" s="10">
        <f>MAX(I8,I16,I31)</f>
        <v>1.2999999999999999E-2</v>
      </c>
      <c r="AA21" s="10">
        <f>MIN(I8,I16,I31)</f>
        <v>1.2999999999999999E-2</v>
      </c>
      <c r="AB21" s="10">
        <f t="shared" ref="AB21:AB23" si="12">Z21-AA21</f>
        <v>0</v>
      </c>
      <c r="AC21" s="10">
        <f>COUNT(I8,I16,I31)</f>
        <v>1</v>
      </c>
      <c r="AD21" s="10" t="e">
        <f t="shared" ref="AD21:AD23" si="13">W21/SQRT(AC21)</f>
        <v>#DIV/0!</v>
      </c>
    </row>
    <row r="22" spans="1:30" x14ac:dyDescent="0.25">
      <c r="A22" s="8">
        <v>21</v>
      </c>
      <c r="B22" s="8" t="s">
        <v>89</v>
      </c>
      <c r="C22" s="8">
        <v>0</v>
      </c>
      <c r="D22" s="8">
        <v>100</v>
      </c>
      <c r="E22" s="8" t="s">
        <v>75</v>
      </c>
      <c r="F22" s="8" t="s">
        <v>29</v>
      </c>
      <c r="G22" s="8">
        <v>1</v>
      </c>
      <c r="H22" s="9">
        <v>7.18</v>
      </c>
      <c r="I22" s="10">
        <v>6.3500000000000001E-2</v>
      </c>
      <c r="J22" s="10"/>
      <c r="K22" s="10">
        <f t="shared" si="10"/>
        <v>0.55995875899011405</v>
      </c>
      <c r="L22" s="10">
        <v>0.56020000000000003</v>
      </c>
      <c r="M22" s="8">
        <v>5</v>
      </c>
      <c r="N22" s="10">
        <f t="shared" si="8"/>
        <v>2.7997937949505705</v>
      </c>
      <c r="O22" s="10">
        <f t="shared" si="9"/>
        <v>2.8010000000000002</v>
      </c>
      <c r="P22" s="8" t="s">
        <v>90</v>
      </c>
      <c r="T22" s="17" t="s">
        <v>156</v>
      </c>
      <c r="U22" s="10">
        <f>AVERAGE(K8,K16,K31)</f>
        <v>0.19342217599007314</v>
      </c>
      <c r="V22" s="10">
        <f>MEDIAN(K8,K16,K31)</f>
        <v>0.19342217599007314</v>
      </c>
      <c r="W22" s="10" t="e">
        <f>STDEV(K8,K16,K31)</f>
        <v>#DIV/0!</v>
      </c>
      <c r="X22" s="10" t="e">
        <f t="shared" si="11"/>
        <v>#DIV/0!</v>
      </c>
      <c r="Y22" s="10" t="e">
        <f>VAR(K8,K16,K31)</f>
        <v>#DIV/0!</v>
      </c>
      <c r="Z22" s="10">
        <f>MAX(K8,K16,K31)</f>
        <v>0.19342217599007314</v>
      </c>
      <c r="AA22" s="10">
        <f>MIN(K8,K16,K31)</f>
        <v>0.19342217599007314</v>
      </c>
      <c r="AB22" s="10">
        <f t="shared" si="12"/>
        <v>0</v>
      </c>
      <c r="AC22" s="10">
        <f>COUNT(K8,K16,K31)</f>
        <v>1</v>
      </c>
      <c r="AD22" s="10" t="e">
        <f t="shared" si="13"/>
        <v>#DIV/0!</v>
      </c>
    </row>
    <row r="23" spans="1:30" x14ac:dyDescent="0.25">
      <c r="A23" s="8">
        <v>22</v>
      </c>
      <c r="B23" s="8" t="s">
        <v>91</v>
      </c>
      <c r="C23" s="8">
        <v>0</v>
      </c>
      <c r="D23" s="8">
        <v>60</v>
      </c>
      <c r="E23" s="8" t="s">
        <v>92</v>
      </c>
      <c r="F23" s="8" t="s">
        <v>29</v>
      </c>
      <c r="G23" s="8">
        <v>1</v>
      </c>
      <c r="H23" s="9">
        <v>7.18</v>
      </c>
      <c r="I23" s="10">
        <v>0.12509999999999999</v>
      </c>
      <c r="J23" s="10"/>
      <c r="K23" s="10">
        <f t="shared" si="10"/>
        <v>1.0070608087485797</v>
      </c>
      <c r="L23" s="10">
        <v>1.0072000000000001</v>
      </c>
      <c r="M23" s="8">
        <v>5</v>
      </c>
      <c r="N23" s="10">
        <f t="shared" si="8"/>
        <v>5.0353040437428991</v>
      </c>
      <c r="O23" s="10">
        <f t="shared" si="9"/>
        <v>5.0360000000000005</v>
      </c>
      <c r="P23" s="8" t="s">
        <v>93</v>
      </c>
      <c r="T23" s="17" t="s">
        <v>157</v>
      </c>
      <c r="U23" s="10">
        <f>AVERAGE(L8,L16,L31)</f>
        <v>0.19350000000000001</v>
      </c>
      <c r="V23" s="10">
        <f>MEDIAN(L8,L16,L31)</f>
        <v>0.19350000000000001</v>
      </c>
      <c r="W23" s="10" t="e">
        <f>STDEV(L8,L16,L31)</f>
        <v>#DIV/0!</v>
      </c>
      <c r="X23" s="10" t="e">
        <f t="shared" si="11"/>
        <v>#DIV/0!</v>
      </c>
      <c r="Y23" s="10" t="e">
        <f>VAR(L8,L16,L31)</f>
        <v>#DIV/0!</v>
      </c>
      <c r="Z23" s="10">
        <f>MAX(L8,L16,L31)</f>
        <v>0.19350000000000001</v>
      </c>
      <c r="AA23" s="10">
        <f>MIN(L8,L16,L31)</f>
        <v>0.19350000000000001</v>
      </c>
      <c r="AB23" s="10">
        <f t="shared" si="12"/>
        <v>0</v>
      </c>
      <c r="AC23" s="10">
        <f>COUNT(L8,L16,L31)</f>
        <v>1</v>
      </c>
      <c r="AD23" s="10" t="e">
        <f t="shared" si="13"/>
        <v>#DIV/0!</v>
      </c>
    </row>
    <row r="24" spans="1:30" x14ac:dyDescent="0.25">
      <c r="A24" s="8">
        <v>23</v>
      </c>
      <c r="B24" s="8" t="s">
        <v>94</v>
      </c>
      <c r="C24" s="8">
        <v>0</v>
      </c>
      <c r="D24" s="8">
        <v>100</v>
      </c>
      <c r="E24" s="8" t="s">
        <v>92</v>
      </c>
      <c r="F24" s="8" t="s">
        <v>29</v>
      </c>
      <c r="G24" s="8">
        <v>1</v>
      </c>
      <c r="H24" s="9">
        <v>7.18</v>
      </c>
      <c r="I24" s="10">
        <v>7.7499999999999999E-2</v>
      </c>
      <c r="J24" s="10"/>
      <c r="K24" s="10">
        <f t="shared" si="10"/>
        <v>0.66157286120794723</v>
      </c>
      <c r="L24" s="10">
        <v>0.66169999999999995</v>
      </c>
      <c r="M24" s="8">
        <v>5</v>
      </c>
      <c r="N24" s="10">
        <f t="shared" si="8"/>
        <v>3.3078643060397361</v>
      </c>
      <c r="O24" s="10">
        <f t="shared" si="9"/>
        <v>3.3084999999999996</v>
      </c>
      <c r="P24" s="8" t="s">
        <v>95</v>
      </c>
    </row>
    <row r="25" spans="1:30" x14ac:dyDescent="0.25">
      <c r="A25" s="8">
        <v>24</v>
      </c>
      <c r="B25" s="8" t="s">
        <v>96</v>
      </c>
      <c r="C25" s="8">
        <v>10</v>
      </c>
      <c r="D25" s="8">
        <v>0</v>
      </c>
      <c r="E25" s="8" t="s">
        <v>75</v>
      </c>
      <c r="F25" s="8" t="s">
        <v>29</v>
      </c>
      <c r="G25" s="8">
        <v>1</v>
      </c>
      <c r="H25" s="9">
        <v>7.1669999999999998</v>
      </c>
      <c r="I25" s="10">
        <v>1.1900000000000001E-2</v>
      </c>
      <c r="J25" s="10"/>
      <c r="K25" s="10">
        <f t="shared" si="10"/>
        <v>0.18543821081581482</v>
      </c>
      <c r="L25" s="10">
        <v>0.18590000000000001</v>
      </c>
      <c r="M25" s="8">
        <v>5</v>
      </c>
      <c r="N25" s="10">
        <f t="shared" si="8"/>
        <v>0.9271910540790741</v>
      </c>
      <c r="O25" s="10">
        <f t="shared" si="9"/>
        <v>0.92949999999999999</v>
      </c>
      <c r="P25" s="8" t="s">
        <v>97</v>
      </c>
      <c r="T25" s="19"/>
    </row>
    <row r="26" spans="1:30" x14ac:dyDescent="0.25">
      <c r="A26" s="8">
        <v>25</v>
      </c>
      <c r="B26" s="8" t="s">
        <v>98</v>
      </c>
      <c r="C26" s="8">
        <v>10</v>
      </c>
      <c r="D26" s="8">
        <v>60</v>
      </c>
      <c r="E26" s="8" t="s">
        <v>75</v>
      </c>
      <c r="F26" s="8" t="s">
        <v>29</v>
      </c>
      <c r="G26" s="8">
        <v>1</v>
      </c>
      <c r="H26" s="9">
        <v>7.173</v>
      </c>
      <c r="I26" s="10">
        <v>3.1099999999999999E-2</v>
      </c>
      <c r="J26" s="10"/>
      <c r="K26" s="10">
        <f t="shared" si="10"/>
        <v>0.32479469385741455</v>
      </c>
      <c r="L26" s="10">
        <v>0.32469999999999999</v>
      </c>
      <c r="M26" s="8">
        <v>5</v>
      </c>
      <c r="N26" s="10">
        <f t="shared" si="8"/>
        <v>1.6239734692870726</v>
      </c>
      <c r="O26" s="10">
        <f t="shared" si="9"/>
        <v>1.6234999999999999</v>
      </c>
      <c r="P26" s="8" t="s">
        <v>99</v>
      </c>
      <c r="T26" s="11"/>
      <c r="U26" s="3" t="s">
        <v>158</v>
      </c>
      <c r="V26" s="3" t="s">
        <v>159</v>
      </c>
      <c r="W26" s="3" t="s">
        <v>160</v>
      </c>
      <c r="X26" s="3" t="s">
        <v>161</v>
      </c>
      <c r="Y26" s="3" t="s">
        <v>162</v>
      </c>
      <c r="Z26" s="3" t="s">
        <v>163</v>
      </c>
      <c r="AA26" s="3" t="s">
        <v>164</v>
      </c>
    </row>
    <row r="27" spans="1:30" ht="45" x14ac:dyDescent="0.25">
      <c r="A27" s="8">
        <v>26</v>
      </c>
      <c r="B27" s="8" t="s">
        <v>100</v>
      </c>
      <c r="C27" s="8">
        <v>10</v>
      </c>
      <c r="D27" s="8">
        <v>70</v>
      </c>
      <c r="E27" s="8" t="s">
        <v>75</v>
      </c>
      <c r="F27" s="8" t="s">
        <v>29</v>
      </c>
      <c r="G27" s="8">
        <v>1</v>
      </c>
      <c r="H27" s="9">
        <v>7.1829999999999998</v>
      </c>
      <c r="I27" s="10">
        <v>7.7899999999999997E-2</v>
      </c>
      <c r="J27" s="10"/>
      <c r="K27" s="10">
        <f t="shared" si="10"/>
        <v>0.66447612127131384</v>
      </c>
      <c r="L27" s="10">
        <v>0.6643</v>
      </c>
      <c r="M27" s="8">
        <v>5</v>
      </c>
      <c r="N27" s="10">
        <f t="shared" si="8"/>
        <v>3.3223806063565693</v>
      </c>
      <c r="O27" s="10">
        <f t="shared" si="9"/>
        <v>3.3214999999999999</v>
      </c>
      <c r="P27" s="8" t="s">
        <v>101</v>
      </c>
      <c r="T27" s="20" t="s">
        <v>165</v>
      </c>
      <c r="U27" s="21">
        <f>K5</f>
        <v>4.661539413511365</v>
      </c>
      <c r="V27" s="21">
        <f>L5</f>
        <v>4.6612999999999998</v>
      </c>
      <c r="W27" s="22">
        <v>101</v>
      </c>
      <c r="X27" s="22">
        <v>1</v>
      </c>
      <c r="Y27" s="21">
        <f>W27/(20)</f>
        <v>5.05</v>
      </c>
      <c r="Z27" s="21">
        <f>V27/Y27 *100</f>
        <v>92.302970297029702</v>
      </c>
      <c r="AA27" s="21">
        <f>U27/Y27 *100</f>
        <v>92.307711158640899</v>
      </c>
    </row>
    <row r="28" spans="1:30" ht="45" x14ac:dyDescent="0.25">
      <c r="A28" s="8">
        <v>27</v>
      </c>
      <c r="B28" s="8" t="s">
        <v>102</v>
      </c>
      <c r="C28" s="8">
        <v>10</v>
      </c>
      <c r="D28" s="8">
        <v>10</v>
      </c>
      <c r="E28" s="8" t="s">
        <v>92</v>
      </c>
      <c r="F28" s="8" t="s">
        <v>29</v>
      </c>
      <c r="G28" s="8">
        <v>1</v>
      </c>
      <c r="H28" s="9">
        <v>7.1769999999999996</v>
      </c>
      <c r="I28" s="10">
        <v>2.7400000000000001E-2</v>
      </c>
      <c r="J28" s="10"/>
      <c r="K28" s="10">
        <f t="shared" si="10"/>
        <v>0.29793953827127295</v>
      </c>
      <c r="L28" s="10">
        <v>0.29820000000000002</v>
      </c>
      <c r="M28" s="8">
        <v>5</v>
      </c>
      <c r="N28" s="10">
        <f t="shared" si="8"/>
        <v>1.4896976913563647</v>
      </c>
      <c r="O28" s="10">
        <f t="shared" si="9"/>
        <v>1.4910000000000001</v>
      </c>
      <c r="P28" s="8" t="s">
        <v>103</v>
      </c>
      <c r="T28" s="20" t="s">
        <v>166</v>
      </c>
      <c r="U28" s="21">
        <f>U19</f>
        <v>5.2905790939074739</v>
      </c>
      <c r="V28" s="21">
        <f>U20</f>
        <v>5.2908333333333335</v>
      </c>
      <c r="W28" s="22">
        <v>100</v>
      </c>
      <c r="X28" s="22">
        <v>1</v>
      </c>
      <c r="Y28" s="21">
        <f>W28/(20)</f>
        <v>5</v>
      </c>
      <c r="Z28" s="21">
        <f>V28/Y28 *100</f>
        <v>105.81666666666666</v>
      </c>
      <c r="AA28" s="21">
        <f>U28/Y28 *100</f>
        <v>105.81158187814947</v>
      </c>
    </row>
    <row r="29" spans="1:30" x14ac:dyDescent="0.25">
      <c r="A29" s="8">
        <v>28</v>
      </c>
      <c r="B29" s="8" t="s">
        <v>104</v>
      </c>
      <c r="C29" s="8">
        <v>10</v>
      </c>
      <c r="D29" s="8">
        <v>50</v>
      </c>
      <c r="E29" s="8" t="s">
        <v>92</v>
      </c>
      <c r="F29" s="8" t="s">
        <v>29</v>
      </c>
      <c r="G29" s="8">
        <v>1</v>
      </c>
      <c r="H29" s="9">
        <v>7.1769999999999996</v>
      </c>
      <c r="I29" s="10">
        <v>4.3799999999999999E-2</v>
      </c>
      <c r="J29" s="10"/>
      <c r="K29" s="10">
        <f t="shared" si="10"/>
        <v>0.416973200869306</v>
      </c>
      <c r="L29" s="10">
        <v>0.41749999999999998</v>
      </c>
      <c r="M29" s="8">
        <v>5</v>
      </c>
      <c r="N29" s="10">
        <f t="shared" si="8"/>
        <v>2.0848660043465301</v>
      </c>
      <c r="O29" s="10">
        <f t="shared" si="9"/>
        <v>2.0874999999999999</v>
      </c>
      <c r="P29" s="8" t="s">
        <v>105</v>
      </c>
    </row>
    <row r="30" spans="1:30" x14ac:dyDescent="0.25">
      <c r="A30" s="8">
        <v>29</v>
      </c>
      <c r="B30" s="8" t="s">
        <v>48</v>
      </c>
      <c r="C30" s="8"/>
      <c r="D30" s="8"/>
      <c r="E30" s="8"/>
      <c r="F30" s="8" t="s">
        <v>29</v>
      </c>
      <c r="G30" s="8">
        <v>1</v>
      </c>
      <c r="H30" s="9">
        <v>7.1929999999999996</v>
      </c>
      <c r="I30" s="10">
        <v>0.73029999999999995</v>
      </c>
      <c r="J30" s="10"/>
      <c r="K30" s="10">
        <f t="shared" si="10"/>
        <v>5.3996932846223373</v>
      </c>
      <c r="L30" s="10">
        <v>5.4001999999999999</v>
      </c>
      <c r="M30" s="8">
        <v>20</v>
      </c>
      <c r="N30" s="10"/>
      <c r="O30" s="8"/>
      <c r="P30" s="8" t="s">
        <v>49</v>
      </c>
    </row>
    <row r="31" spans="1:30" x14ac:dyDescent="0.25">
      <c r="A31" s="8">
        <v>30</v>
      </c>
      <c r="B31" s="8" t="s">
        <v>28</v>
      </c>
      <c r="C31" s="8"/>
      <c r="D31" s="8"/>
      <c r="E31" s="8"/>
      <c r="F31" s="8" t="s">
        <v>29</v>
      </c>
      <c r="G31" s="8">
        <v>1</v>
      </c>
      <c r="H31" s="9" t="s">
        <v>152</v>
      </c>
      <c r="I31" s="10" t="s">
        <v>152</v>
      </c>
      <c r="J31" s="10"/>
      <c r="K31" s="10" t="str">
        <f t="shared" si="10"/>
        <v>NA</v>
      </c>
      <c r="L31" s="10" t="s">
        <v>152</v>
      </c>
      <c r="M31" s="8">
        <v>0</v>
      </c>
      <c r="N31" s="10"/>
      <c r="O31" s="8"/>
      <c r="P31" s="8" t="s">
        <v>30</v>
      </c>
      <c r="T31" s="8"/>
      <c r="U31" s="3" t="s">
        <v>167</v>
      </c>
      <c r="V31" s="3" t="s">
        <v>168</v>
      </c>
      <c r="W31" s="3" t="s">
        <v>169</v>
      </c>
      <c r="X31" s="3" t="s">
        <v>170</v>
      </c>
      <c r="Y31" s="3" t="s">
        <v>171</v>
      </c>
      <c r="Z31" s="3" t="s">
        <v>172</v>
      </c>
      <c r="AA31" s="3" t="s">
        <v>173</v>
      </c>
      <c r="AB31" s="3" t="s">
        <v>163</v>
      </c>
      <c r="AC31" s="3" t="s">
        <v>164</v>
      </c>
    </row>
    <row r="32" spans="1:30" x14ac:dyDescent="0.25">
      <c r="T32" s="17" t="s">
        <v>174</v>
      </c>
      <c r="U32" s="10">
        <f>I5</f>
        <v>0.62860000000000005</v>
      </c>
      <c r="V32" s="10">
        <f>U18</f>
        <v>0.71526666666666661</v>
      </c>
      <c r="W32" s="10">
        <f>K5</f>
        <v>4.661539413511365</v>
      </c>
      <c r="X32" s="10">
        <f>L5</f>
        <v>4.6612999999999998</v>
      </c>
      <c r="Y32" s="10">
        <f>U19</f>
        <v>5.2905790939074739</v>
      </c>
      <c r="Z32" s="10">
        <f>U20</f>
        <v>5.2908333333333335</v>
      </c>
      <c r="AA32" s="10">
        <f>U32/V32 *100</f>
        <v>87.883306925156134</v>
      </c>
      <c r="AB32" s="10">
        <f>W32/Y32 *100</f>
        <v>88.110192301623485</v>
      </c>
      <c r="AC32" s="10">
        <f>X32/Z32 *100</f>
        <v>88.10143329658213</v>
      </c>
    </row>
    <row r="35" spans="19:34" x14ac:dyDescent="0.25">
      <c r="S35" s="6" t="s">
        <v>175</v>
      </c>
      <c r="T35" s="3" t="s">
        <v>13</v>
      </c>
      <c r="U35" s="3" t="s">
        <v>14</v>
      </c>
      <c r="V35" s="3" t="s">
        <v>15</v>
      </c>
      <c r="W35" s="3" t="s">
        <v>16</v>
      </c>
      <c r="X35" s="3" t="s">
        <v>17</v>
      </c>
      <c r="Y35" s="3" t="s">
        <v>18</v>
      </c>
      <c r="Z35" s="3" t="s">
        <v>19</v>
      </c>
      <c r="AA35" s="4" t="s">
        <v>21</v>
      </c>
      <c r="AB35" s="4" t="s">
        <v>22</v>
      </c>
      <c r="AC35" s="4" t="s">
        <v>195</v>
      </c>
      <c r="AD35" s="4" t="s">
        <v>196</v>
      </c>
    </row>
    <row r="36" spans="19:34" x14ac:dyDescent="0.25">
      <c r="T36" s="8">
        <v>3</v>
      </c>
      <c r="U36" s="8" t="s">
        <v>50</v>
      </c>
      <c r="V36" s="8">
        <v>20</v>
      </c>
      <c r="W36" s="8">
        <v>20</v>
      </c>
      <c r="X36" s="8" t="s">
        <v>51</v>
      </c>
      <c r="Y36" s="8" t="s">
        <v>29</v>
      </c>
      <c r="Z36" s="8">
        <v>1</v>
      </c>
      <c r="AA36" s="9">
        <v>7.1829999999999998</v>
      </c>
      <c r="AB36" s="10">
        <v>0.1125</v>
      </c>
      <c r="AC36" s="10">
        <f>IF(AA36="NA", "NA", ((AB36-($AH$3))/$AG$3))</f>
        <v>0.91560811675252995</v>
      </c>
      <c r="AD36" s="10">
        <v>0.91549999999999998</v>
      </c>
    </row>
    <row r="37" spans="19:34" x14ac:dyDescent="0.25">
      <c r="T37" s="8">
        <v>4</v>
      </c>
      <c r="U37" s="8" t="s">
        <v>53</v>
      </c>
      <c r="V37" s="8">
        <v>20</v>
      </c>
      <c r="W37" s="8">
        <v>20</v>
      </c>
      <c r="X37" s="8" t="s">
        <v>54</v>
      </c>
      <c r="Y37" s="8" t="s">
        <v>29</v>
      </c>
      <c r="Z37" s="8">
        <v>1</v>
      </c>
      <c r="AA37" s="9">
        <v>7.1829999999999998</v>
      </c>
      <c r="AB37" s="10">
        <v>0.1116</v>
      </c>
      <c r="AC37" s="10">
        <f t="shared" ref="AC37:AC44" si="14">IF(AA37="NA", "NA", ((AB37-($AH$3))/$AG$3))</f>
        <v>0.90907578160995517</v>
      </c>
      <c r="AD37" s="10">
        <v>0.90910000000000002</v>
      </c>
    </row>
    <row r="38" spans="19:34" x14ac:dyDescent="0.25">
      <c r="T38" s="8">
        <v>5</v>
      </c>
      <c r="U38" s="8" t="s">
        <v>56</v>
      </c>
      <c r="V38" s="8">
        <v>20</v>
      </c>
      <c r="W38" s="8">
        <v>20</v>
      </c>
      <c r="X38" s="8" t="s">
        <v>57</v>
      </c>
      <c r="Y38" s="8" t="s">
        <v>29</v>
      </c>
      <c r="Z38" s="8">
        <v>1</v>
      </c>
      <c r="AA38" s="9">
        <v>7.1829999999999998</v>
      </c>
      <c r="AB38" s="10">
        <v>0.112</v>
      </c>
      <c r="AC38" s="10">
        <f t="shared" si="14"/>
        <v>0.91197904167332167</v>
      </c>
      <c r="AD38" s="10">
        <v>0.91210000000000002</v>
      </c>
    </row>
    <row r="39" spans="19:34" x14ac:dyDescent="0.25">
      <c r="T39" s="8">
        <v>6</v>
      </c>
      <c r="U39" s="8" t="s">
        <v>59</v>
      </c>
      <c r="V39" s="8">
        <v>0</v>
      </c>
      <c r="W39" s="8">
        <v>10</v>
      </c>
      <c r="X39" s="8" t="s">
        <v>60</v>
      </c>
      <c r="Y39" s="8" t="s">
        <v>29</v>
      </c>
      <c r="Z39" s="8">
        <v>1</v>
      </c>
      <c r="AA39" s="9">
        <v>7.1870000000000003</v>
      </c>
      <c r="AB39" s="10">
        <v>0.32850000000000001</v>
      </c>
      <c r="AC39" s="10">
        <f t="shared" si="14"/>
        <v>2.483368550970527</v>
      </c>
      <c r="AD39" s="10">
        <v>2.4832999999999998</v>
      </c>
    </row>
    <row r="40" spans="19:34" x14ac:dyDescent="0.25">
      <c r="T40" s="8">
        <v>7</v>
      </c>
      <c r="U40" s="8" t="s">
        <v>62</v>
      </c>
      <c r="V40" s="8">
        <v>0</v>
      </c>
      <c r="W40" s="8">
        <v>10</v>
      </c>
      <c r="X40" s="8" t="s">
        <v>63</v>
      </c>
      <c r="Y40" s="8" t="s">
        <v>29</v>
      </c>
      <c r="Z40" s="8">
        <v>1</v>
      </c>
      <c r="AA40" s="9">
        <v>7.19</v>
      </c>
      <c r="AB40" s="10">
        <v>0.26600000000000001</v>
      </c>
      <c r="AC40" s="10">
        <f t="shared" si="14"/>
        <v>2.0297341660694865</v>
      </c>
      <c r="AD40" s="10">
        <v>2.0301</v>
      </c>
    </row>
    <row r="41" spans="19:34" x14ac:dyDescent="0.25">
      <c r="T41" s="8">
        <v>8</v>
      </c>
      <c r="U41" s="8" t="s">
        <v>65</v>
      </c>
      <c r="V41" s="8">
        <v>0</v>
      </c>
      <c r="W41" s="8">
        <v>10</v>
      </c>
      <c r="X41" s="8" t="s">
        <v>66</v>
      </c>
      <c r="Y41" s="8" t="s">
        <v>29</v>
      </c>
      <c r="Z41" s="8">
        <v>1</v>
      </c>
      <c r="AA41" s="9">
        <v>7.1870000000000003</v>
      </c>
      <c r="AB41" s="10">
        <v>0.26440000000000002</v>
      </c>
      <c r="AC41" s="10">
        <f t="shared" si="14"/>
        <v>2.0181211258160197</v>
      </c>
      <c r="AD41" s="10">
        <v>2.0185</v>
      </c>
    </row>
    <row r="42" spans="19:34" x14ac:dyDescent="0.25">
      <c r="T42" s="8">
        <v>9</v>
      </c>
      <c r="U42" s="8" t="s">
        <v>68</v>
      </c>
      <c r="V42" s="8">
        <v>10</v>
      </c>
      <c r="W42" s="8">
        <v>90</v>
      </c>
      <c r="X42" s="8" t="s">
        <v>51</v>
      </c>
      <c r="Y42" s="8" t="s">
        <v>29</v>
      </c>
      <c r="Z42" s="8">
        <v>1</v>
      </c>
      <c r="AA42" s="9">
        <v>7.18</v>
      </c>
      <c r="AB42" s="10">
        <v>2.5100000000000001E-2</v>
      </c>
      <c r="AC42" s="10">
        <f>IF(AA42="NA", "NA", ((AB42-($AH$3))/$AG$3))</f>
        <v>0.28124579290691459</v>
      </c>
      <c r="AD42" s="10">
        <v>0.28160000000000002</v>
      </c>
    </row>
    <row r="43" spans="19:34" x14ac:dyDescent="0.25">
      <c r="T43" s="8">
        <v>10</v>
      </c>
      <c r="U43" s="8" t="s">
        <v>70</v>
      </c>
      <c r="V43" s="8">
        <v>10</v>
      </c>
      <c r="W43" s="8">
        <v>90</v>
      </c>
      <c r="X43" s="8" t="s">
        <v>54</v>
      </c>
      <c r="Y43" s="8" t="s">
        <v>29</v>
      </c>
      <c r="Z43" s="8">
        <v>1</v>
      </c>
      <c r="AA43" s="9">
        <v>7.18</v>
      </c>
      <c r="AB43" s="10">
        <v>1.7899999999999999E-2</v>
      </c>
      <c r="AC43" s="10">
        <f t="shared" si="14"/>
        <v>0.22898711176631473</v>
      </c>
      <c r="AD43" s="10">
        <v>0.22889999999999999</v>
      </c>
    </row>
    <row r="44" spans="19:34" x14ac:dyDescent="0.25">
      <c r="T44" s="8">
        <v>11</v>
      </c>
      <c r="U44" s="8" t="s">
        <v>72</v>
      </c>
      <c r="V44" s="8">
        <v>10</v>
      </c>
      <c r="W44" s="8">
        <v>90</v>
      </c>
      <c r="X44" s="8" t="s">
        <v>57</v>
      </c>
      <c r="Y44" s="8" t="s">
        <v>29</v>
      </c>
      <c r="Z44" s="8">
        <v>1</v>
      </c>
      <c r="AA44" s="9">
        <v>7.18</v>
      </c>
      <c r="AB44" s="10">
        <v>2.5000000000000001E-2</v>
      </c>
      <c r="AC44" s="10">
        <f t="shared" si="14"/>
        <v>0.28051997789107297</v>
      </c>
      <c r="AD44" s="10">
        <v>0.28079999999999999</v>
      </c>
    </row>
    <row r="46" spans="19:34" x14ac:dyDescent="0.25">
      <c r="T46" s="7"/>
      <c r="U46" s="3" t="s">
        <v>14</v>
      </c>
      <c r="V46" s="3" t="s">
        <v>15</v>
      </c>
      <c r="W46" s="3" t="s">
        <v>16</v>
      </c>
      <c r="X46" s="3" t="s">
        <v>17</v>
      </c>
      <c r="Y46" s="3" t="s">
        <v>140</v>
      </c>
      <c r="Z46" s="3" t="s">
        <v>141</v>
      </c>
      <c r="AA46" s="3" t="s">
        <v>142</v>
      </c>
      <c r="AB46" s="3" t="s">
        <v>143</v>
      </c>
      <c r="AC46" s="7" t="s">
        <v>144</v>
      </c>
      <c r="AD46" s="3" t="s">
        <v>145</v>
      </c>
      <c r="AE46" s="3" t="s">
        <v>146</v>
      </c>
      <c r="AF46" s="3" t="s">
        <v>147</v>
      </c>
      <c r="AG46" s="3" t="s">
        <v>148</v>
      </c>
      <c r="AH46" s="3" t="s">
        <v>149</v>
      </c>
    </row>
    <row r="47" spans="19:34" x14ac:dyDescent="0.25">
      <c r="T47" s="4" t="s">
        <v>22</v>
      </c>
      <c r="U47" s="8" t="s">
        <v>176</v>
      </c>
      <c r="V47" s="8">
        <v>20</v>
      </c>
      <c r="W47" s="8">
        <v>20</v>
      </c>
      <c r="X47" s="8" t="s">
        <v>75</v>
      </c>
      <c r="Y47" s="9">
        <f>AVERAGE(AB36:AB38)</f>
        <v>0.11203333333333333</v>
      </c>
      <c r="Z47" s="9">
        <f>MEDIAN(AB36:AB38)</f>
        <v>0.112</v>
      </c>
      <c r="AA47" s="9">
        <f>STDEV(AB36:AB38)</f>
        <v>4.5092497528228848E-4</v>
      </c>
      <c r="AB47" s="9">
        <f t="shared" ref="AB47:AB55" si="15">AA47/Y47*100</f>
        <v>0.40249179584851691</v>
      </c>
      <c r="AC47" s="9">
        <f>VAR(AB36:AB38)</f>
        <v>2.0333333333333248E-7</v>
      </c>
      <c r="AD47" s="9">
        <f>MAX(AB36:AB38)</f>
        <v>0.1125</v>
      </c>
      <c r="AE47" s="9">
        <f>MIN(AB36:AB38)</f>
        <v>0.1116</v>
      </c>
      <c r="AF47" s="9">
        <f t="shared" ref="AF47:AF55" si="16">AD47-AE47</f>
        <v>8.9999999999999802E-4</v>
      </c>
      <c r="AG47" s="9">
        <f>COUNT(AB36:AB38)</f>
        <v>3</v>
      </c>
      <c r="AH47" s="9">
        <f t="shared" ref="AH47:AH55" si="17">AA47/SQRT(AG47)</f>
        <v>2.6034165586355463E-4</v>
      </c>
    </row>
    <row r="48" spans="19:34" x14ac:dyDescent="0.25">
      <c r="T48" s="4" t="s">
        <v>195</v>
      </c>
      <c r="U48" s="8" t="s">
        <v>176</v>
      </c>
      <c r="V48" s="8">
        <v>20</v>
      </c>
      <c r="W48" s="8">
        <v>20</v>
      </c>
      <c r="X48" s="8" t="s">
        <v>75</v>
      </c>
      <c r="Y48" s="10">
        <f>AVERAGE(AC36:AC38)</f>
        <v>0.91222098001193563</v>
      </c>
      <c r="Z48" s="10">
        <f>MEDIAN(AC36:AC38)</f>
        <v>0.91197904167332167</v>
      </c>
      <c r="AA48" s="10">
        <f>STDEV(AC36:AC38)</f>
        <v>3.2728811807790758E-3</v>
      </c>
      <c r="AB48" s="10">
        <f t="shared" si="15"/>
        <v>0.35878161678941578</v>
      </c>
      <c r="AC48" s="10">
        <f>VAR(AC36:AC38)</f>
        <v>1.0711751223497838E-5</v>
      </c>
      <c r="AD48" s="10">
        <f>MAX(AC36:AC38)</f>
        <v>0.91560811675252995</v>
      </c>
      <c r="AE48" s="10">
        <f>MIN(AC36:AC38)</f>
        <v>0.90907578160995517</v>
      </c>
      <c r="AF48" s="10">
        <f t="shared" si="16"/>
        <v>6.5323351425747855E-3</v>
      </c>
      <c r="AG48" s="10">
        <f>COUNT(AC36:AC38)</f>
        <v>3</v>
      </c>
      <c r="AH48" s="10">
        <f t="shared" si="17"/>
        <v>1.8895988307484598E-3</v>
      </c>
    </row>
    <row r="49" spans="20:34" x14ac:dyDescent="0.25">
      <c r="T49" s="4" t="s">
        <v>196</v>
      </c>
      <c r="U49" s="8" t="s">
        <v>176</v>
      </c>
      <c r="V49" s="8">
        <v>20</v>
      </c>
      <c r="W49" s="8">
        <v>20</v>
      </c>
      <c r="X49" s="8" t="s">
        <v>75</v>
      </c>
      <c r="Y49" s="10">
        <f>AVERAGE(AD36:AD38)</f>
        <v>0.91223333333333334</v>
      </c>
      <c r="Z49" s="10">
        <f>MEDIAN(AD36:AD38)</f>
        <v>0.91210000000000002</v>
      </c>
      <c r="AA49" s="10">
        <f>STDEV(AD36:AD38)</f>
        <v>3.2020826556060679E-3</v>
      </c>
      <c r="AB49" s="10">
        <f t="shared" si="15"/>
        <v>0.35101574768217941</v>
      </c>
      <c r="AC49" s="10">
        <f>VAR(AD36:AD38)</f>
        <v>1.0253333333333207E-5</v>
      </c>
      <c r="AD49" s="10">
        <f>MAX(AD36:AD38)</f>
        <v>0.91549999999999998</v>
      </c>
      <c r="AE49" s="10">
        <f>MIN(AD36:AD38)</f>
        <v>0.90910000000000002</v>
      </c>
      <c r="AF49" s="10">
        <f t="shared" si="16"/>
        <v>6.3999999999999613E-3</v>
      </c>
      <c r="AG49" s="10">
        <f>COUNT(AD36:AD38)</f>
        <v>3</v>
      </c>
      <c r="AH49" s="10">
        <f t="shared" si="17"/>
        <v>1.8487232831815952E-3</v>
      </c>
    </row>
    <row r="50" spans="20:34" x14ac:dyDescent="0.25">
      <c r="T50" s="4" t="s">
        <v>22</v>
      </c>
      <c r="U50" s="8" t="s">
        <v>177</v>
      </c>
      <c r="V50" s="8">
        <v>0</v>
      </c>
      <c r="W50" s="8">
        <v>10</v>
      </c>
      <c r="X50" s="8" t="s">
        <v>92</v>
      </c>
      <c r="Y50" s="9">
        <f>AVERAGE(AB39:AB41)</f>
        <v>0.2863</v>
      </c>
      <c r="Z50" s="9">
        <f>MEDIAN(AB39:AB41)</f>
        <v>0.26600000000000001</v>
      </c>
      <c r="AA50" s="9">
        <f>STDEV(AB39:AB41)</f>
        <v>3.6555027014078763E-2</v>
      </c>
      <c r="AB50" s="9">
        <f>AA50/Y50*100</f>
        <v>12.768084880921677</v>
      </c>
      <c r="AC50" s="9">
        <f>VAR(AB39:AB41)</f>
        <v>1.3362700000000283E-3</v>
      </c>
      <c r="AD50" s="9">
        <f>MAX(AB39:AB41)</f>
        <v>0.32850000000000001</v>
      </c>
      <c r="AE50" s="9">
        <f>MIN(AB39:AB41)</f>
        <v>0.26440000000000002</v>
      </c>
      <c r="AF50" s="9">
        <f t="shared" si="16"/>
        <v>6.409999999999999E-2</v>
      </c>
      <c r="AG50" s="9">
        <f>COUNT(AB39:AB41)</f>
        <v>3</v>
      </c>
      <c r="AH50" s="9">
        <f t="shared" si="17"/>
        <v>2.1105054686812418E-2</v>
      </c>
    </row>
    <row r="51" spans="20:34" x14ac:dyDescent="0.25">
      <c r="T51" s="4" t="s">
        <v>195</v>
      </c>
      <c r="U51" s="8" t="s">
        <v>177</v>
      </c>
      <c r="V51" s="8">
        <v>0</v>
      </c>
      <c r="W51" s="8">
        <v>10</v>
      </c>
      <c r="X51" s="8" t="s">
        <v>92</v>
      </c>
      <c r="Y51" s="10">
        <f>AVERAGE(AC39:AC41)</f>
        <v>2.1770746142853441</v>
      </c>
      <c r="Z51" s="10">
        <f>MEDIAN(AC39:AC41)</f>
        <v>2.0297341660694865</v>
      </c>
      <c r="AA51" s="10">
        <f>STDEV(AC39:AC41)</f>
        <v>0.26532187511315786</v>
      </c>
      <c r="AB51" s="10">
        <f t="shared" si="15"/>
        <v>12.187082306329385</v>
      </c>
      <c r="AC51" s="10">
        <f>VAR(AC39:AC41)</f>
        <v>7.0395697413562136E-2</v>
      </c>
      <c r="AD51" s="10">
        <f>MAX(AC39:AC41)</f>
        <v>2.483368550970527</v>
      </c>
      <c r="AE51" s="10">
        <f>MIN(AC39:AC41)</f>
        <v>2.0181211258160197</v>
      </c>
      <c r="AF51" s="10">
        <f t="shared" si="16"/>
        <v>0.46524742515450734</v>
      </c>
      <c r="AG51" s="10">
        <f>COUNT(AC39:AC41)</f>
        <v>3</v>
      </c>
      <c r="AH51" s="10">
        <f t="shared" si="17"/>
        <v>0.15318365601847797</v>
      </c>
    </row>
    <row r="52" spans="20:34" x14ac:dyDescent="0.25">
      <c r="T52" s="4" t="s">
        <v>196</v>
      </c>
      <c r="U52" s="8" t="s">
        <v>177</v>
      </c>
      <c r="V52" s="8">
        <v>0</v>
      </c>
      <c r="W52" s="8">
        <v>10</v>
      </c>
      <c r="X52" s="8" t="s">
        <v>92</v>
      </c>
      <c r="Y52" s="10">
        <f>AVERAGE(AD39:AD41)</f>
        <v>2.1773000000000002</v>
      </c>
      <c r="Z52" s="10">
        <f>MEDIAN(AD39:AD41)</f>
        <v>2.0301</v>
      </c>
      <c r="AA52" s="10">
        <f>STDEV(AD39:AD41)</f>
        <v>0.26506723675324334</v>
      </c>
      <c r="AB52" s="10">
        <f t="shared" si="15"/>
        <v>12.174125602959782</v>
      </c>
      <c r="AC52" s="10">
        <f>VAR(AD39:AD41)</f>
        <v>7.0260639999999958E-2</v>
      </c>
      <c r="AD52" s="10">
        <f>MAX(AD39:AD41)</f>
        <v>2.4832999999999998</v>
      </c>
      <c r="AE52" s="10">
        <f>MIN(AD39:AD41)</f>
        <v>2.0185</v>
      </c>
      <c r="AF52" s="10">
        <f t="shared" si="16"/>
        <v>0.46479999999999988</v>
      </c>
      <c r="AG52" s="10">
        <f>COUNT(AD39:AD41)</f>
        <v>3</v>
      </c>
      <c r="AH52" s="10">
        <f t="shared" si="17"/>
        <v>0.1530366404928353</v>
      </c>
    </row>
    <row r="53" spans="20:34" x14ac:dyDescent="0.25">
      <c r="T53" s="4" t="s">
        <v>22</v>
      </c>
      <c r="U53" s="8" t="s">
        <v>178</v>
      </c>
      <c r="V53" s="8">
        <v>10</v>
      </c>
      <c r="W53" s="8">
        <v>90</v>
      </c>
      <c r="X53" s="8" t="s">
        <v>75</v>
      </c>
      <c r="Y53" s="9">
        <f>AVERAGE(AB42:AB44)</f>
        <v>2.2666666666666668E-2</v>
      </c>
      <c r="Z53" s="9">
        <f>MEDIAN(AB42:AB44)</f>
        <v>2.5000000000000001E-2</v>
      </c>
      <c r="AA53" s="9">
        <f>STDEV(AB42:AB44)</f>
        <v>4.1283572196859778E-3</v>
      </c>
      <c r="AB53" s="9">
        <f t="shared" si="15"/>
        <v>18.213340675085192</v>
      </c>
      <c r="AC53" s="9">
        <f>VAR(AB42:AB44)</f>
        <v>1.704333333333334E-5</v>
      </c>
      <c r="AD53" s="9">
        <f>MAX(AB42:AB44)</f>
        <v>2.5100000000000001E-2</v>
      </c>
      <c r="AE53" s="9">
        <f>MIN(AB42:AB44)</f>
        <v>1.7899999999999999E-2</v>
      </c>
      <c r="AF53" s="9">
        <f t="shared" si="16"/>
        <v>7.2000000000000015E-3</v>
      </c>
      <c r="AG53" s="9">
        <f>COUNT(AB42:AB44)</f>
        <v>3</v>
      </c>
      <c r="AH53" s="9">
        <f t="shared" si="17"/>
        <v>2.3835081520966342E-3</v>
      </c>
    </row>
    <row r="54" spans="20:34" x14ac:dyDescent="0.25">
      <c r="T54" s="4" t="s">
        <v>195</v>
      </c>
      <c r="U54" s="8" t="s">
        <v>178</v>
      </c>
      <c r="V54" s="8">
        <v>10</v>
      </c>
      <c r="W54" s="8">
        <v>90</v>
      </c>
      <c r="X54" s="8" t="s">
        <v>75</v>
      </c>
      <c r="Y54" s="10">
        <f>AVERAGE(AC42:AC44)</f>
        <v>0.26358429418810075</v>
      </c>
      <c r="Z54" s="10">
        <f>MEDIAN(AC42:AC44)</f>
        <v>0.28051997789107297</v>
      </c>
      <c r="AA54" s="10">
        <f>STDEV(AC42:AC44)</f>
        <v>2.9964236608064299E-2</v>
      </c>
      <c r="AB54" s="10">
        <f t="shared" si="15"/>
        <v>11.367990152964511</v>
      </c>
      <c r="AC54" s="10">
        <f>VAR(AC42:AC44)</f>
        <v>8.9785547550406074E-4</v>
      </c>
      <c r="AD54" s="10">
        <f>MAX(AC42:AC44)</f>
        <v>0.28124579290691459</v>
      </c>
      <c r="AE54" s="10">
        <f>MIN(AC42:AC44)</f>
        <v>0.22898711176631473</v>
      </c>
      <c r="AF54" s="10">
        <f t="shared" si="16"/>
        <v>5.2258681140599866E-2</v>
      </c>
      <c r="AG54" s="10">
        <f>COUNT(AC42:AC44)</f>
        <v>3</v>
      </c>
      <c r="AH54" s="10">
        <f t="shared" si="17"/>
        <v>1.7299860071727562E-2</v>
      </c>
    </row>
    <row r="55" spans="20:34" x14ac:dyDescent="0.25">
      <c r="T55" s="4" t="s">
        <v>196</v>
      </c>
      <c r="U55" s="8" t="s">
        <v>178</v>
      </c>
      <c r="V55" s="8">
        <v>10</v>
      </c>
      <c r="W55" s="8">
        <v>90</v>
      </c>
      <c r="X55" s="8" t="s">
        <v>75</v>
      </c>
      <c r="Y55" s="10">
        <f>AVERAGE(AD42:AD44)</f>
        <v>0.26376666666666665</v>
      </c>
      <c r="Z55" s="10">
        <f>MEDIAN(AD42:AD44)</f>
        <v>0.28079999999999999</v>
      </c>
      <c r="AA55" s="10">
        <f>STDEV(AD42:AD44)</f>
        <v>3.0198068370896405E-2</v>
      </c>
      <c r="AB55" s="10">
        <f t="shared" si="15"/>
        <v>11.448781133917505</v>
      </c>
      <c r="AC55" s="10">
        <f>VAR(AD42:AD44)</f>
        <v>9.1192333333333384E-4</v>
      </c>
      <c r="AD55" s="10">
        <f>MAX(AD42:AD44)</f>
        <v>0.28160000000000002</v>
      </c>
      <c r="AE55" s="10">
        <f>MIN(AD42:AD44)</f>
        <v>0.22889999999999999</v>
      </c>
      <c r="AF55" s="10">
        <f t="shared" si="16"/>
        <v>5.2700000000000025E-2</v>
      </c>
      <c r="AG55" s="10">
        <f>COUNT(AD42:AD44)</f>
        <v>3</v>
      </c>
      <c r="AH55" s="10">
        <f t="shared" si="17"/>
        <v>1.7434862902943764E-2</v>
      </c>
    </row>
  </sheetData>
  <conditionalFormatting sqref="I2:I31">
    <cfRule type="cellIs" dxfId="31" priority="3" operator="lessThan">
      <formula>$U$12</formula>
    </cfRule>
    <cfRule type="cellIs" dxfId="30" priority="4" operator="lessThan">
      <formula>$V$12</formula>
    </cfRule>
    <cfRule type="cellIs" dxfId="29" priority="15" operator="lessThan">
      <formula>$U$12</formula>
    </cfRule>
    <cfRule type="cellIs" dxfId="28" priority="16" operator="lessThan">
      <formula>$V$12</formula>
    </cfRule>
    <cfRule type="cellIs" dxfId="27" priority="9" operator="lessThan">
      <formula>$U$12</formula>
    </cfRule>
    <cfRule type="cellIs" dxfId="26" priority="10" operator="lessThan">
      <formula>$V$12</formula>
    </cfRule>
  </conditionalFormatting>
  <conditionalFormatting sqref="K2:K31">
    <cfRule type="cellIs" dxfId="25" priority="13" operator="lessThan">
      <formula>$U$13</formula>
    </cfRule>
    <cfRule type="cellIs" dxfId="24" priority="14" operator="lessThan">
      <formula>$V$13</formula>
    </cfRule>
    <cfRule type="cellIs" dxfId="23" priority="17" operator="lessThan">
      <formula>$U$13</formula>
    </cfRule>
    <cfRule type="cellIs" dxfId="22" priority="18" operator="lessThan">
      <formula>$V$13</formula>
    </cfRule>
  </conditionalFormatting>
  <conditionalFormatting sqref="K11:K12">
    <cfRule type="cellIs" dxfId="21" priority="1" operator="lessThan">
      <formula>$U$13</formula>
    </cfRule>
    <cfRule type="cellIs" dxfId="20" priority="2" operator="lessThan">
      <formula>$V$13</formula>
    </cfRule>
  </conditionalFormatting>
  <conditionalFormatting sqref="L2:L31">
    <cfRule type="cellIs" dxfId="19" priority="19" operator="lessThan">
      <formula>$U$14</formula>
    </cfRule>
    <cfRule type="cellIs" dxfId="18" priority="20" operator="lessThan">
      <formula>$V$14</formula>
    </cfRule>
  </conditionalFormatting>
  <conditionalFormatting sqref="L11:L12">
    <cfRule type="cellIs" dxfId="17" priority="5" operator="lessThan">
      <formula>$U$14</formula>
    </cfRule>
    <cfRule type="cellIs" dxfId="16" priority="6" operator="lessThan">
      <formula>$V$14</formula>
    </cfRule>
  </conditionalFormatting>
  <conditionalFormatting sqref="T48">
    <cfRule type="cellIs" dxfId="15" priority="57" operator="lessThan">
      <formula>$U$13</formula>
    </cfRule>
    <cfRule type="cellIs" dxfId="14" priority="58" operator="lessThan">
      <formula>$V$13</formula>
    </cfRule>
  </conditionalFormatting>
  <conditionalFormatting sqref="T49">
    <cfRule type="cellIs" dxfId="13" priority="55" operator="lessThan">
      <formula>$U$14</formula>
    </cfRule>
    <cfRule type="cellIs" dxfId="12" priority="56" operator="lessThan">
      <formula>$V$14</formula>
    </cfRule>
  </conditionalFormatting>
  <conditionalFormatting sqref="T51">
    <cfRule type="cellIs" dxfId="11" priority="53" operator="lessThan">
      <formula>$U$13</formula>
    </cfRule>
    <cfRule type="cellIs" dxfId="10" priority="54" operator="lessThan">
      <formula>$V$13</formula>
    </cfRule>
  </conditionalFormatting>
  <conditionalFormatting sqref="T52">
    <cfRule type="cellIs" dxfId="9" priority="51" operator="lessThan">
      <formula>$U$14</formula>
    </cfRule>
    <cfRule type="cellIs" dxfId="8" priority="52" operator="lessThan">
      <formula>$V$14</formula>
    </cfRule>
  </conditionalFormatting>
  <conditionalFormatting sqref="T54">
    <cfRule type="cellIs" dxfId="7" priority="49" operator="lessThan">
      <formula>$U$13</formula>
    </cfRule>
    <cfRule type="cellIs" dxfId="6" priority="50" operator="lessThan">
      <formula>$V$13</formula>
    </cfRule>
  </conditionalFormatting>
  <conditionalFormatting sqref="T55">
    <cfRule type="cellIs" dxfId="5" priority="47" operator="lessThan">
      <formula>$U$14</formula>
    </cfRule>
    <cfRule type="cellIs" dxfId="4" priority="48" operator="lessThan">
      <formula>$V$14</formula>
    </cfRule>
  </conditionalFormatting>
  <conditionalFormatting sqref="AC35">
    <cfRule type="cellIs" dxfId="3" priority="59" operator="lessThan">
      <formula>$U$13</formula>
    </cfRule>
    <cfRule type="cellIs" dxfId="2" priority="60" operator="lessThan">
      <formula>$V$13</formula>
    </cfRule>
  </conditionalFormatting>
  <conditionalFormatting sqref="AD35">
    <cfRule type="cellIs" dxfId="1" priority="61" operator="lessThan">
      <formula>$U$14</formula>
    </cfRule>
    <cfRule type="cellIs" dxfId="0" priority="62" operator="lessThan">
      <formula>$V$14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7" ma:contentTypeDescription="Create a new document." ma:contentTypeScope="" ma:versionID="7010c0a6269079e21613b7d96089c7ae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7ec94fa1e5f2936bee832cd056caf156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17A07-87C5-4B82-A532-5CCFB3B9F2DF}">
  <ds:schemaRefs>
    <ds:schemaRef ds:uri="fdb7c1ac-29a4-4544-9ce2-fbe0ce024e61"/>
    <ds:schemaRef ds:uri="http://www.w3.org/XML/1998/namespace"/>
    <ds:schemaRef ds:uri="http://purl.org/dc/elements/1.1/"/>
    <ds:schemaRef ds:uri="http://schemas.microsoft.com/office/2006/documentManagement/types"/>
    <ds:schemaRef ds:uri="b9494818-4157-4856-becf-245aaf201f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F62E27-3307-4364-8032-BD7DAF98B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DA6F7-5464-48F4-A91B-6EB855B0A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calibration</vt:lpstr>
      <vt:lpstr>IC_171123_F</vt:lpstr>
      <vt:lpstr>IC_171123_Cl</vt:lpstr>
      <vt:lpstr>IC_171123_Nitrite</vt:lpstr>
      <vt:lpstr>IC_171123_Br</vt:lpstr>
      <vt:lpstr>IC_171123_Nitrate</vt:lpstr>
      <vt:lpstr>IC_171123_PO4</vt:lpstr>
      <vt:lpstr>IC_171123_SO4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2023-12-03T15:24:57Z</dcterms:created>
  <dcterms:modified xsi:type="dcterms:W3CDTF">2024-01-19T19:56:33Z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