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/"/>
    </mc:Choice>
  </mc:AlternateContent>
  <xr:revisionPtr revIDLastSave="17" documentId="8_{F18CB0BD-D1E7-4EC7-8F0F-45ACF79D9235}" xr6:coauthVersionLast="47" xr6:coauthVersionMax="47" xr10:uidLastSave="{53AF01B0-613F-4252-AF56-712EFA2B0D06}"/>
  <bookViews>
    <workbookView xWindow="14595" yWindow="2115" windowWidth="14355" windowHeight="11385" firstSheet="2" activeTab="4" xr2:uid="{756351D9-AD74-40E8-8DCA-70EF970528E2}"/>
  </bookViews>
  <sheets>
    <sheet name="calibration" sheetId="8" r:id="rId1"/>
    <sheet name="IC_201123_Cl" sheetId="2" r:id="rId2"/>
    <sheet name="IC_201123_Nitrite" sheetId="3" r:id="rId3"/>
    <sheet name="IC_201123_Nitrate" sheetId="5" r:id="rId4"/>
    <sheet name="IC_201123_SO4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7" l="1"/>
  <c r="AA17" i="7"/>
  <c r="Z17" i="7"/>
  <c r="AB17" i="7" s="1"/>
  <c r="Y17" i="7"/>
  <c r="W17" i="7"/>
  <c r="AD17" i="7" s="1"/>
  <c r="V17" i="7"/>
  <c r="U17" i="7"/>
  <c r="AC17" i="5"/>
  <c r="AA17" i="5"/>
  <c r="Z17" i="5"/>
  <c r="AB17" i="5" s="1"/>
  <c r="Y17" i="5"/>
  <c r="W17" i="5"/>
  <c r="AD17" i="5" s="1"/>
  <c r="V17" i="5"/>
  <c r="U17" i="5"/>
  <c r="AC17" i="3"/>
  <c r="AA17" i="3"/>
  <c r="Z17" i="3"/>
  <c r="AB17" i="3" s="1"/>
  <c r="Y17" i="3"/>
  <c r="W17" i="3"/>
  <c r="AD17" i="3" s="1"/>
  <c r="V17" i="3"/>
  <c r="U17" i="3"/>
  <c r="O19" i="2"/>
  <c r="X17" i="7" l="1"/>
  <c r="X17" i="5"/>
  <c r="X17" i="3"/>
  <c r="O33" i="7" l="1"/>
  <c r="X32" i="7"/>
  <c r="U32" i="7"/>
  <c r="O32" i="7"/>
  <c r="O31" i="7"/>
  <c r="O30" i="7"/>
  <c r="O29" i="7"/>
  <c r="Y28" i="7"/>
  <c r="O28" i="7"/>
  <c r="Y27" i="7"/>
  <c r="V27" i="7"/>
  <c r="O27" i="7"/>
  <c r="AC23" i="7"/>
  <c r="AA23" i="7"/>
  <c r="Z23" i="7"/>
  <c r="Y23" i="7"/>
  <c r="W23" i="7"/>
  <c r="AD23" i="7" s="1"/>
  <c r="V23" i="7"/>
  <c r="U23" i="7"/>
  <c r="AC21" i="7"/>
  <c r="AA21" i="7"/>
  <c r="Z21" i="7"/>
  <c r="AB21" i="7" s="1"/>
  <c r="Y21" i="7"/>
  <c r="W21" i="7"/>
  <c r="V21" i="7"/>
  <c r="U21" i="7"/>
  <c r="O21" i="7"/>
  <c r="AC20" i="7"/>
  <c r="AA20" i="7"/>
  <c r="Z20" i="7"/>
  <c r="Y20" i="7"/>
  <c r="W20" i="7"/>
  <c r="V20" i="7"/>
  <c r="U20" i="7"/>
  <c r="Z32" i="7" s="1"/>
  <c r="O20" i="7"/>
  <c r="O19" i="7"/>
  <c r="AD18" i="7"/>
  <c r="AC18" i="7"/>
  <c r="AA18" i="7"/>
  <c r="Z18" i="7"/>
  <c r="AB18" i="7" s="1"/>
  <c r="Y18" i="7"/>
  <c r="W18" i="7"/>
  <c r="V18" i="7"/>
  <c r="U18" i="7"/>
  <c r="X18" i="7" s="1"/>
  <c r="O18" i="7"/>
  <c r="O17" i="7"/>
  <c r="O16" i="7"/>
  <c r="O15" i="7"/>
  <c r="V14" i="7"/>
  <c r="U14" i="7"/>
  <c r="O14" i="7"/>
  <c r="O13" i="7"/>
  <c r="V12" i="7"/>
  <c r="U12" i="7"/>
  <c r="O12" i="7"/>
  <c r="O11" i="7"/>
  <c r="O10" i="7"/>
  <c r="AA7" i="7"/>
  <c r="Z7" i="7"/>
  <c r="Y7" i="7"/>
  <c r="X7" i="7"/>
  <c r="W7" i="7"/>
  <c r="V7" i="7"/>
  <c r="U7" i="7"/>
  <c r="T7" i="7"/>
  <c r="AA6" i="7"/>
  <c r="Z6" i="7"/>
  <c r="Y6" i="7"/>
  <c r="X6" i="7"/>
  <c r="W6" i="7"/>
  <c r="V6" i="7"/>
  <c r="U6" i="7"/>
  <c r="T6" i="7"/>
  <c r="AA5" i="7"/>
  <c r="Z5" i="7"/>
  <c r="Y5" i="7"/>
  <c r="X5" i="7"/>
  <c r="W5" i="7"/>
  <c r="V5" i="7"/>
  <c r="U5" i="7"/>
  <c r="T5" i="7"/>
  <c r="AA4" i="7"/>
  <c r="Z4" i="7"/>
  <c r="Y4" i="7"/>
  <c r="X4" i="7"/>
  <c r="W4" i="7"/>
  <c r="V4" i="7"/>
  <c r="U4" i="7"/>
  <c r="T4" i="7"/>
  <c r="AG3" i="7" a="1"/>
  <c r="AA3" i="7"/>
  <c r="Z3" i="7"/>
  <c r="Y3" i="7"/>
  <c r="X3" i="7"/>
  <c r="W3" i="7"/>
  <c r="V3" i="7"/>
  <c r="U3" i="7"/>
  <c r="T3" i="7"/>
  <c r="AA2" i="7"/>
  <c r="Z2" i="7"/>
  <c r="Y2" i="7"/>
  <c r="X2" i="7"/>
  <c r="W2" i="7"/>
  <c r="V2" i="7"/>
  <c r="U2" i="7"/>
  <c r="T2" i="7"/>
  <c r="AA1" i="7"/>
  <c r="Z1" i="7"/>
  <c r="Y1" i="7"/>
  <c r="X1" i="7"/>
  <c r="W1" i="7"/>
  <c r="V1" i="7"/>
  <c r="U1" i="7"/>
  <c r="T1" i="7"/>
  <c r="O19" i="5"/>
  <c r="K8" i="5"/>
  <c r="O33" i="5"/>
  <c r="X32" i="5"/>
  <c r="U32" i="5"/>
  <c r="O32" i="5"/>
  <c r="O31" i="5"/>
  <c r="O30" i="5"/>
  <c r="O29" i="5"/>
  <c r="Y28" i="5"/>
  <c r="O28" i="5"/>
  <c r="Y27" i="5"/>
  <c r="V27" i="5"/>
  <c r="Z27" i="5" s="1"/>
  <c r="O27" i="5"/>
  <c r="AC23" i="5"/>
  <c r="AA23" i="5"/>
  <c r="Z23" i="5"/>
  <c r="Y23" i="5"/>
  <c r="W23" i="5"/>
  <c r="V23" i="5"/>
  <c r="U23" i="5"/>
  <c r="AC21" i="5"/>
  <c r="AA21" i="5"/>
  <c r="Z21" i="5"/>
  <c r="AB21" i="5" s="1"/>
  <c r="Y21" i="5"/>
  <c r="W21" i="5"/>
  <c r="AD21" i="5" s="1"/>
  <c r="V21" i="5"/>
  <c r="U21" i="5"/>
  <c r="O21" i="5"/>
  <c r="AC20" i="5"/>
  <c r="AA20" i="5"/>
  <c r="AB20" i="5" s="1"/>
  <c r="Z20" i="5"/>
  <c r="Y20" i="5"/>
  <c r="W20" i="5"/>
  <c r="AD20" i="5" s="1"/>
  <c r="V20" i="5"/>
  <c r="U20" i="5"/>
  <c r="V28" i="5" s="1"/>
  <c r="Z28" i="5" s="1"/>
  <c r="O20" i="5"/>
  <c r="AC18" i="5"/>
  <c r="AA18" i="5"/>
  <c r="Z18" i="5"/>
  <c r="Y18" i="5"/>
  <c r="W18" i="5"/>
  <c r="X18" i="5" s="1"/>
  <c r="V18" i="5"/>
  <c r="U18" i="5"/>
  <c r="V32" i="5" s="1"/>
  <c r="O18" i="5"/>
  <c r="O17" i="5"/>
  <c r="O16" i="5"/>
  <c r="O15" i="5"/>
  <c r="V14" i="5"/>
  <c r="U14" i="5"/>
  <c r="O14" i="5"/>
  <c r="O13" i="5"/>
  <c r="V12" i="5"/>
  <c r="U12" i="5"/>
  <c r="O12" i="5"/>
  <c r="O11" i="5"/>
  <c r="O10" i="5"/>
  <c r="AA7" i="5"/>
  <c r="Z7" i="5"/>
  <c r="Y7" i="5"/>
  <c r="X7" i="5"/>
  <c r="W7" i="5"/>
  <c r="V7" i="5"/>
  <c r="U7" i="5"/>
  <c r="T7" i="5"/>
  <c r="AA6" i="5"/>
  <c r="Z6" i="5"/>
  <c r="Y6" i="5"/>
  <c r="X6" i="5"/>
  <c r="W6" i="5"/>
  <c r="V6" i="5"/>
  <c r="U6" i="5"/>
  <c r="T6" i="5"/>
  <c r="AA5" i="5"/>
  <c r="Z5" i="5"/>
  <c r="Y5" i="5"/>
  <c r="X5" i="5"/>
  <c r="W5" i="5"/>
  <c r="V5" i="5"/>
  <c r="U5" i="5"/>
  <c r="T5" i="5"/>
  <c r="AA4" i="5"/>
  <c r="Z4" i="5"/>
  <c r="Y4" i="5"/>
  <c r="X4" i="5"/>
  <c r="W4" i="5"/>
  <c r="V4" i="5"/>
  <c r="U4" i="5"/>
  <c r="T4" i="5"/>
  <c r="AA3" i="5"/>
  <c r="Z3" i="5"/>
  <c r="Y3" i="5"/>
  <c r="X3" i="5"/>
  <c r="W3" i="5"/>
  <c r="V3" i="5"/>
  <c r="U3" i="5"/>
  <c r="T3" i="5"/>
  <c r="AA2" i="5"/>
  <c r="Z2" i="5"/>
  <c r="Y2" i="5"/>
  <c r="X2" i="5"/>
  <c r="W2" i="5"/>
  <c r="V2" i="5"/>
  <c r="U2" i="5"/>
  <c r="T2" i="5"/>
  <c r="AA1" i="5"/>
  <c r="Z1" i="5"/>
  <c r="Y1" i="5"/>
  <c r="X1" i="5"/>
  <c r="W1" i="5"/>
  <c r="V1" i="5"/>
  <c r="U1" i="5"/>
  <c r="T1" i="5"/>
  <c r="U12" i="3"/>
  <c r="O33" i="3"/>
  <c r="X32" i="3"/>
  <c r="U32" i="3"/>
  <c r="O32" i="3"/>
  <c r="O31" i="3"/>
  <c r="O30" i="3"/>
  <c r="O29" i="3"/>
  <c r="Y28" i="3"/>
  <c r="O28" i="3"/>
  <c r="Y27" i="3"/>
  <c r="V27" i="3"/>
  <c r="O27" i="3"/>
  <c r="AC23" i="3"/>
  <c r="AA23" i="3"/>
  <c r="Z23" i="3"/>
  <c r="AB23" i="3" s="1"/>
  <c r="Y23" i="3"/>
  <c r="W23" i="3"/>
  <c r="V23" i="3"/>
  <c r="U23" i="3"/>
  <c r="AC21" i="3"/>
  <c r="AA21" i="3"/>
  <c r="Z21" i="3"/>
  <c r="AB21" i="3" s="1"/>
  <c r="Y21" i="3"/>
  <c r="W21" i="3"/>
  <c r="AD21" i="3" s="1"/>
  <c r="V21" i="3"/>
  <c r="U21" i="3"/>
  <c r="O21" i="3"/>
  <c r="AC20" i="3"/>
  <c r="AA20" i="3"/>
  <c r="Z20" i="3"/>
  <c r="AB20" i="3" s="1"/>
  <c r="Y20" i="3"/>
  <c r="W20" i="3"/>
  <c r="V20" i="3"/>
  <c r="U20" i="3"/>
  <c r="Z32" i="3" s="1"/>
  <c r="O20" i="3"/>
  <c r="O19" i="3"/>
  <c r="AC18" i="3"/>
  <c r="AA18" i="3"/>
  <c r="AB18" i="3" s="1"/>
  <c r="Z18" i="3"/>
  <c r="Y18" i="3"/>
  <c r="W18" i="3"/>
  <c r="AD18" i="3" s="1"/>
  <c r="V18" i="3"/>
  <c r="U18" i="3"/>
  <c r="V32" i="3" s="1"/>
  <c r="O18" i="3"/>
  <c r="O17" i="3"/>
  <c r="O16" i="3"/>
  <c r="O15" i="3"/>
  <c r="V14" i="3"/>
  <c r="U14" i="3"/>
  <c r="O14" i="3"/>
  <c r="O13" i="3"/>
  <c r="V12" i="3"/>
  <c r="O12" i="3"/>
  <c r="O11" i="3"/>
  <c r="O10" i="3"/>
  <c r="AA7" i="3"/>
  <c r="Z7" i="3"/>
  <c r="Y7" i="3"/>
  <c r="X7" i="3"/>
  <c r="W7" i="3"/>
  <c r="V7" i="3"/>
  <c r="U7" i="3"/>
  <c r="T7" i="3"/>
  <c r="AA6" i="3"/>
  <c r="Z6" i="3"/>
  <c r="Y6" i="3"/>
  <c r="X6" i="3"/>
  <c r="W6" i="3"/>
  <c r="V6" i="3"/>
  <c r="U6" i="3"/>
  <c r="T6" i="3"/>
  <c r="AA5" i="3"/>
  <c r="Z5" i="3"/>
  <c r="Y5" i="3"/>
  <c r="X5" i="3"/>
  <c r="W5" i="3"/>
  <c r="V5" i="3"/>
  <c r="U5" i="3"/>
  <c r="T5" i="3"/>
  <c r="AA4" i="3"/>
  <c r="Z4" i="3"/>
  <c r="Y4" i="3"/>
  <c r="X4" i="3"/>
  <c r="W4" i="3"/>
  <c r="V4" i="3"/>
  <c r="U4" i="3"/>
  <c r="T4" i="3"/>
  <c r="AA3" i="3"/>
  <c r="Z3" i="3"/>
  <c r="Y3" i="3"/>
  <c r="X3" i="3"/>
  <c r="W3" i="3"/>
  <c r="V3" i="3"/>
  <c r="U3" i="3"/>
  <c r="T3" i="3"/>
  <c r="AA2" i="3"/>
  <c r="Z2" i="3"/>
  <c r="Y2" i="3"/>
  <c r="X2" i="3"/>
  <c r="W2" i="3"/>
  <c r="V2" i="3"/>
  <c r="U2" i="3"/>
  <c r="T2" i="3"/>
  <c r="AA1" i="3"/>
  <c r="Z1" i="3"/>
  <c r="Y1" i="3"/>
  <c r="X1" i="3"/>
  <c r="W1" i="3"/>
  <c r="V1" i="3"/>
  <c r="U1" i="3"/>
  <c r="T1" i="3"/>
  <c r="U12" i="2"/>
  <c r="AC21" i="2"/>
  <c r="AA21" i="2"/>
  <c r="Z21" i="2"/>
  <c r="Y21" i="2"/>
  <c r="W21" i="2"/>
  <c r="V21" i="2"/>
  <c r="U21" i="2"/>
  <c r="AC20" i="2"/>
  <c r="AA20" i="2"/>
  <c r="Z20" i="2"/>
  <c r="Y20" i="2"/>
  <c r="W20" i="2"/>
  <c r="V20" i="2"/>
  <c r="U20" i="2"/>
  <c r="AC18" i="2"/>
  <c r="AA18" i="2"/>
  <c r="Z18" i="2"/>
  <c r="Y18" i="2"/>
  <c r="W18" i="2"/>
  <c r="V18" i="2"/>
  <c r="U18" i="2"/>
  <c r="AC17" i="2"/>
  <c r="AA17" i="2"/>
  <c r="Z17" i="2"/>
  <c r="Y17" i="2"/>
  <c r="W17" i="2"/>
  <c r="V17" i="2"/>
  <c r="U17" i="2"/>
  <c r="AC23" i="2"/>
  <c r="AA23" i="2"/>
  <c r="Z23" i="2"/>
  <c r="Y23" i="2"/>
  <c r="W23" i="2"/>
  <c r="V23" i="2"/>
  <c r="V14" i="2"/>
  <c r="U23" i="2"/>
  <c r="U14" i="2"/>
  <c r="V12" i="2"/>
  <c r="O33" i="2"/>
  <c r="O32" i="2"/>
  <c r="O31" i="2"/>
  <c r="O30" i="2"/>
  <c r="O29" i="2"/>
  <c r="O28" i="2"/>
  <c r="O27" i="2"/>
  <c r="AB23" i="7" l="1"/>
  <c r="AD21" i="7"/>
  <c r="X23" i="7"/>
  <c r="AD20" i="7"/>
  <c r="Z27" i="7"/>
  <c r="AB20" i="7"/>
  <c r="AC32" i="7"/>
  <c r="V32" i="7"/>
  <c r="AA32" i="7" s="1"/>
  <c r="AG3" i="7"/>
  <c r="K35" i="7" s="1"/>
  <c r="K11" i="7"/>
  <c r="N11" i="7" s="1"/>
  <c r="V28" i="7"/>
  <c r="Z28" i="7" s="1"/>
  <c r="K18" i="7"/>
  <c r="N18" i="7" s="1"/>
  <c r="K3" i="7"/>
  <c r="X20" i="7"/>
  <c r="K5" i="7"/>
  <c r="K7" i="7"/>
  <c r="X21" i="7"/>
  <c r="AB23" i="5"/>
  <c r="AG3" i="5" a="1"/>
  <c r="AG3" i="5" s="1"/>
  <c r="Z32" i="5"/>
  <c r="AC32" i="5" s="1"/>
  <c r="AD23" i="5"/>
  <c r="X20" i="5"/>
  <c r="AD18" i="5"/>
  <c r="AB18" i="5"/>
  <c r="AA32" i="5"/>
  <c r="X23" i="5"/>
  <c r="X21" i="5"/>
  <c r="Z27" i="3"/>
  <c r="AG3" i="3" a="1"/>
  <c r="AG3" i="3" s="1"/>
  <c r="AD23" i="3"/>
  <c r="AD20" i="3"/>
  <c r="X21" i="3"/>
  <c r="X18" i="3"/>
  <c r="AA32" i="3"/>
  <c r="K12" i="3"/>
  <c r="N12" i="3" s="1"/>
  <c r="K13" i="3"/>
  <c r="N13" i="3" s="1"/>
  <c r="K30" i="3"/>
  <c r="N30" i="3" s="1"/>
  <c r="K27" i="3"/>
  <c r="N27" i="3" s="1"/>
  <c r="AC32" i="3"/>
  <c r="V28" i="3"/>
  <c r="Z28" i="3" s="1"/>
  <c r="X23" i="3"/>
  <c r="X20" i="3"/>
  <c r="V32" i="2"/>
  <c r="U32" i="2"/>
  <c r="AD21" i="2"/>
  <c r="AB18" i="2"/>
  <c r="AB21" i="2"/>
  <c r="K31" i="7" l="1"/>
  <c r="N31" i="7" s="1"/>
  <c r="K24" i="7"/>
  <c r="K14" i="7"/>
  <c r="N14" i="7" s="1"/>
  <c r="K29" i="7"/>
  <c r="N29" i="7" s="1"/>
  <c r="K25" i="7"/>
  <c r="K20" i="7"/>
  <c r="N20" i="7" s="1"/>
  <c r="K27" i="7"/>
  <c r="N27" i="7" s="1"/>
  <c r="K21" i="7"/>
  <c r="N21" i="7" s="1"/>
  <c r="K9" i="7"/>
  <c r="Y19" i="7" s="1"/>
  <c r="K8" i="7"/>
  <c r="Z22" i="7" s="1"/>
  <c r="K23" i="7"/>
  <c r="K16" i="7"/>
  <c r="N16" i="7" s="1"/>
  <c r="K33" i="7"/>
  <c r="N33" i="7" s="1"/>
  <c r="K6" i="7"/>
  <c r="K34" i="7"/>
  <c r="K19" i="7"/>
  <c r="N19" i="7" s="1"/>
  <c r="K12" i="7"/>
  <c r="N12" i="7" s="1"/>
  <c r="K32" i="7"/>
  <c r="N32" i="7" s="1"/>
  <c r="K4" i="7"/>
  <c r="K17" i="7"/>
  <c r="N17" i="7" s="1"/>
  <c r="K26" i="7"/>
  <c r="K10" i="7"/>
  <c r="N10" i="7" s="1"/>
  <c r="K13" i="7"/>
  <c r="N13" i="7" s="1"/>
  <c r="K28" i="7"/>
  <c r="N28" i="7" s="1"/>
  <c r="K30" i="7"/>
  <c r="N30" i="7" s="1"/>
  <c r="K15" i="7"/>
  <c r="N15" i="7" s="1"/>
  <c r="K22" i="7"/>
  <c r="V22" i="7"/>
  <c r="AC19" i="7"/>
  <c r="W19" i="7"/>
  <c r="U27" i="7"/>
  <c r="AA27" i="7" s="1"/>
  <c r="W32" i="7"/>
  <c r="K23" i="5"/>
  <c r="Z19" i="5" s="1"/>
  <c r="K15" i="5"/>
  <c r="N15" i="5" s="1"/>
  <c r="K27" i="5"/>
  <c r="N27" i="5" s="1"/>
  <c r="K31" i="5"/>
  <c r="N31" i="5" s="1"/>
  <c r="K33" i="5"/>
  <c r="N33" i="5" s="1"/>
  <c r="K13" i="5"/>
  <c r="N13" i="5" s="1"/>
  <c r="K34" i="5"/>
  <c r="K11" i="5"/>
  <c r="N11" i="5" s="1"/>
  <c r="K14" i="5"/>
  <c r="N14" i="5" s="1"/>
  <c r="K32" i="5"/>
  <c r="N32" i="5" s="1"/>
  <c r="K6" i="5"/>
  <c r="K17" i="5"/>
  <c r="N17" i="5" s="1"/>
  <c r="K18" i="5"/>
  <c r="N18" i="5" s="1"/>
  <c r="K5" i="5"/>
  <c r="K4" i="5"/>
  <c r="K16" i="5"/>
  <c r="N16" i="5" s="1"/>
  <c r="K22" i="5"/>
  <c r="K28" i="5"/>
  <c r="N28" i="5" s="1"/>
  <c r="K21" i="5"/>
  <c r="N21" i="5" s="1"/>
  <c r="K29" i="5"/>
  <c r="N29" i="5" s="1"/>
  <c r="K19" i="5"/>
  <c r="N19" i="5" s="1"/>
  <c r="K9" i="5"/>
  <c r="U19" i="5" s="1"/>
  <c r="K20" i="5"/>
  <c r="N20" i="5" s="1"/>
  <c r="K25" i="5"/>
  <c r="K30" i="5"/>
  <c r="N30" i="5" s="1"/>
  <c r="K12" i="5"/>
  <c r="N12" i="5" s="1"/>
  <c r="K10" i="5"/>
  <c r="N10" i="5" s="1"/>
  <c r="K26" i="5"/>
  <c r="K24" i="5"/>
  <c r="K35" i="5"/>
  <c r="AA22" i="5" s="1"/>
  <c r="U27" i="5"/>
  <c r="AA27" i="5" s="1"/>
  <c r="W32" i="5"/>
  <c r="K7" i="5"/>
  <c r="AA19" i="5"/>
  <c r="V19" i="5"/>
  <c r="K3" i="5"/>
  <c r="K35" i="3"/>
  <c r="K19" i="3"/>
  <c r="N19" i="3" s="1"/>
  <c r="K3" i="3"/>
  <c r="K34" i="3"/>
  <c r="K8" i="3"/>
  <c r="K32" i="3"/>
  <c r="N32" i="3" s="1"/>
  <c r="K20" i="3"/>
  <c r="N20" i="3" s="1"/>
  <c r="K5" i="3"/>
  <c r="W32" i="3" s="1"/>
  <c r="K22" i="3"/>
  <c r="V13" i="3" s="1"/>
  <c r="K11" i="3"/>
  <c r="N11" i="3" s="1"/>
  <c r="K21" i="3"/>
  <c r="N21" i="3" s="1"/>
  <c r="K7" i="3"/>
  <c r="K15" i="3"/>
  <c r="N15" i="3" s="1"/>
  <c r="K4" i="3"/>
  <c r="K28" i="3"/>
  <c r="N28" i="3" s="1"/>
  <c r="K14" i="3"/>
  <c r="N14" i="3" s="1"/>
  <c r="K29" i="3"/>
  <c r="N29" i="3" s="1"/>
  <c r="K24" i="3"/>
  <c r="K17" i="3"/>
  <c r="N17" i="3" s="1"/>
  <c r="K6" i="3"/>
  <c r="K10" i="3"/>
  <c r="N10" i="3" s="1"/>
  <c r="K18" i="3"/>
  <c r="N18" i="3" s="1"/>
  <c r="K31" i="3"/>
  <c r="N31" i="3" s="1"/>
  <c r="Y22" i="3"/>
  <c r="U22" i="3"/>
  <c r="K23" i="3"/>
  <c r="K26" i="3"/>
  <c r="K9" i="3"/>
  <c r="K16" i="3"/>
  <c r="N16" i="3" s="1"/>
  <c r="K33" i="3"/>
  <c r="N33" i="3" s="1"/>
  <c r="K25" i="3"/>
  <c r="AA32" i="2"/>
  <c r="AB17" i="2"/>
  <c r="AD18" i="2"/>
  <c r="AD17" i="2"/>
  <c r="X17" i="2"/>
  <c r="X21" i="2"/>
  <c r="X18" i="2"/>
  <c r="W22" i="7" l="1"/>
  <c r="AC22" i="7"/>
  <c r="Y22" i="7"/>
  <c r="Z19" i="7"/>
  <c r="AB19" i="7" s="1"/>
  <c r="U22" i="7"/>
  <c r="U19" i="7"/>
  <c r="AA19" i="7"/>
  <c r="AA22" i="7"/>
  <c r="AB22" i="7" s="1"/>
  <c r="U13" i="7"/>
  <c r="V19" i="7"/>
  <c r="V13" i="7"/>
  <c r="U28" i="7"/>
  <c r="AA28" i="7" s="1"/>
  <c r="Y32" i="7"/>
  <c r="AB32" i="7"/>
  <c r="AD19" i="7"/>
  <c r="X19" i="7"/>
  <c r="V22" i="5"/>
  <c r="AC22" i="5"/>
  <c r="W19" i="5"/>
  <c r="AD19" i="5" s="1"/>
  <c r="Y22" i="5"/>
  <c r="Y19" i="5"/>
  <c r="V13" i="5"/>
  <c r="Z22" i="5"/>
  <c r="AB22" i="5" s="1"/>
  <c r="AC19" i="5"/>
  <c r="W22" i="5"/>
  <c r="AD22" i="5" s="1"/>
  <c r="U13" i="5"/>
  <c r="U22" i="5"/>
  <c r="X19" i="5"/>
  <c r="AB19" i="5"/>
  <c r="U28" i="5"/>
  <c r="AA28" i="5" s="1"/>
  <c r="Y32" i="5"/>
  <c r="AB32" i="5" s="1"/>
  <c r="Z22" i="3"/>
  <c r="W22" i="3"/>
  <c r="U27" i="3"/>
  <c r="AA27" i="3" s="1"/>
  <c r="U13" i="3"/>
  <c r="AA22" i="3"/>
  <c r="V22" i="3"/>
  <c r="AC22" i="3"/>
  <c r="X22" i="3"/>
  <c r="AA19" i="3"/>
  <c r="U19" i="3"/>
  <c r="Z19" i="3"/>
  <c r="Y19" i="3"/>
  <c r="AC19" i="3"/>
  <c r="W19" i="3"/>
  <c r="V19" i="3"/>
  <c r="AD22" i="7" l="1"/>
  <c r="X22" i="7"/>
  <c r="X22" i="5"/>
  <c r="AD22" i="3"/>
  <c r="AB22" i="3"/>
  <c r="U28" i="3"/>
  <c r="AA28" i="3" s="1"/>
  <c r="Y32" i="3"/>
  <c r="AB32" i="3" s="1"/>
  <c r="AD19" i="3"/>
  <c r="X19" i="3"/>
  <c r="AB19" i="3"/>
  <c r="Y27" i="2" l="1"/>
  <c r="Y28" i="2"/>
  <c r="O10" i="2"/>
  <c r="O11" i="2"/>
  <c r="O12" i="2"/>
  <c r="O13" i="2"/>
  <c r="O14" i="2"/>
  <c r="O15" i="2"/>
  <c r="O16" i="2"/>
  <c r="O17" i="2"/>
  <c r="O18" i="2"/>
  <c r="O20" i="2"/>
  <c r="O21" i="2"/>
  <c r="V1" i="2"/>
  <c r="W1" i="2"/>
  <c r="X1" i="2"/>
  <c r="Y1" i="2"/>
  <c r="Z1" i="2"/>
  <c r="AA1" i="2"/>
  <c r="V2" i="2"/>
  <c r="W2" i="2"/>
  <c r="X2" i="2"/>
  <c r="Y2" i="2"/>
  <c r="Z2" i="2"/>
  <c r="AA2" i="2"/>
  <c r="V3" i="2"/>
  <c r="W3" i="2"/>
  <c r="X3" i="2"/>
  <c r="Y3" i="2"/>
  <c r="Z3" i="2"/>
  <c r="AA3" i="2"/>
  <c r="V4" i="2"/>
  <c r="W4" i="2"/>
  <c r="X4" i="2"/>
  <c r="Y4" i="2"/>
  <c r="Z4" i="2"/>
  <c r="AA4" i="2"/>
  <c r="V5" i="2"/>
  <c r="W5" i="2"/>
  <c r="X5" i="2"/>
  <c r="Y5" i="2"/>
  <c r="Z5" i="2"/>
  <c r="AA5" i="2"/>
  <c r="V6" i="2"/>
  <c r="W6" i="2"/>
  <c r="X6" i="2"/>
  <c r="Y6" i="2"/>
  <c r="Z6" i="2"/>
  <c r="AA6" i="2"/>
  <c r="V7" i="2"/>
  <c r="W7" i="2"/>
  <c r="X7" i="2"/>
  <c r="Y7" i="2"/>
  <c r="Z7" i="2"/>
  <c r="AA7" i="2"/>
  <c r="T1" i="2"/>
  <c r="U1" i="2"/>
  <c r="T2" i="2"/>
  <c r="U2" i="2"/>
  <c r="T3" i="2"/>
  <c r="U3" i="2"/>
  <c r="T4" i="2"/>
  <c r="U4" i="2"/>
  <c r="T5" i="2"/>
  <c r="U5" i="2"/>
  <c r="T6" i="2"/>
  <c r="U6" i="2"/>
  <c r="T7" i="2"/>
  <c r="U7" i="2"/>
  <c r="V27" i="2" l="1"/>
  <c r="Z27" i="2" s="1"/>
  <c r="X32" i="2"/>
  <c r="AG3" i="2" a="1"/>
  <c r="K30" i="2" l="1"/>
  <c r="N30" i="2" s="1"/>
  <c r="K32" i="2"/>
  <c r="N32" i="2" s="1"/>
  <c r="K3" i="2"/>
  <c r="K9" i="2"/>
  <c r="K15" i="2"/>
  <c r="N15" i="2" s="1"/>
  <c r="K5" i="2"/>
  <c r="K17" i="2"/>
  <c r="N17" i="2" s="1"/>
  <c r="K23" i="2"/>
  <c r="K19" i="2"/>
  <c r="K20" i="2"/>
  <c r="N20" i="2" s="1"/>
  <c r="K4" i="2"/>
  <c r="K28" i="2"/>
  <c r="N28" i="2" s="1"/>
  <c r="K34" i="2"/>
  <c r="K11" i="2"/>
  <c r="K2" i="2"/>
  <c r="K7" i="2"/>
  <c r="K25" i="2"/>
  <c r="K26" i="2"/>
  <c r="AG3" i="2"/>
  <c r="K13" i="2" s="1"/>
  <c r="N13" i="2" s="1"/>
  <c r="N19" i="2"/>
  <c r="N11" i="2"/>
  <c r="V28" i="2"/>
  <c r="Z28" i="2" s="1"/>
  <c r="Z32" i="2"/>
  <c r="AC32" i="2" s="1"/>
  <c r="K18" i="2" l="1"/>
  <c r="N18" i="2" s="1"/>
  <c r="K22" i="2"/>
  <c r="K24" i="2"/>
  <c r="K33" i="2"/>
  <c r="N33" i="2" s="1"/>
  <c r="K14" i="2"/>
  <c r="N14" i="2" s="1"/>
  <c r="W19" i="2"/>
  <c r="X19" i="2" s="1"/>
  <c r="V19" i="2"/>
  <c r="AC19" i="2"/>
  <c r="AD19" i="2" s="1"/>
  <c r="U19" i="2"/>
  <c r="AA19" i="2"/>
  <c r="Y19" i="2"/>
  <c r="Z19" i="2"/>
  <c r="K12" i="2"/>
  <c r="N12" i="2" s="1"/>
  <c r="K16" i="2"/>
  <c r="N16" i="2" s="1"/>
  <c r="K6" i="2"/>
  <c r="K27" i="2"/>
  <c r="N27" i="2" s="1"/>
  <c r="K8" i="2"/>
  <c r="K31" i="2"/>
  <c r="N31" i="2" s="1"/>
  <c r="K29" i="2"/>
  <c r="N29" i="2" s="1"/>
  <c r="K10" i="2"/>
  <c r="N10" i="2" s="1"/>
  <c r="K35" i="2"/>
  <c r="K21" i="2"/>
  <c r="N21" i="2" s="1"/>
  <c r="AB19" i="2"/>
  <c r="W32" i="2"/>
  <c r="U27" i="2"/>
  <c r="AA27" i="2" s="1"/>
  <c r="W22" i="2" l="1"/>
  <c r="X22" i="2" s="1"/>
  <c r="V22" i="2"/>
  <c r="AC22" i="2"/>
  <c r="V13" i="2"/>
  <c r="AA22" i="2"/>
  <c r="U22" i="2"/>
  <c r="Z22" i="2"/>
  <c r="AB22" i="2" s="1"/>
  <c r="U13" i="2"/>
  <c r="Y22" i="2"/>
  <c r="Y32" i="2"/>
  <c r="AB32" i="2" s="1"/>
  <c r="U28" i="2"/>
  <c r="AA28" i="2" s="1"/>
  <c r="F8" i="8"/>
  <c r="E8" i="8"/>
  <c r="D8" i="8"/>
  <c r="C8" i="8"/>
  <c r="B8" i="8"/>
  <c r="F7" i="8"/>
  <c r="E7" i="8"/>
  <c r="D7" i="8"/>
  <c r="B7" i="8"/>
  <c r="C7" i="8" s="1"/>
  <c r="F6" i="8"/>
  <c r="E6" i="8"/>
  <c r="D6" i="8"/>
  <c r="B6" i="8"/>
  <c r="C6" i="8" s="1"/>
  <c r="F5" i="8"/>
  <c r="E5" i="8"/>
  <c r="D5" i="8"/>
  <c r="B5" i="8"/>
  <c r="C5" i="8" s="1"/>
  <c r="F4" i="8"/>
  <c r="E4" i="8"/>
  <c r="D4" i="8"/>
  <c r="C4" i="8"/>
  <c r="B4" i="8"/>
  <c r="F3" i="8"/>
  <c r="E3" i="8"/>
  <c r="D3" i="8"/>
  <c r="B3" i="8"/>
  <c r="C3" i="8" s="1"/>
  <c r="F2" i="8"/>
  <c r="E2" i="8"/>
  <c r="D2" i="8"/>
  <c r="B2" i="8"/>
  <c r="C2" i="8" s="1"/>
  <c r="AD22" i="2" l="1"/>
  <c r="AB20" i="2"/>
  <c r="X23" i="2" l="1"/>
  <c r="AD23" i="2"/>
  <c r="AD20" i="2"/>
  <c r="X20" i="2"/>
  <c r="AB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2" authorId="0" shapeId="0" xr:uid="{026E11A8-E5D8-42CD-93B7-9CB6E805BAD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4" authorId="0" shapeId="0" xr:uid="{77B06FCC-9739-42C6-A7C5-C4E38963C70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5" authorId="0" shapeId="0" xr:uid="{04A6ADA5-9ADF-4B55-85DA-3D5F2DFE669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
</t>
        </r>
      </text>
    </comment>
    <comment ref="B8" authorId="0" shapeId="0" xr:uid="{5DA903DF-19FB-4D65-A979-F3815DCF7CC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integration area</t>
        </r>
      </text>
    </comment>
    <comment ref="B9" authorId="0" shapeId="0" xr:uid="{F281C008-BEE0-4FE7-894C-26912B931A7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
</t>
        </r>
      </text>
    </comment>
    <comment ref="U11" authorId="0" shapeId="0" xr:uid="{3B6B1A2F-7B69-43B2-80A3-AFE1B4E47F3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5908C0D0-CF09-42F2-882A-6040DF8D363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2" authorId="0" shapeId="0" xr:uid="{07309C47-8599-440E-A87A-392A1B6460E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B13" authorId="0" shapeId="0" xr:uid="{D141A28F-0C54-45AF-8B62-844EA9ACADC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B15" authorId="0" shapeId="0" xr:uid="{77E534A7-C990-4BCB-897D-D636CF06AA6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B16" authorId="0" shapeId="0" xr:uid="{B54A98D6-AE25-46BA-BDB6-82D3C9C987E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B18" authorId="0" shapeId="0" xr:uid="{AA690BFE-3807-472A-88EB-1C996545F7C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
</t>
        </r>
      </text>
    </comment>
    <comment ref="B21" authorId="0" shapeId="0" xr:uid="{47563E2E-20FD-44A9-AB4F-34A19594D32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
</t>
        </r>
      </text>
    </comment>
    <comment ref="B22" authorId="0" shapeId="0" xr:uid="{418E4EBD-4259-43A2-9719-20476D20A9C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B26" authorId="0" shapeId="0" xr:uid="{15176359-66FE-43EF-BEEB-C881D74C46A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Z26" authorId="0" shapeId="0" xr:uid="{87B1567E-6C37-4FB7-A958-F1CA5A00320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B27" authorId="0" shapeId="0" xr:uid="{8DDB7C5F-01B7-40BF-8DDE-5C62B5BE88B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U28" authorId="0" shapeId="0" xr:uid="{577A53A5-EC22-4298-8AF8-F1978F7E29A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B31" authorId="0" shapeId="0" xr:uid="{18E266D0-20EC-4A3E-81A6-ED208C8DED1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AB31" authorId="0" shapeId="0" xr:uid="{F32CC58E-574D-4557-BFF1-1702E3AB339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BBA28799-470E-4E92-8D01-82D9F2DCDD1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  <comment ref="B35" authorId="0" shapeId="0" xr:uid="{50054256-E4F1-404E-A308-7AE7AE80D2F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2" authorId="0" shapeId="0" xr:uid="{E895040B-9F66-42C1-86EC-B093005A893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4" authorId="0" shapeId="0" xr:uid="{00173D5F-6817-471E-9A0D-A6879DC6CB9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5" authorId="0" shapeId="0" xr:uid="{1A481E48-8CA5-44DF-AE1B-4734D4972A2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
</t>
        </r>
      </text>
    </comment>
    <comment ref="U11" authorId="0" shapeId="0" xr:uid="{F7840D44-FA3D-4785-86D9-19E4E1C04A5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24FBA351-B169-42B2-AC06-B52AFBF93A5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9" authorId="0" shapeId="0" xr:uid="{D379D0EC-470D-40CD-B29C-AA28DCE1B7E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neglegible nitrite peak</t>
        </r>
      </text>
    </comment>
    <comment ref="B22" authorId="0" shapeId="0" xr:uid="{14B88E28-31D4-4DA4-ADC8-3C6CF169116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Overestimatd Peak Area</t>
        </r>
      </text>
    </comment>
    <comment ref="Z26" authorId="0" shapeId="0" xr:uid="{B5ED5637-C708-4D74-89A0-51808A58669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81CBB786-C231-4EAB-B8F3-A95FD7922BBF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9877222C-586D-496B-A6E9-92F7A03786B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76312957-B2EF-4B67-8809-85073EDDF2E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U11" authorId="0" shapeId="0" xr:uid="{49822353-A0C8-45DB-BF9C-705C2137F69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9622D9C3-21FA-4CDC-AFCB-6BC16AC3A51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Z26" authorId="0" shapeId="0" xr:uid="{0D5B3A9B-4F84-4596-9327-A94859FBD78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DA23416C-F7DC-44E4-A91D-A882682ABF4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82D9CFC4-8E0D-4747-9CB9-ADAC5A028F1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3A3CC274-B970-41AF-BDF3-410E755BCD3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8" authorId="0" shapeId="0" xr:uid="{9ECF7471-5E78-4908-89A3-3E445C61F3C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potential sulfate peak</t>
        </r>
      </text>
    </comment>
    <comment ref="U11" authorId="0" shapeId="0" xr:uid="{B6F5E23C-3409-4BAB-BEC2-2F60B504BC2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AE6CC442-6AEA-4E28-B1BB-77F32E0F056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Z26" authorId="0" shapeId="0" xr:uid="{17EF5F6E-BB5D-4489-A02D-0D84389E054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6ADE0D96-E1DA-479A-B4F6-A03BED2CA9F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6992D08A-B11F-420D-9562-4B45E9B253E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1C6BD54E-82A5-487B-80C5-4334FD26FB8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<sst xmlns="http://schemas.openxmlformats.org/spreadsheetml/2006/main" count="907" uniqueCount="167">
  <si>
    <t>x100</t>
  </si>
  <si>
    <t>x50</t>
  </si>
  <si>
    <t>x20</t>
  </si>
  <si>
    <t>x10</t>
  </si>
  <si>
    <t>x5</t>
  </si>
  <si>
    <t>x0</t>
  </si>
  <si>
    <t>Fluoride</t>
  </si>
  <si>
    <t>Chloride</t>
  </si>
  <si>
    <t>Nitrite</t>
  </si>
  <si>
    <t>Bromide</t>
  </si>
  <si>
    <t>Nitrate</t>
  </si>
  <si>
    <t>Phosphate</t>
  </si>
  <si>
    <t>Sulfate</t>
  </si>
  <si>
    <t>sample_no</t>
  </si>
  <si>
    <t>sample_id</t>
  </si>
  <si>
    <t>X</t>
  </si>
  <si>
    <t>Y</t>
  </si>
  <si>
    <t>B_T</t>
  </si>
  <si>
    <t>IC_date</t>
  </si>
  <si>
    <t>V_sample_ml</t>
  </si>
  <si>
    <t>dilution_factor</t>
  </si>
  <si>
    <t>ret_time_min</t>
  </si>
  <si>
    <t>peak_area_usmin</t>
  </si>
  <si>
    <t>IC_notes</t>
  </si>
  <si>
    <t>Cal 1</t>
  </si>
  <si>
    <t>Blank</t>
  </si>
  <si>
    <t>DI Water</t>
  </si>
  <si>
    <t>Cal 2</t>
  </si>
  <si>
    <t>x 100</t>
  </si>
  <si>
    <t>0.1 mL in 10</t>
  </si>
  <si>
    <t>Cal 3</t>
  </si>
  <si>
    <t>x 50</t>
  </si>
  <si>
    <t>0.2 mL in 10</t>
  </si>
  <si>
    <t>Cal 4</t>
  </si>
  <si>
    <t>x 20</t>
  </si>
  <si>
    <t>0.5 mL in 10</t>
  </si>
  <si>
    <t>Cal 5</t>
  </si>
  <si>
    <t>x 10</t>
  </si>
  <si>
    <t>0.5 mL in 5</t>
  </si>
  <si>
    <t>Cal 6</t>
  </si>
  <si>
    <t>x 5</t>
  </si>
  <si>
    <t>1 mL in 5</t>
  </si>
  <si>
    <t xml:space="preserve">Blank </t>
  </si>
  <si>
    <t>Cal Check</t>
  </si>
  <si>
    <t>x20 dil</t>
  </si>
  <si>
    <t>T</t>
  </si>
  <si>
    <t>B</t>
  </si>
  <si>
    <t>c_Cl_ calib_ppm</t>
  </si>
  <si>
    <t>c_Cl_calc_ppm</t>
  </si>
  <si>
    <t>c_Cl_calc_undil_ppm</t>
  </si>
  <si>
    <t>Calibration</t>
  </si>
  <si>
    <t>m</t>
  </si>
  <si>
    <t>c</t>
  </si>
  <si>
    <t xml:space="preserve">m </t>
  </si>
  <si>
    <t>intercept</t>
  </si>
  <si>
    <t>Std error of X</t>
  </si>
  <si>
    <t>Std error of intercept</t>
  </si>
  <si>
    <t>R^2</t>
  </si>
  <si>
    <t>Std error of Y estimate</t>
  </si>
  <si>
    <t>F-statistic</t>
  </si>
  <si>
    <t>Degrees of freedom</t>
  </si>
  <si>
    <t>Regression Sum of Squares</t>
  </si>
  <si>
    <t>Residual sum of Squares</t>
  </si>
  <si>
    <t>LOD &amp; LOQ</t>
  </si>
  <si>
    <t>LOD</t>
  </si>
  <si>
    <t>LOQ</t>
  </si>
  <si>
    <t>Quality Stats</t>
  </si>
  <si>
    <t>Mean</t>
  </si>
  <si>
    <t>Median</t>
  </si>
  <si>
    <t>Stdev</t>
  </si>
  <si>
    <t>RelStdev</t>
  </si>
  <si>
    <t>Var</t>
  </si>
  <si>
    <t>Max</t>
  </si>
  <si>
    <t>Min</t>
  </si>
  <si>
    <t>Range</t>
  </si>
  <si>
    <t>Number</t>
  </si>
  <si>
    <t>Std Error</t>
  </si>
  <si>
    <t>Calc Conc Cal Checks</t>
  </si>
  <si>
    <t>Measure Conc Cal Checks</t>
  </si>
  <si>
    <t>Calc Conc Blanks</t>
  </si>
  <si>
    <t>Measure Conc Blanks</t>
  </si>
  <si>
    <t>Calc Conc</t>
  </si>
  <si>
    <t>Measure Conc</t>
  </si>
  <si>
    <t>Certificate</t>
  </si>
  <si>
    <t>Certificate Uncertainty</t>
  </si>
  <si>
    <t>Certificate Diluted</t>
  </si>
  <si>
    <t>% Accuracy Measure</t>
  </si>
  <si>
    <t>% Accuracy Calc</t>
  </si>
  <si>
    <t>Linear Model of Cl Calibration</t>
  </si>
  <si>
    <t>c_Cl_measure_ppm</t>
  </si>
  <si>
    <t>c_Cl_measure_undil_ppm</t>
  </si>
  <si>
    <t>Calc Conc ppm</t>
  </si>
  <si>
    <t>Measure conc ppm</t>
  </si>
  <si>
    <t>20 Cal Check (Dionex Seven Anion Standard II LOT 43-23AJ)x20</t>
  </si>
  <si>
    <t>Internal accuracy</t>
  </si>
  <si>
    <t>Peak Area Cal Checks</t>
  </si>
  <si>
    <t>Peak Area Blanks</t>
  </si>
  <si>
    <t>Peak Area</t>
  </si>
  <si>
    <t>Peak Area 20 Calib</t>
  </si>
  <si>
    <t>Peak Area 20 Cal Checks</t>
  </si>
  <si>
    <t>Calc Conc 20 Calib</t>
  </si>
  <si>
    <t>Measure Conc 20 Calib</t>
  </si>
  <si>
    <t>Calc Conc 20 Cal Checks</t>
  </si>
  <si>
    <t>Measure Conc 20 Cal Checks</t>
  </si>
  <si>
    <t>% Accuracy Peak</t>
  </si>
  <si>
    <t>Retention time</t>
  </si>
  <si>
    <t>Linear Model of Nitrite Calibration</t>
  </si>
  <si>
    <t>c_Nitrite_ calib_ppm</t>
  </si>
  <si>
    <t>c_Nitrite_calc_ppm</t>
  </si>
  <si>
    <t>c_Nitrite_measure_ppm</t>
  </si>
  <si>
    <t>c_Nitrite_calc_undil_ppm</t>
  </si>
  <si>
    <t>c_Nitrite_measure_undil_ppm</t>
  </si>
  <si>
    <t>NA</t>
  </si>
  <si>
    <t>c_Nitrate_ calib_ppm</t>
  </si>
  <si>
    <t>c_Nitrate_calc_ppm</t>
  </si>
  <si>
    <t>c_Nitrate_measure_ppm</t>
  </si>
  <si>
    <t>c_Nitrate_calc_undil_ppm</t>
  </si>
  <si>
    <t>c_Nitrate_measure_undil_ppm</t>
  </si>
  <si>
    <t>Linear Model of Nitrate Calibration</t>
  </si>
  <si>
    <t>c_Sulfate_ calib_ppm</t>
  </si>
  <si>
    <t>c_Sulfate_calc_ppm</t>
  </si>
  <si>
    <t>c_Sulfate_measure_ppm</t>
  </si>
  <si>
    <t>c_Sulfate_calc_undil_ppm</t>
  </si>
  <si>
    <t>c_Sulfate_measure_undil_ppm</t>
  </si>
  <si>
    <t>Linear Model of Sulfate Calibration</t>
  </si>
  <si>
    <t>20 Cal Std (Dionex Seven Anion Standard II LOT 18-29JKS)x20</t>
  </si>
  <si>
    <t>0 40 T</t>
  </si>
  <si>
    <t>10 0 B</t>
  </si>
  <si>
    <t>10 90 B</t>
  </si>
  <si>
    <t>10 10 T</t>
  </si>
  <si>
    <t>10 80 T</t>
  </si>
  <si>
    <t>10 20 B</t>
  </si>
  <si>
    <t>20 30 T</t>
  </si>
  <si>
    <t>10 30 T</t>
  </si>
  <si>
    <t>10 20 T</t>
  </si>
  <si>
    <t>10 100 T</t>
  </si>
  <si>
    <t>10 80 B</t>
  </si>
  <si>
    <t>20 10 B</t>
  </si>
  <si>
    <t>0 90 B</t>
  </si>
  <si>
    <t>10 40 T</t>
  </si>
  <si>
    <t>10 50 T</t>
  </si>
  <si>
    <t>0 50 B</t>
  </si>
  <si>
    <t>10 60 B</t>
  </si>
  <si>
    <t>10 70 B</t>
  </si>
  <si>
    <t>10 100 B</t>
  </si>
  <si>
    <t>20.11.2023</t>
  </si>
  <si>
    <t>0 40 Top</t>
  </si>
  <si>
    <t>10 0  Bottom</t>
  </si>
  <si>
    <t>10 90 Bottom</t>
  </si>
  <si>
    <t>10 10 Top</t>
  </si>
  <si>
    <t>10 80 Top</t>
  </si>
  <si>
    <t>10 20 Bottom</t>
  </si>
  <si>
    <t>20 30 Top</t>
  </si>
  <si>
    <t>10 30 Top</t>
  </si>
  <si>
    <t>10 20 Top</t>
  </si>
  <si>
    <t>10 100 Top</t>
  </si>
  <si>
    <t>10 80 Bottom</t>
  </si>
  <si>
    <t>20 10 Bottom</t>
  </si>
  <si>
    <t>Disregard, started by accident</t>
  </si>
  <si>
    <t>Disregard, wash column</t>
  </si>
  <si>
    <t>0 90 Bottom</t>
  </si>
  <si>
    <t>10 40 Top</t>
  </si>
  <si>
    <t>10 50 Top</t>
  </si>
  <si>
    <t>0 50 Bottom</t>
  </si>
  <si>
    <t>10 60 Bottom</t>
  </si>
  <si>
    <t>10 70 Bottom</t>
  </si>
  <si>
    <t>10 100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</si>
</sst>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400]h:mm:ss\ AM/PM"/>
    <numFmt numFmtId="165" formatCode="0.00000"/>
    <numFmt numFmtId="166" formatCode="0.0000"/>
    <numFmt numFmtId="167" formatCode="0.00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164" fontId="3" fillId="4" borderId="1" xfId="0" applyNumberFormat="1" applyFont="1" applyFill="1" applyBorder="1"/>
    <xf numFmtId="0" fontId="3" fillId="4" borderId="1" xfId="0" applyFont="1" applyFill="1" applyBorder="1"/>
    <xf numFmtId="165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2" fontId="0" fillId="0" borderId="0" xfId="0" applyNumberFormat="1"/>
    <xf numFmtId="0" fontId="3" fillId="0" borderId="1" xfId="0" applyFont="1" applyBorder="1"/>
    <xf numFmtId="0" fontId="4" fillId="2" borderId="1" xfId="1" applyFont="1" applyBorder="1"/>
    <xf numFmtId="0" fontId="5" fillId="3" borderId="1" xfId="2" applyFont="1" applyBorder="1"/>
    <xf numFmtId="164" fontId="3" fillId="5" borderId="1" xfId="0" applyNumberFormat="1" applyFont="1" applyFill="1" applyBorder="1"/>
    <xf numFmtId="164" fontId="0" fillId="0" borderId="0" xfId="0" applyNumberFormat="1"/>
    <xf numFmtId="1" fontId="0" fillId="0" borderId="1" xfId="0" applyNumberFormat="1" applyBorder="1"/>
    <xf numFmtId="166" fontId="0" fillId="0" borderId="0" xfId="0" applyNumberFormat="1"/>
    <xf numFmtId="166" fontId="3" fillId="4" borderId="1" xfId="0" applyNumberFormat="1" applyFont="1" applyFill="1" applyBorder="1"/>
    <xf numFmtId="164" fontId="3" fillId="5" borderId="1" xfId="0" applyNumberFormat="1" applyFont="1" applyFill="1" applyBorder="1" applyAlignment="1">
      <alignment wrapText="1"/>
    </xf>
    <xf numFmtId="166" fontId="3" fillId="5" borderId="1" xfId="0" applyNumberFormat="1" applyFont="1" applyFill="1" applyBorder="1"/>
    <xf numFmtId="167" fontId="0" fillId="0" borderId="1" xfId="0" applyNumberFormat="1" applyBorder="1"/>
    <xf numFmtId="0" fontId="0" fillId="6" borderId="1" xfId="0" applyFill="1" applyBorder="1"/>
    <xf numFmtId="167" fontId="0" fillId="6" borderId="1" xfId="0" applyNumberFormat="1" applyFill="1" applyBorder="1"/>
    <xf numFmtId="166" fontId="0" fillId="6" borderId="1" xfId="0" applyNumberFormat="1" applyFill="1" applyBorder="1"/>
  </cellXfs>
  <cellStyles count="3">
    <cellStyle name="Bad" xfId="1" builtinId="27"/>
    <cellStyle name="Neutral" xfId="2" builtinId="28"/>
    <cellStyle name="Normal" xfId="0" builtinId="0"/>
  </cellStyles>
  <dxfs count="2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4E2EE3E-0D9F-4D3A-BEED-D8FFF93EE6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Cl calibration calc &amp; measure 20.11.2023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IC_201123_Cl!$AG$1</c:f>
              <c:strCache>
                <c:ptCount val="1"/>
                <c:pt idx="0">
                  <c:v>Linear Model of Cl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IC_201123_Cl!$AA$2:$AA$7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IC_201123_Cl!$Z$2:$Z$7</c:f>
              <c:numCache>
                <c:formatCode>0.0000</c:formatCode>
                <c:ptCount val="6"/>
                <c:pt idx="0">
                  <c:v>0.35759999999999997</c:v>
                </c:pt>
                <c:pt idx="1">
                  <c:v>0.1633</c:v>
                </c:pt>
                <c:pt idx="2">
                  <c:v>0.43609999999999999</c:v>
                </c:pt>
                <c:pt idx="3">
                  <c:v>0.93489999999999995</c:v>
                </c:pt>
                <c:pt idx="4">
                  <c:v>1.8566</c:v>
                </c:pt>
                <c:pt idx="5">
                  <c:v>4.1787999999999998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00-4BA0-8830-DD6D6D158BD5}"/>
            </c:ext>
          </c:extLst>
        </c:ser>
        <c:ser>
          <c:idx val="1"/>
          <c:order val="1"/>
          <c:tx>
            <c:strRef>
              <c:f>IC_201123_Cl!$L$1</c:f>
              <c:strCache>
                <c:ptCount val="1"/>
                <c:pt idx="0">
                  <c:v>c_Cl_measure_ppm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IC_201123_Cl!$L$2:$L$7</c:f>
              <c:numCache>
                <c:formatCode>0.0000</c:formatCode>
                <c:ptCount val="6"/>
                <c:pt idx="0">
                  <c:v>1.3283</c:v>
                </c:pt>
                <c:pt idx="1">
                  <c:v>0.34129999999999999</c:v>
                </c:pt>
                <c:pt idx="2">
                  <c:v>1.7270000000000001</c:v>
                </c:pt>
                <c:pt idx="3">
                  <c:v>4.2610999999999999</c:v>
                </c:pt>
                <c:pt idx="4">
                  <c:v>8.9430999999999994</c:v>
                </c:pt>
                <c:pt idx="5">
                  <c:v>20.740500000000001</c:v>
                </c:pt>
              </c:numCache>
            </c:numRef>
          </c:xVal>
          <c:yVal>
            <c:numRef>
              <c:f>IC_201123_Cl!$I$2:$I$7</c:f>
              <c:numCache>
                <c:formatCode>0.0000</c:formatCode>
                <c:ptCount val="6"/>
                <c:pt idx="0">
                  <c:v>0.35759999999999997</c:v>
                </c:pt>
                <c:pt idx="1">
                  <c:v>0.1633</c:v>
                </c:pt>
                <c:pt idx="2">
                  <c:v>0.43609999999999999</c:v>
                </c:pt>
                <c:pt idx="3">
                  <c:v>0.93489999999999995</c:v>
                </c:pt>
                <c:pt idx="4">
                  <c:v>1.8566</c:v>
                </c:pt>
                <c:pt idx="5">
                  <c:v>4.1787999999999998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00-4BA0-8830-DD6D6D158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Nitrite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IC_201123_Nitrite!$AG$1</c:f>
              <c:strCache>
                <c:ptCount val="1"/>
                <c:pt idx="0">
                  <c:v>Linear Model of Nitrite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IC_201123_Nitrite!$AA$2:$AA$7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IC_201123_Nitrite!$Z$2:$Z$7</c:f>
              <c:numCache>
                <c:formatCode>0.0000</c:formatCode>
                <c:ptCount val="6"/>
                <c:pt idx="0">
                  <c:v>0</c:v>
                </c:pt>
                <c:pt idx="1">
                  <c:v>7.1800000000000003E-2</c:v>
                </c:pt>
                <c:pt idx="2">
                  <c:v>0.159</c:v>
                </c:pt>
                <c:pt idx="3">
                  <c:v>0.45540000000000003</c:v>
                </c:pt>
                <c:pt idx="4">
                  <c:v>1.0761000000000001</c:v>
                </c:pt>
                <c:pt idx="5">
                  <c:v>2.2627000000000002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42-4D40-BB5F-DBA3AA91581E}"/>
            </c:ext>
          </c:extLst>
        </c:ser>
        <c:ser>
          <c:idx val="1"/>
          <c:order val="1"/>
          <c:tx>
            <c:strRef>
              <c:f>IC_201123_Nitrite!$L$1</c:f>
              <c:strCache>
                <c:ptCount val="1"/>
                <c:pt idx="0">
                  <c:v>c_Nitrite_measure_ppm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72197831292895"/>
                  <c:y val="-4.711949858297320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IC_201123_Nitrite!$L$2:$L$7</c:f>
              <c:numCache>
                <c:formatCode>0.0000</c:formatCode>
                <c:ptCount val="6"/>
                <c:pt idx="0">
                  <c:v>0</c:v>
                </c:pt>
                <c:pt idx="1">
                  <c:v>1.3045</c:v>
                </c:pt>
                <c:pt idx="2">
                  <c:v>2.0535999999999999</c:v>
                </c:pt>
                <c:pt idx="3">
                  <c:v>4.5983000000000001</c:v>
                </c:pt>
                <c:pt idx="4">
                  <c:v>9.9276</c:v>
                </c:pt>
                <c:pt idx="5">
                  <c:v>20.116</c:v>
                </c:pt>
              </c:numCache>
            </c:numRef>
          </c:xVal>
          <c:yVal>
            <c:numRef>
              <c:f>IC_201123_Nitrite!$I$2:$I$7</c:f>
              <c:numCache>
                <c:formatCode>0.0000</c:formatCode>
                <c:ptCount val="6"/>
                <c:pt idx="0">
                  <c:v>0</c:v>
                </c:pt>
                <c:pt idx="1">
                  <c:v>7.1800000000000003E-2</c:v>
                </c:pt>
                <c:pt idx="2">
                  <c:v>0.159</c:v>
                </c:pt>
                <c:pt idx="3">
                  <c:v>0.45540000000000003</c:v>
                </c:pt>
                <c:pt idx="4">
                  <c:v>1.0761000000000001</c:v>
                </c:pt>
                <c:pt idx="5">
                  <c:v>2.2627000000000002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242-4D40-BB5F-DBA3AA915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Nitrite calibration calc &amp; measure 20.11.2023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IC_201123_Nitrite!$AG$1</c:f>
              <c:strCache>
                <c:ptCount val="1"/>
                <c:pt idx="0">
                  <c:v>Linear Model of Nitrite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IC_201123_Nitrite!$AA$2:$AA$7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IC_201123_Nitrite!$Z$2:$Z$7</c:f>
              <c:numCache>
                <c:formatCode>0.0000</c:formatCode>
                <c:ptCount val="6"/>
                <c:pt idx="0">
                  <c:v>0</c:v>
                </c:pt>
                <c:pt idx="1">
                  <c:v>7.1800000000000003E-2</c:v>
                </c:pt>
                <c:pt idx="2">
                  <c:v>0.159</c:v>
                </c:pt>
                <c:pt idx="3">
                  <c:v>0.45540000000000003</c:v>
                </c:pt>
                <c:pt idx="4">
                  <c:v>1.0761000000000001</c:v>
                </c:pt>
                <c:pt idx="5">
                  <c:v>2.2627000000000002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4C-464C-B26D-51F0BEC4470C}"/>
            </c:ext>
          </c:extLst>
        </c:ser>
        <c:ser>
          <c:idx val="1"/>
          <c:order val="1"/>
          <c:tx>
            <c:strRef>
              <c:f>IC_201123_Nitrite!$L$1</c:f>
              <c:strCache>
                <c:ptCount val="1"/>
                <c:pt idx="0">
                  <c:v>c_Nitrite_measure_ppm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IC_201123_Nitrite!$L$2:$L$7</c:f>
              <c:numCache>
                <c:formatCode>0.0000</c:formatCode>
                <c:ptCount val="6"/>
                <c:pt idx="0">
                  <c:v>0</c:v>
                </c:pt>
                <c:pt idx="1">
                  <c:v>1.3045</c:v>
                </c:pt>
                <c:pt idx="2">
                  <c:v>2.0535999999999999</c:v>
                </c:pt>
                <c:pt idx="3">
                  <c:v>4.5983000000000001</c:v>
                </c:pt>
                <c:pt idx="4">
                  <c:v>9.9276</c:v>
                </c:pt>
                <c:pt idx="5">
                  <c:v>20.116</c:v>
                </c:pt>
              </c:numCache>
            </c:numRef>
          </c:xVal>
          <c:yVal>
            <c:numRef>
              <c:f>IC_201123_Nitrite!$I$2:$I$7</c:f>
              <c:numCache>
                <c:formatCode>0.0000</c:formatCode>
                <c:ptCount val="6"/>
                <c:pt idx="0">
                  <c:v>0</c:v>
                </c:pt>
                <c:pt idx="1">
                  <c:v>7.1800000000000003E-2</c:v>
                </c:pt>
                <c:pt idx="2">
                  <c:v>0.159</c:v>
                </c:pt>
                <c:pt idx="3">
                  <c:v>0.45540000000000003</c:v>
                </c:pt>
                <c:pt idx="4">
                  <c:v>1.0761000000000001</c:v>
                </c:pt>
                <c:pt idx="5">
                  <c:v>2.2627000000000002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54C-464C-B26D-51F0BEC44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Nitrate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IC_201123_Nitrate!$AG$1</c:f>
              <c:strCache>
                <c:ptCount val="1"/>
                <c:pt idx="0">
                  <c:v>Linear Model of Nitrate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IC_201123_Nitrate!$AA$2:$AA$7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IC_201123_Nitrate!$Z$2:$Z$7</c:f>
              <c:numCache>
                <c:formatCode>0.0000</c:formatCode>
                <c:ptCount val="6"/>
                <c:pt idx="0">
                  <c:v>0</c:v>
                </c:pt>
                <c:pt idx="1">
                  <c:v>0.20669999999999999</c:v>
                </c:pt>
                <c:pt idx="2">
                  <c:v>0.2137</c:v>
                </c:pt>
                <c:pt idx="3">
                  <c:v>0.59260000000000002</c:v>
                </c:pt>
                <c:pt idx="4">
                  <c:v>1.2130000000000001</c:v>
                </c:pt>
                <c:pt idx="5">
                  <c:v>2.3450000000000002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17-4996-B5D0-DD0DC3748128}"/>
            </c:ext>
          </c:extLst>
        </c:ser>
        <c:ser>
          <c:idx val="1"/>
          <c:order val="1"/>
          <c:tx>
            <c:strRef>
              <c:f>IC_201123_Nitrate!$L$1</c:f>
              <c:strCache>
                <c:ptCount val="1"/>
                <c:pt idx="0">
                  <c:v>c_Nitrate_measure_ppm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IC_201123_Nitrate!$L$2:$L$7</c:f>
              <c:numCache>
                <c:formatCode>0.0000</c:formatCode>
                <c:ptCount val="6"/>
                <c:pt idx="0">
                  <c:v>0</c:v>
                </c:pt>
                <c:pt idx="1">
                  <c:v>1.7605</c:v>
                </c:pt>
                <c:pt idx="2">
                  <c:v>1.819</c:v>
                </c:pt>
                <c:pt idx="3">
                  <c:v>5.0286</c:v>
                </c:pt>
                <c:pt idx="4">
                  <c:v>10.282999999999999</c:v>
                </c:pt>
                <c:pt idx="5">
                  <c:v>19.869499999999999</c:v>
                </c:pt>
              </c:numCache>
            </c:numRef>
          </c:xVal>
          <c:yVal>
            <c:numRef>
              <c:f>IC_201123_Nitrate!$I$2:$I$7</c:f>
              <c:numCache>
                <c:formatCode>0.0000</c:formatCode>
                <c:ptCount val="6"/>
                <c:pt idx="0">
                  <c:v>0</c:v>
                </c:pt>
                <c:pt idx="1">
                  <c:v>0.20669999999999999</c:v>
                </c:pt>
                <c:pt idx="2">
                  <c:v>0.2137</c:v>
                </c:pt>
                <c:pt idx="3">
                  <c:v>0.59260000000000002</c:v>
                </c:pt>
                <c:pt idx="4">
                  <c:v>1.2130000000000001</c:v>
                </c:pt>
                <c:pt idx="5">
                  <c:v>2.3450000000000002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17-4996-B5D0-DD0DC3748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Nitrite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IC_201123_Nitrite!$AG$1</c:f>
              <c:strCache>
                <c:ptCount val="1"/>
                <c:pt idx="0">
                  <c:v>Linear Model of Nitrite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IC_201123_Nitrite!$AA$2:$AA$7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IC_201123_Nitrite!$Z$2:$Z$7</c:f>
              <c:numCache>
                <c:formatCode>0.0000</c:formatCode>
                <c:ptCount val="6"/>
                <c:pt idx="0">
                  <c:v>0</c:v>
                </c:pt>
                <c:pt idx="1">
                  <c:v>7.1800000000000003E-2</c:v>
                </c:pt>
                <c:pt idx="2">
                  <c:v>0.159</c:v>
                </c:pt>
                <c:pt idx="3">
                  <c:v>0.45540000000000003</c:v>
                </c:pt>
                <c:pt idx="4">
                  <c:v>1.0761000000000001</c:v>
                </c:pt>
                <c:pt idx="5">
                  <c:v>2.2627000000000002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A7-4E45-A0AD-2102A0A53079}"/>
            </c:ext>
          </c:extLst>
        </c:ser>
        <c:ser>
          <c:idx val="1"/>
          <c:order val="1"/>
          <c:tx>
            <c:strRef>
              <c:f>IC_201123_Nitrite!$L$1</c:f>
              <c:strCache>
                <c:ptCount val="1"/>
                <c:pt idx="0">
                  <c:v>c_Nitrite_measure_ppm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72197831292895"/>
                  <c:y val="-4.711949858297320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IC_201123_Nitrite!$L$2:$L$7</c:f>
              <c:numCache>
                <c:formatCode>0.0000</c:formatCode>
                <c:ptCount val="6"/>
                <c:pt idx="0">
                  <c:v>0</c:v>
                </c:pt>
                <c:pt idx="1">
                  <c:v>1.3045</c:v>
                </c:pt>
                <c:pt idx="2">
                  <c:v>2.0535999999999999</c:v>
                </c:pt>
                <c:pt idx="3">
                  <c:v>4.5983000000000001</c:v>
                </c:pt>
                <c:pt idx="4">
                  <c:v>9.9276</c:v>
                </c:pt>
                <c:pt idx="5">
                  <c:v>20.116</c:v>
                </c:pt>
              </c:numCache>
            </c:numRef>
          </c:xVal>
          <c:yVal>
            <c:numRef>
              <c:f>IC_201123_Nitrite!$I$2:$I$7</c:f>
              <c:numCache>
                <c:formatCode>0.0000</c:formatCode>
                <c:ptCount val="6"/>
                <c:pt idx="0">
                  <c:v>0</c:v>
                </c:pt>
                <c:pt idx="1">
                  <c:v>7.1800000000000003E-2</c:v>
                </c:pt>
                <c:pt idx="2">
                  <c:v>0.159</c:v>
                </c:pt>
                <c:pt idx="3">
                  <c:v>0.45540000000000003</c:v>
                </c:pt>
                <c:pt idx="4">
                  <c:v>1.0761000000000001</c:v>
                </c:pt>
                <c:pt idx="5">
                  <c:v>2.2627000000000002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8A7-4E45-A0AD-2102A0A53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Nitrate calibration calc &amp; measure 20.11.2023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IC_201123_Nitrate!$AG$1</c:f>
              <c:strCache>
                <c:ptCount val="1"/>
                <c:pt idx="0">
                  <c:v>Linear Model of Nitrate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IC_201123_Nitrate!$AA$2:$AA$7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IC_201123_Nitrate!$Z$2:$Z$7</c:f>
              <c:numCache>
                <c:formatCode>0.0000</c:formatCode>
                <c:ptCount val="6"/>
                <c:pt idx="0">
                  <c:v>0</c:v>
                </c:pt>
                <c:pt idx="1">
                  <c:v>0.20669999999999999</c:v>
                </c:pt>
                <c:pt idx="2">
                  <c:v>0.2137</c:v>
                </c:pt>
                <c:pt idx="3">
                  <c:v>0.59260000000000002</c:v>
                </c:pt>
                <c:pt idx="4">
                  <c:v>1.2130000000000001</c:v>
                </c:pt>
                <c:pt idx="5">
                  <c:v>2.3450000000000002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C4-4BAE-AEC5-1169FED5417B}"/>
            </c:ext>
          </c:extLst>
        </c:ser>
        <c:ser>
          <c:idx val="1"/>
          <c:order val="1"/>
          <c:tx>
            <c:strRef>
              <c:f>IC_201123_Nitrate!$L$1</c:f>
              <c:strCache>
                <c:ptCount val="1"/>
                <c:pt idx="0">
                  <c:v>c_Nitrate_measure_ppm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IC_201123_Nitrate!$L$2:$L$7</c:f>
              <c:numCache>
                <c:formatCode>0.0000</c:formatCode>
                <c:ptCount val="6"/>
                <c:pt idx="0">
                  <c:v>0</c:v>
                </c:pt>
                <c:pt idx="1">
                  <c:v>1.7605</c:v>
                </c:pt>
                <c:pt idx="2">
                  <c:v>1.819</c:v>
                </c:pt>
                <c:pt idx="3">
                  <c:v>5.0286</c:v>
                </c:pt>
                <c:pt idx="4">
                  <c:v>10.282999999999999</c:v>
                </c:pt>
                <c:pt idx="5">
                  <c:v>19.869499999999999</c:v>
                </c:pt>
              </c:numCache>
            </c:numRef>
          </c:xVal>
          <c:yVal>
            <c:numRef>
              <c:f>IC_201123_Nitrate!$I$2:$I$7</c:f>
              <c:numCache>
                <c:formatCode>0.0000</c:formatCode>
                <c:ptCount val="6"/>
                <c:pt idx="0">
                  <c:v>0</c:v>
                </c:pt>
                <c:pt idx="1">
                  <c:v>0.20669999999999999</c:v>
                </c:pt>
                <c:pt idx="2">
                  <c:v>0.2137</c:v>
                </c:pt>
                <c:pt idx="3">
                  <c:v>0.59260000000000002</c:v>
                </c:pt>
                <c:pt idx="4">
                  <c:v>1.2130000000000001</c:v>
                </c:pt>
                <c:pt idx="5">
                  <c:v>2.3450000000000002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C4-4BAE-AEC5-1169FED5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Sulfate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IC_201123_SO4!$AG$1</c:f>
              <c:strCache>
                <c:ptCount val="1"/>
                <c:pt idx="0">
                  <c:v>Linear Model of Sulfate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IC_201123_SO4!$AA$2:$AA$7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IC_201123_SO4!$Z$2:$Z$7</c:f>
              <c:numCache>
                <c:formatCode>0.0000</c:formatCode>
                <c:ptCount val="6"/>
                <c:pt idx="0">
                  <c:v>0</c:v>
                </c:pt>
                <c:pt idx="1">
                  <c:v>0.1162</c:v>
                </c:pt>
                <c:pt idx="2">
                  <c:v>0.23830000000000001</c:v>
                </c:pt>
                <c:pt idx="3">
                  <c:v>0.6885</c:v>
                </c:pt>
                <c:pt idx="4">
                  <c:v>1.3841000000000001</c:v>
                </c:pt>
                <c:pt idx="5">
                  <c:v>2.8288000000000002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AB-4FE9-9D74-DAEF35431E5B}"/>
            </c:ext>
          </c:extLst>
        </c:ser>
        <c:ser>
          <c:idx val="1"/>
          <c:order val="1"/>
          <c:tx>
            <c:strRef>
              <c:f>IC_201123_SO4!$L$1</c:f>
              <c:strCache>
                <c:ptCount val="1"/>
                <c:pt idx="0">
                  <c:v>c_Sulfate_measure_ppm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IC_201123_SO4!$L$2:$L$7</c:f>
              <c:numCache>
                <c:formatCode>0.0000</c:formatCode>
                <c:ptCount val="6"/>
                <c:pt idx="0">
                  <c:v>0</c:v>
                </c:pt>
                <c:pt idx="1">
                  <c:v>1.0649</c:v>
                </c:pt>
                <c:pt idx="2">
                  <c:v>1.9178999999999999</c:v>
                </c:pt>
                <c:pt idx="3">
                  <c:v>5.0650000000000004</c:v>
                </c:pt>
                <c:pt idx="4">
                  <c:v>9.9268000000000001</c:v>
                </c:pt>
                <c:pt idx="5">
                  <c:v>20.025300000000001</c:v>
                </c:pt>
              </c:numCache>
            </c:numRef>
          </c:xVal>
          <c:yVal>
            <c:numRef>
              <c:f>IC_201123_SO4!$I$2:$I$7</c:f>
              <c:numCache>
                <c:formatCode>0.0000</c:formatCode>
                <c:ptCount val="6"/>
                <c:pt idx="0">
                  <c:v>0</c:v>
                </c:pt>
                <c:pt idx="1">
                  <c:v>0.1162</c:v>
                </c:pt>
                <c:pt idx="2">
                  <c:v>0.23830000000000001</c:v>
                </c:pt>
                <c:pt idx="3">
                  <c:v>0.6885</c:v>
                </c:pt>
                <c:pt idx="4">
                  <c:v>1.3841000000000001</c:v>
                </c:pt>
                <c:pt idx="5">
                  <c:v>2.8288000000000002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AB-4FE9-9D74-DAEF35431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Nitrate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IC_201123_Nitrate!$AG$1</c:f>
              <c:strCache>
                <c:ptCount val="1"/>
                <c:pt idx="0">
                  <c:v>Linear Model of Nitrate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IC_201123_Nitrate!$AA$2:$AA$7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IC_201123_Nitrate!$Z$2:$Z$7</c:f>
              <c:numCache>
                <c:formatCode>0.0000</c:formatCode>
                <c:ptCount val="6"/>
                <c:pt idx="0">
                  <c:v>0</c:v>
                </c:pt>
                <c:pt idx="1">
                  <c:v>0.20669999999999999</c:v>
                </c:pt>
                <c:pt idx="2">
                  <c:v>0.2137</c:v>
                </c:pt>
                <c:pt idx="3">
                  <c:v>0.59260000000000002</c:v>
                </c:pt>
                <c:pt idx="4">
                  <c:v>1.2130000000000001</c:v>
                </c:pt>
                <c:pt idx="5">
                  <c:v>2.3450000000000002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86-4A7C-BEFA-748E9364151B}"/>
            </c:ext>
          </c:extLst>
        </c:ser>
        <c:ser>
          <c:idx val="1"/>
          <c:order val="1"/>
          <c:tx>
            <c:strRef>
              <c:f>IC_201123_Nitrate!$L$1</c:f>
              <c:strCache>
                <c:ptCount val="1"/>
                <c:pt idx="0">
                  <c:v>c_Nitrate_measure_ppm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IC_201123_Nitrate!$L$2:$L$7</c:f>
              <c:numCache>
                <c:formatCode>0.0000</c:formatCode>
                <c:ptCount val="6"/>
                <c:pt idx="0">
                  <c:v>0</c:v>
                </c:pt>
                <c:pt idx="1">
                  <c:v>1.7605</c:v>
                </c:pt>
                <c:pt idx="2">
                  <c:v>1.819</c:v>
                </c:pt>
                <c:pt idx="3">
                  <c:v>5.0286</c:v>
                </c:pt>
                <c:pt idx="4">
                  <c:v>10.282999999999999</c:v>
                </c:pt>
                <c:pt idx="5">
                  <c:v>19.869499999999999</c:v>
                </c:pt>
              </c:numCache>
            </c:numRef>
          </c:xVal>
          <c:yVal>
            <c:numRef>
              <c:f>IC_201123_Nitrate!$I$2:$I$7</c:f>
              <c:numCache>
                <c:formatCode>0.0000</c:formatCode>
                <c:ptCount val="6"/>
                <c:pt idx="0">
                  <c:v>0</c:v>
                </c:pt>
                <c:pt idx="1">
                  <c:v>0.20669999999999999</c:v>
                </c:pt>
                <c:pt idx="2">
                  <c:v>0.2137</c:v>
                </c:pt>
                <c:pt idx="3">
                  <c:v>0.59260000000000002</c:v>
                </c:pt>
                <c:pt idx="4">
                  <c:v>1.2130000000000001</c:v>
                </c:pt>
                <c:pt idx="5">
                  <c:v>2.3450000000000002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486-4A7C-BEFA-748E93641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Nitrite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IC_201123_Nitrite!$AG$1</c:f>
              <c:strCache>
                <c:ptCount val="1"/>
                <c:pt idx="0">
                  <c:v>Linear Model of Nitrite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IC_201123_Nitrite!$AA$2:$AA$7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IC_201123_Nitrite!$Z$2:$Z$7</c:f>
              <c:numCache>
                <c:formatCode>0.0000</c:formatCode>
                <c:ptCount val="6"/>
                <c:pt idx="0">
                  <c:v>0</c:v>
                </c:pt>
                <c:pt idx="1">
                  <c:v>7.1800000000000003E-2</c:v>
                </c:pt>
                <c:pt idx="2">
                  <c:v>0.159</c:v>
                </c:pt>
                <c:pt idx="3">
                  <c:v>0.45540000000000003</c:v>
                </c:pt>
                <c:pt idx="4">
                  <c:v>1.0761000000000001</c:v>
                </c:pt>
                <c:pt idx="5">
                  <c:v>2.2627000000000002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6C-4A6C-B132-773AAA827B10}"/>
            </c:ext>
          </c:extLst>
        </c:ser>
        <c:ser>
          <c:idx val="1"/>
          <c:order val="1"/>
          <c:tx>
            <c:strRef>
              <c:f>IC_201123_Nitrite!$L$1</c:f>
              <c:strCache>
                <c:ptCount val="1"/>
                <c:pt idx="0">
                  <c:v>c_Nitrite_measure_ppm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72197831292895"/>
                  <c:y val="-4.711949858297320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IC_201123_Nitrite!$L$2:$L$7</c:f>
              <c:numCache>
                <c:formatCode>0.0000</c:formatCode>
                <c:ptCount val="6"/>
                <c:pt idx="0">
                  <c:v>0</c:v>
                </c:pt>
                <c:pt idx="1">
                  <c:v>1.3045</c:v>
                </c:pt>
                <c:pt idx="2">
                  <c:v>2.0535999999999999</c:v>
                </c:pt>
                <c:pt idx="3">
                  <c:v>4.5983000000000001</c:v>
                </c:pt>
                <c:pt idx="4">
                  <c:v>9.9276</c:v>
                </c:pt>
                <c:pt idx="5">
                  <c:v>20.116</c:v>
                </c:pt>
              </c:numCache>
            </c:numRef>
          </c:xVal>
          <c:yVal>
            <c:numRef>
              <c:f>IC_201123_Nitrite!$I$2:$I$7</c:f>
              <c:numCache>
                <c:formatCode>0.0000</c:formatCode>
                <c:ptCount val="6"/>
                <c:pt idx="0">
                  <c:v>0</c:v>
                </c:pt>
                <c:pt idx="1">
                  <c:v>7.1800000000000003E-2</c:v>
                </c:pt>
                <c:pt idx="2">
                  <c:v>0.159</c:v>
                </c:pt>
                <c:pt idx="3">
                  <c:v>0.45540000000000003</c:v>
                </c:pt>
                <c:pt idx="4">
                  <c:v>1.0761000000000001</c:v>
                </c:pt>
                <c:pt idx="5">
                  <c:v>2.2627000000000002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6C-4A6C-B132-773AAA827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Sulfate calibration calc &amp; measure 20.11.2023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IC_201123_SO4!$AG$1</c:f>
              <c:strCache>
                <c:ptCount val="1"/>
                <c:pt idx="0">
                  <c:v>Linear Model of Sulfate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IC_201123_SO4!$AA$2:$AA$7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IC_201123_SO4!$Z$2:$Z$7</c:f>
              <c:numCache>
                <c:formatCode>0.0000</c:formatCode>
                <c:ptCount val="6"/>
                <c:pt idx="0">
                  <c:v>0</c:v>
                </c:pt>
                <c:pt idx="1">
                  <c:v>0.1162</c:v>
                </c:pt>
                <c:pt idx="2">
                  <c:v>0.23830000000000001</c:v>
                </c:pt>
                <c:pt idx="3">
                  <c:v>0.6885</c:v>
                </c:pt>
                <c:pt idx="4">
                  <c:v>1.3841000000000001</c:v>
                </c:pt>
                <c:pt idx="5">
                  <c:v>2.8288000000000002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B6-4495-98C0-4A0BFD1AAD92}"/>
            </c:ext>
          </c:extLst>
        </c:ser>
        <c:ser>
          <c:idx val="1"/>
          <c:order val="1"/>
          <c:tx>
            <c:strRef>
              <c:f>IC_201123_SO4!$L$1</c:f>
              <c:strCache>
                <c:ptCount val="1"/>
                <c:pt idx="0">
                  <c:v>c_Sulfate_measure_ppm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IC_201123_SO4!$L$2:$L$7</c:f>
              <c:numCache>
                <c:formatCode>0.0000</c:formatCode>
                <c:ptCount val="6"/>
                <c:pt idx="0">
                  <c:v>0</c:v>
                </c:pt>
                <c:pt idx="1">
                  <c:v>1.0649</c:v>
                </c:pt>
                <c:pt idx="2">
                  <c:v>1.9178999999999999</c:v>
                </c:pt>
                <c:pt idx="3">
                  <c:v>5.0650000000000004</c:v>
                </c:pt>
                <c:pt idx="4">
                  <c:v>9.9268000000000001</c:v>
                </c:pt>
                <c:pt idx="5">
                  <c:v>20.025300000000001</c:v>
                </c:pt>
              </c:numCache>
            </c:numRef>
          </c:xVal>
          <c:yVal>
            <c:numRef>
              <c:f>IC_201123_SO4!$I$2:$I$7</c:f>
              <c:numCache>
                <c:formatCode>0.0000</c:formatCode>
                <c:ptCount val="6"/>
                <c:pt idx="0">
                  <c:v>0</c:v>
                </c:pt>
                <c:pt idx="1">
                  <c:v>0.1162</c:v>
                </c:pt>
                <c:pt idx="2">
                  <c:v>0.23830000000000001</c:v>
                </c:pt>
                <c:pt idx="3">
                  <c:v>0.6885</c:v>
                </c:pt>
                <c:pt idx="4">
                  <c:v>1.3841000000000001</c:v>
                </c:pt>
                <c:pt idx="5">
                  <c:v>2.8288000000000002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CB6-4495-98C0-4A0BFD1AA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ECD3EF-B9E9-46B0-9776-86C6B53E3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CA01AA-2B97-493C-A63F-27C2A76D9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6685FB-BE10-4347-A787-7F2C85ED5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2159D1-F2A8-413F-8094-52FB54F95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A951A0-34E3-4B3A-9EEA-6B929337D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59456B-6115-48C9-A64E-3063AFCE9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3375B8-DC79-4CF4-BAC2-707D2FB6F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6C1F26-BE65-4837-A1C4-F5F14E046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43B1BA-937B-4E1D-859E-2AA3625B0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E7A67A-5C2D-40D5-95A0-E5A3BB182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38A3-F633-4EE7-8CC8-71A33BC8D54D}">
  <dimension ref="A1:G8"/>
  <sheetViews>
    <sheetView workbookViewId="0">
      <selection activeCell="B3" sqref="B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f t="shared" ref="B2:B8" si="0">G2/100</f>
        <v>0.2</v>
      </c>
      <c r="C2">
        <f>B2*2</f>
        <v>0.4</v>
      </c>
      <c r="D2">
        <f t="shared" ref="D2:D8" si="1">G2/20</f>
        <v>1</v>
      </c>
      <c r="E2">
        <f t="shared" ref="E2:E8" si="2">G2/10</f>
        <v>2</v>
      </c>
      <c r="F2">
        <f t="shared" ref="F2:F8" si="3">G2/5</f>
        <v>4</v>
      </c>
      <c r="G2">
        <v>20</v>
      </c>
    </row>
    <row r="3" spans="1:7" x14ac:dyDescent="0.25">
      <c r="A3" t="s">
        <v>7</v>
      </c>
      <c r="B3">
        <f t="shared" si="0"/>
        <v>1</v>
      </c>
      <c r="C3">
        <f t="shared" ref="C3:C8" si="4">B3*2</f>
        <v>2</v>
      </c>
      <c r="D3">
        <f t="shared" si="1"/>
        <v>5</v>
      </c>
      <c r="E3">
        <f t="shared" si="2"/>
        <v>10</v>
      </c>
      <c r="F3">
        <f t="shared" si="3"/>
        <v>20</v>
      </c>
      <c r="G3">
        <v>100</v>
      </c>
    </row>
    <row r="4" spans="1:7" x14ac:dyDescent="0.25">
      <c r="A4" t="s">
        <v>8</v>
      </c>
      <c r="B4">
        <f t="shared" si="0"/>
        <v>1</v>
      </c>
      <c r="C4">
        <f t="shared" si="4"/>
        <v>2</v>
      </c>
      <c r="D4">
        <f t="shared" si="1"/>
        <v>5</v>
      </c>
      <c r="E4">
        <f t="shared" si="2"/>
        <v>10</v>
      </c>
      <c r="F4">
        <f t="shared" si="3"/>
        <v>20</v>
      </c>
      <c r="G4">
        <v>100</v>
      </c>
    </row>
    <row r="5" spans="1:7" x14ac:dyDescent="0.25">
      <c r="A5" t="s">
        <v>9</v>
      </c>
      <c r="B5">
        <f t="shared" si="0"/>
        <v>1</v>
      </c>
      <c r="C5">
        <f t="shared" si="4"/>
        <v>2</v>
      </c>
      <c r="D5">
        <f t="shared" si="1"/>
        <v>5</v>
      </c>
      <c r="E5">
        <f t="shared" si="2"/>
        <v>10</v>
      </c>
      <c r="F5">
        <f t="shared" si="3"/>
        <v>20</v>
      </c>
      <c r="G5">
        <v>100</v>
      </c>
    </row>
    <row r="6" spans="1:7" x14ac:dyDescent="0.25">
      <c r="A6" t="s">
        <v>10</v>
      </c>
      <c r="B6">
        <f t="shared" si="0"/>
        <v>1</v>
      </c>
      <c r="C6">
        <f t="shared" si="4"/>
        <v>2</v>
      </c>
      <c r="D6">
        <f t="shared" si="1"/>
        <v>5</v>
      </c>
      <c r="E6">
        <f t="shared" si="2"/>
        <v>10</v>
      </c>
      <c r="F6">
        <f t="shared" si="3"/>
        <v>20</v>
      </c>
      <c r="G6">
        <v>100</v>
      </c>
    </row>
    <row r="7" spans="1:7" x14ac:dyDescent="0.25">
      <c r="A7" t="s">
        <v>11</v>
      </c>
      <c r="B7">
        <f t="shared" si="0"/>
        <v>2</v>
      </c>
      <c r="C7">
        <f t="shared" si="4"/>
        <v>4</v>
      </c>
      <c r="D7">
        <f t="shared" si="1"/>
        <v>10</v>
      </c>
      <c r="E7">
        <f t="shared" si="2"/>
        <v>20</v>
      </c>
      <c r="F7">
        <f t="shared" si="3"/>
        <v>40</v>
      </c>
      <c r="G7">
        <v>200</v>
      </c>
    </row>
    <row r="8" spans="1:7" x14ac:dyDescent="0.25">
      <c r="A8" t="s">
        <v>12</v>
      </c>
      <c r="B8">
        <f t="shared" si="0"/>
        <v>1</v>
      </c>
      <c r="C8">
        <f t="shared" si="4"/>
        <v>2</v>
      </c>
      <c r="D8">
        <f t="shared" si="1"/>
        <v>5</v>
      </c>
      <c r="E8">
        <f t="shared" si="2"/>
        <v>10</v>
      </c>
      <c r="F8">
        <f t="shared" si="3"/>
        <v>20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BA4E-52CB-46A8-B76D-F1CBA7C2A5C3}">
  <dimension ref="A1:AI35"/>
  <sheetViews>
    <sheetView topLeftCell="S1" zoomScale="85" zoomScaleNormal="85" workbookViewId="0">
      <selection activeCell="X21" sqref="X21:X23"/>
    </sheetView>
  </sheetViews>
  <sheetFormatPr defaultRowHeight="15" x14ac:dyDescent="0.25"/>
  <cols>
    <col min="9" max="10" width="9.140625" style="16"/>
    <col min="11" max="11" width="11.7109375" style="16" customWidth="1"/>
    <col min="12" max="12" width="14.85546875" style="16" customWidth="1"/>
    <col min="14" max="14" width="17.28515625" style="16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  <col min="41" max="41" width="8.570312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19" t="s">
        <v>21</v>
      </c>
      <c r="I1" s="19" t="s">
        <v>22</v>
      </c>
      <c r="J1" s="17" t="s">
        <v>47</v>
      </c>
      <c r="K1" s="19" t="s">
        <v>48</v>
      </c>
      <c r="L1" s="19" t="s">
        <v>89</v>
      </c>
      <c r="M1" s="3" t="s">
        <v>20</v>
      </c>
      <c r="N1" s="19" t="s">
        <v>49</v>
      </c>
      <c r="O1" s="19" t="s">
        <v>90</v>
      </c>
      <c r="P1" s="3" t="s">
        <v>23</v>
      </c>
      <c r="S1" s="1" t="s">
        <v>50</v>
      </c>
      <c r="T1" s="2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2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c_Cl_ calib_ppm</v>
      </c>
      <c r="AG1" s="1" t="s">
        <v>88</v>
      </c>
    </row>
    <row r="2" spans="1:35" x14ac:dyDescent="0.25">
      <c r="A2" s="5" t="s">
        <v>24</v>
      </c>
      <c r="B2" s="5" t="s">
        <v>25</v>
      </c>
      <c r="C2" s="5"/>
      <c r="D2" s="5"/>
      <c r="E2" s="5"/>
      <c r="F2" s="5" t="s">
        <v>145</v>
      </c>
      <c r="G2" s="5">
        <v>1</v>
      </c>
      <c r="H2" s="20">
        <v>3.6669999999999998</v>
      </c>
      <c r="I2" s="8">
        <v>0.35759999999999997</v>
      </c>
      <c r="J2" s="8">
        <v>0</v>
      </c>
      <c r="K2" s="8">
        <f>IF(H2="NA", "NA", ((I2-($AH$3))/$AG$3))</f>
        <v>1.4967869858035256</v>
      </c>
      <c r="L2" s="8">
        <v>1.3283</v>
      </c>
      <c r="M2" s="5">
        <v>0</v>
      </c>
      <c r="N2" s="8"/>
      <c r="O2" s="8"/>
      <c r="P2" s="5" t="s">
        <v>26</v>
      </c>
      <c r="T2" s="6" t="str">
        <f t="shared" si="0"/>
        <v>Cal 1</v>
      </c>
      <c r="U2" s="5" t="str">
        <f t="shared" si="0"/>
        <v>Blank</v>
      </c>
      <c r="V2" s="5" t="str">
        <f t="shared" si="1"/>
        <v>20.11.2023</v>
      </c>
      <c r="W2" s="5">
        <f t="shared" si="1"/>
        <v>1</v>
      </c>
      <c r="X2" s="5">
        <f t="shared" si="2"/>
        <v>0</v>
      </c>
      <c r="Y2" s="8">
        <f t="shared" si="3"/>
        <v>3.6669999999999998</v>
      </c>
      <c r="Z2" s="8">
        <f t="shared" si="3"/>
        <v>0.35759999999999997</v>
      </c>
      <c r="AA2" s="5">
        <f t="shared" si="3"/>
        <v>0</v>
      </c>
      <c r="AG2" s="3" t="s">
        <v>51</v>
      </c>
      <c r="AH2" s="3" t="s">
        <v>52</v>
      </c>
    </row>
    <row r="3" spans="1:35" x14ac:dyDescent="0.25">
      <c r="A3" s="5" t="s">
        <v>27</v>
      </c>
      <c r="B3" s="5" t="s">
        <v>28</v>
      </c>
      <c r="C3" s="5"/>
      <c r="D3" s="5"/>
      <c r="E3" s="5"/>
      <c r="F3" s="5" t="s">
        <v>145</v>
      </c>
      <c r="G3" s="5">
        <v>1</v>
      </c>
      <c r="H3" s="20">
        <v>3.6669999999999998</v>
      </c>
      <c r="I3" s="8">
        <v>0.1633</v>
      </c>
      <c r="J3" s="8">
        <v>1</v>
      </c>
      <c r="K3" s="8">
        <f t="shared" ref="K3:K35" si="4">IF(H3="NA", "NA", ((I3-($AH$3))/$AG$3))</f>
        <v>0.52156417383641407</v>
      </c>
      <c r="L3" s="8">
        <v>0.34129999999999999</v>
      </c>
      <c r="M3" s="5">
        <v>100</v>
      </c>
      <c r="N3" s="8"/>
      <c r="O3" s="8"/>
      <c r="P3" s="5" t="s">
        <v>29</v>
      </c>
      <c r="T3" s="4" t="str">
        <f t="shared" si="0"/>
        <v>Cal 2</v>
      </c>
      <c r="U3" s="5" t="str">
        <f t="shared" si="0"/>
        <v>x 100</v>
      </c>
      <c r="V3" s="5" t="str">
        <f t="shared" si="1"/>
        <v>20.11.2023</v>
      </c>
      <c r="W3" s="5">
        <f t="shared" si="1"/>
        <v>1</v>
      </c>
      <c r="X3" s="5">
        <f t="shared" si="2"/>
        <v>100</v>
      </c>
      <c r="Y3" s="8">
        <f t="shared" si="3"/>
        <v>3.6669999999999998</v>
      </c>
      <c r="Z3" s="8">
        <f t="shared" si="3"/>
        <v>0.1633</v>
      </c>
      <c r="AA3" s="5">
        <f t="shared" si="3"/>
        <v>1</v>
      </c>
      <c r="AF3" t="s">
        <v>53</v>
      </c>
      <c r="AG3" s="8" cm="1">
        <f t="array" ref="AG3:AH7">LINEST(Z2:Z7,AA2:AA7, TRUE, TRUE)</f>
        <v>0.19923652073732723</v>
      </c>
      <c r="AH3" s="8">
        <v>5.938536866359434E-2</v>
      </c>
      <c r="AI3" s="9" t="s">
        <v>54</v>
      </c>
    </row>
    <row r="4" spans="1:35" x14ac:dyDescent="0.25">
      <c r="A4" s="5" t="s">
        <v>30</v>
      </c>
      <c r="B4" s="5" t="s">
        <v>31</v>
      </c>
      <c r="C4" s="5"/>
      <c r="D4" s="5"/>
      <c r="E4" s="5"/>
      <c r="F4" s="5" t="s">
        <v>145</v>
      </c>
      <c r="G4" s="5">
        <v>1</v>
      </c>
      <c r="H4" s="20">
        <v>3.6669999999999998</v>
      </c>
      <c r="I4" s="8">
        <v>0.43609999999999999</v>
      </c>
      <c r="J4" s="8">
        <v>2</v>
      </c>
      <c r="K4" s="8">
        <f t="shared" si="4"/>
        <v>1.8907910554865841</v>
      </c>
      <c r="L4" s="8">
        <v>1.7270000000000001</v>
      </c>
      <c r="M4" s="5">
        <v>50</v>
      </c>
      <c r="N4" s="8"/>
      <c r="O4" s="8"/>
      <c r="P4" s="5" t="s">
        <v>32</v>
      </c>
      <c r="T4" s="4" t="str">
        <f t="shared" si="0"/>
        <v>Cal 3</v>
      </c>
      <c r="U4" s="5" t="str">
        <f t="shared" si="0"/>
        <v>x 50</v>
      </c>
      <c r="V4" s="5" t="str">
        <f t="shared" si="1"/>
        <v>20.11.2023</v>
      </c>
      <c r="W4" s="5">
        <f t="shared" si="1"/>
        <v>1</v>
      </c>
      <c r="X4" s="5">
        <f t="shared" si="2"/>
        <v>50</v>
      </c>
      <c r="Y4" s="8">
        <f t="shared" si="3"/>
        <v>3.6669999999999998</v>
      </c>
      <c r="Z4" s="8">
        <f t="shared" si="3"/>
        <v>0.43609999999999999</v>
      </c>
      <c r="AA4" s="5">
        <f t="shared" si="3"/>
        <v>2</v>
      </c>
      <c r="AF4" t="s">
        <v>55</v>
      </c>
      <c r="AG4" s="8">
        <v>1.2093958284416378E-2</v>
      </c>
      <c r="AH4" s="8">
        <v>0.11366605202826825</v>
      </c>
      <c r="AI4" t="s">
        <v>56</v>
      </c>
    </row>
    <row r="5" spans="1:35" x14ac:dyDescent="0.25">
      <c r="A5" s="5" t="s">
        <v>33</v>
      </c>
      <c r="B5" s="5" t="s">
        <v>34</v>
      </c>
      <c r="C5" s="5"/>
      <c r="D5" s="5"/>
      <c r="E5" s="5"/>
      <c r="F5" s="5" t="s">
        <v>145</v>
      </c>
      <c r="G5" s="5">
        <v>1</v>
      </c>
      <c r="H5" s="20">
        <v>3.6669999999999998</v>
      </c>
      <c r="I5" s="8">
        <v>0.93489999999999995</v>
      </c>
      <c r="J5" s="8">
        <v>5</v>
      </c>
      <c r="K5" s="8">
        <f t="shared" si="4"/>
        <v>4.3943481250140941</v>
      </c>
      <c r="L5" s="8">
        <v>4.2610999999999999</v>
      </c>
      <c r="M5" s="5">
        <v>20</v>
      </c>
      <c r="N5" s="8"/>
      <c r="O5" s="8"/>
      <c r="P5" s="5" t="s">
        <v>35</v>
      </c>
      <c r="T5" s="4" t="str">
        <f t="shared" si="0"/>
        <v>Cal 4</v>
      </c>
      <c r="U5" s="5" t="str">
        <f t="shared" si="0"/>
        <v>x 20</v>
      </c>
      <c r="V5" s="5" t="str">
        <f t="shared" si="1"/>
        <v>20.11.2023</v>
      </c>
      <c r="W5" s="5">
        <f t="shared" si="1"/>
        <v>1</v>
      </c>
      <c r="X5" s="5">
        <f t="shared" si="2"/>
        <v>20</v>
      </c>
      <c r="Y5" s="8">
        <f t="shared" si="3"/>
        <v>3.6669999999999998</v>
      </c>
      <c r="Z5" s="8">
        <f t="shared" si="3"/>
        <v>0.93489999999999995</v>
      </c>
      <c r="AA5" s="5">
        <f t="shared" si="3"/>
        <v>5</v>
      </c>
      <c r="AF5" t="s">
        <v>57</v>
      </c>
      <c r="AG5" s="8">
        <v>0.98547537915661432</v>
      </c>
      <c r="AH5" s="8">
        <v>0.20571582488403484</v>
      </c>
      <c r="AI5" t="s">
        <v>58</v>
      </c>
    </row>
    <row r="6" spans="1:35" x14ac:dyDescent="0.25">
      <c r="A6" s="5" t="s">
        <v>36</v>
      </c>
      <c r="B6" s="5" t="s">
        <v>37</v>
      </c>
      <c r="C6" s="5"/>
      <c r="D6" s="5"/>
      <c r="E6" s="5"/>
      <c r="F6" s="5" t="s">
        <v>145</v>
      </c>
      <c r="G6" s="5">
        <v>1</v>
      </c>
      <c r="H6" s="20">
        <v>3.67</v>
      </c>
      <c r="I6" s="8">
        <v>1.8566</v>
      </c>
      <c r="J6" s="8">
        <v>10</v>
      </c>
      <c r="K6" s="8">
        <f t="shared" si="4"/>
        <v>9.0205080107067701</v>
      </c>
      <c r="L6" s="8">
        <v>8.9430999999999994</v>
      </c>
      <c r="M6" s="5">
        <v>10</v>
      </c>
      <c r="N6" s="8"/>
      <c r="O6" s="8"/>
      <c r="P6" s="5" t="s">
        <v>38</v>
      </c>
      <c r="T6" s="4" t="str">
        <f t="shared" si="0"/>
        <v>Cal 5</v>
      </c>
      <c r="U6" s="5" t="str">
        <f t="shared" si="0"/>
        <v>x 10</v>
      </c>
      <c r="V6" s="5" t="str">
        <f t="shared" si="1"/>
        <v>20.11.2023</v>
      </c>
      <c r="W6" s="5">
        <f t="shared" si="1"/>
        <v>1</v>
      </c>
      <c r="X6" s="5">
        <f t="shared" si="2"/>
        <v>10</v>
      </c>
      <c r="Y6" s="8">
        <f t="shared" si="3"/>
        <v>3.67</v>
      </c>
      <c r="Z6" s="8">
        <f t="shared" si="3"/>
        <v>1.8566</v>
      </c>
      <c r="AA6" s="5">
        <f t="shared" si="3"/>
        <v>10</v>
      </c>
      <c r="AF6" t="s">
        <v>59</v>
      </c>
      <c r="AG6" s="8">
        <v>271.39445216028082</v>
      </c>
      <c r="AH6" s="8">
        <v>4</v>
      </c>
      <c r="AI6" t="s">
        <v>60</v>
      </c>
    </row>
    <row r="7" spans="1:35" x14ac:dyDescent="0.25">
      <c r="A7" s="5" t="s">
        <v>39</v>
      </c>
      <c r="B7" s="5" t="s">
        <v>40</v>
      </c>
      <c r="C7" s="5"/>
      <c r="D7" s="5"/>
      <c r="E7" s="5"/>
      <c r="F7" s="5" t="s">
        <v>145</v>
      </c>
      <c r="G7" s="5">
        <v>1</v>
      </c>
      <c r="H7" s="20">
        <v>3.673</v>
      </c>
      <c r="I7" s="8">
        <v>4.1787999999999998</v>
      </c>
      <c r="J7" s="8">
        <v>20</v>
      </c>
      <c r="K7" s="8">
        <f t="shared" si="4"/>
        <v>20.676001649152607</v>
      </c>
      <c r="L7" s="8">
        <v>20.740500000000001</v>
      </c>
      <c r="M7" s="5">
        <v>5</v>
      </c>
      <c r="N7" s="8"/>
      <c r="O7" s="8"/>
      <c r="P7" s="5" t="s">
        <v>41</v>
      </c>
      <c r="T7" s="4" t="str">
        <f t="shared" si="0"/>
        <v>Cal 6</v>
      </c>
      <c r="U7" s="5" t="str">
        <f t="shared" si="0"/>
        <v>x 5</v>
      </c>
      <c r="V7" s="5" t="str">
        <f t="shared" si="1"/>
        <v>20.11.2023</v>
      </c>
      <c r="W7" s="5">
        <f t="shared" si="1"/>
        <v>1</v>
      </c>
      <c r="X7" s="5">
        <f t="shared" si="2"/>
        <v>5</v>
      </c>
      <c r="Y7" s="8">
        <f t="shared" si="3"/>
        <v>3.673</v>
      </c>
      <c r="Z7" s="8">
        <f t="shared" si="3"/>
        <v>4.1787999999999998</v>
      </c>
      <c r="AA7" s="5">
        <f t="shared" si="3"/>
        <v>20</v>
      </c>
      <c r="AF7" t="s">
        <v>61</v>
      </c>
      <c r="AG7" s="8">
        <v>11.485141985902459</v>
      </c>
      <c r="AH7" s="8">
        <v>0.16927600243087557</v>
      </c>
      <c r="AI7" t="s">
        <v>62</v>
      </c>
    </row>
    <row r="8" spans="1:35" x14ac:dyDescent="0.25">
      <c r="A8" s="5">
        <v>1</v>
      </c>
      <c r="B8" s="5" t="s">
        <v>42</v>
      </c>
      <c r="C8" s="5"/>
      <c r="D8" s="5"/>
      <c r="E8" s="5"/>
      <c r="F8" s="5" t="s">
        <v>145</v>
      </c>
      <c r="G8" s="5">
        <v>1</v>
      </c>
      <c r="H8" s="20">
        <v>3.6669999999999998</v>
      </c>
      <c r="I8" s="8">
        <v>0.10349999999999999</v>
      </c>
      <c r="J8" s="8"/>
      <c r="K8" s="8">
        <f t="shared" si="4"/>
        <v>0.22141839846002048</v>
      </c>
      <c r="L8" s="8">
        <v>3.7199999999999997E-2</v>
      </c>
      <c r="M8" s="5">
        <v>0</v>
      </c>
      <c r="N8" s="8"/>
      <c r="O8" s="8"/>
      <c r="P8" s="5" t="s">
        <v>26</v>
      </c>
      <c r="S8" s="1"/>
    </row>
    <row r="9" spans="1:35" x14ac:dyDescent="0.25">
      <c r="A9" s="5">
        <v>2</v>
      </c>
      <c r="B9" s="5" t="s">
        <v>43</v>
      </c>
      <c r="C9" s="5"/>
      <c r="D9" s="5"/>
      <c r="E9" s="5"/>
      <c r="F9" s="5" t="s">
        <v>145</v>
      </c>
      <c r="G9" s="5">
        <v>1</v>
      </c>
      <c r="H9" s="20">
        <v>3.67</v>
      </c>
      <c r="I9" s="8">
        <v>1.2357</v>
      </c>
      <c r="J9" s="8"/>
      <c r="K9" s="8">
        <f t="shared" si="4"/>
        <v>5.9041114901180949</v>
      </c>
      <c r="L9" s="8">
        <v>5.7888999999999999</v>
      </c>
      <c r="M9" s="5">
        <v>20</v>
      </c>
      <c r="N9" s="8"/>
      <c r="O9" s="8"/>
      <c r="P9" s="5" t="s">
        <v>44</v>
      </c>
    </row>
    <row r="10" spans="1:35" x14ac:dyDescent="0.25">
      <c r="A10" s="5">
        <v>3</v>
      </c>
      <c r="B10" s="5" t="s">
        <v>126</v>
      </c>
      <c r="C10" s="5">
        <v>0</v>
      </c>
      <c r="D10" s="5">
        <v>40</v>
      </c>
      <c r="E10" s="5" t="s">
        <v>45</v>
      </c>
      <c r="F10" s="5" t="s">
        <v>145</v>
      </c>
      <c r="G10" s="5">
        <v>1</v>
      </c>
      <c r="H10" s="20">
        <v>3.67</v>
      </c>
      <c r="I10" s="8">
        <v>0.2515</v>
      </c>
      <c r="J10" s="8"/>
      <c r="K10" s="8">
        <f t="shared" si="4"/>
        <v>0.96425409671597784</v>
      </c>
      <c r="L10" s="8">
        <v>0.78949999999999998</v>
      </c>
      <c r="M10" s="5">
        <v>5</v>
      </c>
      <c r="N10" s="8">
        <f t="shared" ref="N10:N21" si="5">IF(H10="NA", "NA",M10*K10)</f>
        <v>4.8212704835798892</v>
      </c>
      <c r="O10" s="8">
        <f t="shared" ref="O10:O18" si="6">IF(H10="NA", "NA",M10*L10)</f>
        <v>3.9474999999999998</v>
      </c>
      <c r="P10" s="5" t="s">
        <v>146</v>
      </c>
    </row>
    <row r="11" spans="1:35" x14ac:dyDescent="0.25">
      <c r="A11" s="5">
        <v>4</v>
      </c>
      <c r="B11" s="5" t="s">
        <v>127</v>
      </c>
      <c r="C11" s="5">
        <v>10</v>
      </c>
      <c r="D11" s="5">
        <v>0</v>
      </c>
      <c r="E11" s="5" t="s">
        <v>46</v>
      </c>
      <c r="F11" s="5" t="s">
        <v>145</v>
      </c>
      <c r="G11" s="5">
        <v>1</v>
      </c>
      <c r="H11" s="20">
        <v>3.6669999999999998</v>
      </c>
      <c r="I11" s="8">
        <v>0.27139999999999997</v>
      </c>
      <c r="J11" s="8"/>
      <c r="K11" s="8">
        <f t="shared" si="4"/>
        <v>1.0641353831706639</v>
      </c>
      <c r="L11" s="8">
        <v>0.89039999999999997</v>
      </c>
      <c r="M11" s="5">
        <v>5</v>
      </c>
      <c r="N11" s="8">
        <f t="shared" si="5"/>
        <v>5.3206769158533191</v>
      </c>
      <c r="O11" s="8">
        <f t="shared" si="6"/>
        <v>4.452</v>
      </c>
      <c r="P11" s="5" t="s">
        <v>147</v>
      </c>
      <c r="S11" s="1" t="s">
        <v>63</v>
      </c>
      <c r="T11" s="10"/>
      <c r="U11" s="11" t="s">
        <v>64</v>
      </c>
      <c r="V11" s="12" t="s">
        <v>65</v>
      </c>
    </row>
    <row r="12" spans="1:35" x14ac:dyDescent="0.25">
      <c r="A12" s="5">
        <v>5</v>
      </c>
      <c r="B12" s="5" t="s">
        <v>128</v>
      </c>
      <c r="C12" s="5">
        <v>10</v>
      </c>
      <c r="D12" s="5">
        <v>90</v>
      </c>
      <c r="E12" s="5" t="s">
        <v>46</v>
      </c>
      <c r="F12" s="5" t="s">
        <v>145</v>
      </c>
      <c r="G12" s="5">
        <v>1</v>
      </c>
      <c r="H12" s="20">
        <v>3.67</v>
      </c>
      <c r="I12" s="8">
        <v>0.48780000000000001</v>
      </c>
      <c r="J12" s="8"/>
      <c r="K12" s="8">
        <f t="shared" si="4"/>
        <v>2.150281633863834</v>
      </c>
      <c r="L12" s="8">
        <v>1.9895</v>
      </c>
      <c r="M12" s="5">
        <v>5</v>
      </c>
      <c r="N12" s="8">
        <f t="shared" si="5"/>
        <v>10.75140816931917</v>
      </c>
      <c r="O12" s="8">
        <f t="shared" si="6"/>
        <v>9.9474999999999998</v>
      </c>
      <c r="P12" s="5" t="s">
        <v>148</v>
      </c>
      <c r="T12" s="13" t="s">
        <v>97</v>
      </c>
      <c r="U12" s="8">
        <f xml:space="preserve"> AVERAGE(I8,I22,I26,I35)+3*STDEV(I8,I22,I26,I35)</f>
        <v>0.41669284363931591</v>
      </c>
      <c r="V12" s="8">
        <f xml:space="preserve"> AVERAGE(I8,I22,I26,I35)+10*STDEV(I8,I22,I26,I35)</f>
        <v>0.9070844787977197</v>
      </c>
    </row>
    <row r="13" spans="1:35" x14ac:dyDescent="0.25">
      <c r="A13" s="5">
        <v>6</v>
      </c>
      <c r="B13" s="5" t="s">
        <v>129</v>
      </c>
      <c r="C13" s="5">
        <v>10</v>
      </c>
      <c r="D13" s="5">
        <v>10</v>
      </c>
      <c r="E13" s="5" t="s">
        <v>45</v>
      </c>
      <c r="F13" s="5" t="s">
        <v>145</v>
      </c>
      <c r="G13" s="5">
        <v>1</v>
      </c>
      <c r="H13" s="20">
        <v>3.67</v>
      </c>
      <c r="I13" s="8">
        <v>0.40289999999999998</v>
      </c>
      <c r="J13" s="8"/>
      <c r="K13" s="8">
        <f t="shared" si="4"/>
        <v>1.7241549393913287</v>
      </c>
      <c r="L13" s="8">
        <v>1.5586</v>
      </c>
      <c r="M13" s="5">
        <v>5</v>
      </c>
      <c r="N13" s="8">
        <f t="shared" si="5"/>
        <v>8.6207746969566443</v>
      </c>
      <c r="O13" s="8">
        <f t="shared" si="6"/>
        <v>7.7930000000000001</v>
      </c>
      <c r="P13" s="5" t="s">
        <v>149</v>
      </c>
      <c r="T13" s="13" t="s">
        <v>91</v>
      </c>
      <c r="U13" s="8">
        <f xml:space="preserve"> AVERAGE(K8,K22,K26,K35)+3*STDEV(K8,K22,K26,K35)</f>
        <v>1.7933834301733995</v>
      </c>
      <c r="V13" s="8">
        <f xml:space="preserve"> AVERAGE(K8,K22,K26,K35)+10*STDEV(K8,K22,K26,K35)</f>
        <v>4.254737570185382</v>
      </c>
    </row>
    <row r="14" spans="1:35" x14ac:dyDescent="0.25">
      <c r="A14" s="5">
        <v>7</v>
      </c>
      <c r="B14" s="5" t="s">
        <v>130</v>
      </c>
      <c r="C14" s="5">
        <v>10</v>
      </c>
      <c r="D14" s="5">
        <v>80</v>
      </c>
      <c r="E14" s="5" t="s">
        <v>45</v>
      </c>
      <c r="F14" s="5" t="s">
        <v>145</v>
      </c>
      <c r="G14" s="5">
        <v>1</v>
      </c>
      <c r="H14" s="20">
        <v>3.67</v>
      </c>
      <c r="I14" s="8">
        <v>0.71099999999999997</v>
      </c>
      <c r="J14" s="8"/>
      <c r="K14" s="8">
        <f t="shared" si="4"/>
        <v>3.2705581733957914</v>
      </c>
      <c r="L14" s="8">
        <v>3.1236000000000002</v>
      </c>
      <c r="M14" s="5">
        <v>5</v>
      </c>
      <c r="N14" s="8">
        <f t="shared" si="5"/>
        <v>16.352790866978957</v>
      </c>
      <c r="O14" s="8">
        <f t="shared" si="6"/>
        <v>15.618</v>
      </c>
      <c r="P14" s="5" t="s">
        <v>150</v>
      </c>
      <c r="T14" s="13" t="s">
        <v>92</v>
      </c>
      <c r="U14" s="8">
        <f xml:space="preserve"> AVERAGE(L8,L22,L26,L35)+3*STDEV(L8,L22,L26,L35)</f>
        <v>1.6285764385700585</v>
      </c>
      <c r="V14" s="8">
        <f xml:space="preserve"> AVERAGE(L8,L22,L26,L35)+10*STDEV(L8,L22,L26,L35)</f>
        <v>4.1203464619001942</v>
      </c>
    </row>
    <row r="15" spans="1:35" x14ac:dyDescent="0.25">
      <c r="A15" s="5">
        <v>8</v>
      </c>
      <c r="B15" s="5" t="s">
        <v>131</v>
      </c>
      <c r="C15" s="5">
        <v>10</v>
      </c>
      <c r="D15" s="5">
        <v>20</v>
      </c>
      <c r="E15" s="5" t="s">
        <v>46</v>
      </c>
      <c r="F15" s="5" t="s">
        <v>145</v>
      </c>
      <c r="G15" s="5">
        <v>1</v>
      </c>
      <c r="H15" s="20">
        <v>3.67</v>
      </c>
      <c r="I15" s="8">
        <v>0.39029999999999998</v>
      </c>
      <c r="J15" s="8"/>
      <c r="K15" s="8">
        <f t="shared" si="4"/>
        <v>1.6609135218371054</v>
      </c>
      <c r="L15" s="8">
        <v>1.4945999999999999</v>
      </c>
      <c r="M15" s="5">
        <v>5</v>
      </c>
      <c r="N15" s="8">
        <f t="shared" si="5"/>
        <v>8.3045676091855274</v>
      </c>
      <c r="O15" s="8">
        <f t="shared" si="6"/>
        <v>7.4729999999999999</v>
      </c>
      <c r="P15" s="5" t="s">
        <v>151</v>
      </c>
    </row>
    <row r="16" spans="1:35" x14ac:dyDescent="0.25">
      <c r="A16" s="5">
        <v>9</v>
      </c>
      <c r="B16" s="5" t="s">
        <v>132</v>
      </c>
      <c r="C16" s="5">
        <v>20</v>
      </c>
      <c r="D16" s="5">
        <v>30</v>
      </c>
      <c r="E16" s="5" t="s">
        <v>45</v>
      </c>
      <c r="F16" s="5" t="s">
        <v>145</v>
      </c>
      <c r="G16" s="5">
        <v>1</v>
      </c>
      <c r="H16" s="20">
        <v>3.67</v>
      </c>
      <c r="I16" s="8">
        <v>0.40949999999999998</v>
      </c>
      <c r="J16" s="8"/>
      <c r="K16" s="8">
        <f t="shared" si="4"/>
        <v>1.7572813962054457</v>
      </c>
      <c r="L16" s="8">
        <v>1.5916999999999999</v>
      </c>
      <c r="M16" s="5">
        <v>5</v>
      </c>
      <c r="N16" s="8">
        <f t="shared" si="5"/>
        <v>8.7864069810272287</v>
      </c>
      <c r="O16" s="8">
        <f t="shared" si="6"/>
        <v>7.958499999999999</v>
      </c>
      <c r="P16" s="5" t="s">
        <v>152</v>
      </c>
      <c r="S16" s="1" t="s">
        <v>66</v>
      </c>
      <c r="T16" s="2"/>
      <c r="U16" s="3" t="s">
        <v>67</v>
      </c>
      <c r="V16" s="3" t="s">
        <v>68</v>
      </c>
      <c r="W16" s="3" t="s">
        <v>69</v>
      </c>
      <c r="X16" s="3" t="s">
        <v>70</v>
      </c>
      <c r="Y16" s="2" t="s">
        <v>71</v>
      </c>
      <c r="Z16" s="3" t="s">
        <v>72</v>
      </c>
      <c r="AA16" s="3" t="s">
        <v>73</v>
      </c>
      <c r="AB16" s="3" t="s">
        <v>74</v>
      </c>
      <c r="AC16" s="3" t="s">
        <v>75</v>
      </c>
      <c r="AD16" s="3" t="s">
        <v>76</v>
      </c>
    </row>
    <row r="17" spans="1:30" x14ac:dyDescent="0.25">
      <c r="A17" s="5">
        <v>10</v>
      </c>
      <c r="B17" s="5" t="s">
        <v>133</v>
      </c>
      <c r="C17" s="5">
        <v>10</v>
      </c>
      <c r="D17" s="5">
        <v>30</v>
      </c>
      <c r="E17" s="5" t="s">
        <v>45</v>
      </c>
      <c r="F17" s="5" t="s">
        <v>145</v>
      </c>
      <c r="G17" s="5">
        <v>1</v>
      </c>
      <c r="H17" s="20">
        <v>3.67</v>
      </c>
      <c r="I17" s="8">
        <v>0.40739999999999998</v>
      </c>
      <c r="J17" s="8"/>
      <c r="K17" s="8">
        <f t="shared" si="4"/>
        <v>1.7467411599464087</v>
      </c>
      <c r="L17" s="8">
        <v>1.5811999999999999</v>
      </c>
      <c r="M17" s="5">
        <v>5</v>
      </c>
      <c r="N17" s="8">
        <f t="shared" si="5"/>
        <v>8.7337057997320429</v>
      </c>
      <c r="O17" s="8">
        <f t="shared" si="6"/>
        <v>7.9059999999999997</v>
      </c>
      <c r="P17" s="5" t="s">
        <v>153</v>
      </c>
      <c r="T17" s="13" t="s">
        <v>105</v>
      </c>
      <c r="U17" s="20">
        <f>AVERAGE(H2:H35)</f>
        <v>3.6694411764705883</v>
      </c>
      <c r="V17" s="20">
        <f>MEDIAN(H2:H35)</f>
        <v>3.67</v>
      </c>
      <c r="W17" s="20">
        <f>STDEV(H2:H35)</f>
        <v>1.2116082916546976E-2</v>
      </c>
      <c r="X17" s="20">
        <f>W17/U17*100</f>
        <v>0.33018877627030657</v>
      </c>
      <c r="Y17" s="20">
        <f>VAR(H2:H35)</f>
        <v>1.4679946524064148E-4</v>
      </c>
      <c r="Z17" s="20">
        <f>MAX(H2:H35)</f>
        <v>3.73</v>
      </c>
      <c r="AA17" s="20">
        <f>MIN(H2:H35)</f>
        <v>3.657</v>
      </c>
      <c r="AB17" s="20">
        <f>Z17-AA17</f>
        <v>7.2999999999999954E-2</v>
      </c>
      <c r="AC17" s="20">
        <f>COUNT(H2:H35)</f>
        <v>34</v>
      </c>
      <c r="AD17" s="20">
        <f>W17/SQRT(AC17)</f>
        <v>2.0778910776571282E-3</v>
      </c>
    </row>
    <row r="18" spans="1:30" x14ac:dyDescent="0.25">
      <c r="A18" s="5">
        <v>11</v>
      </c>
      <c r="B18" s="5" t="s">
        <v>134</v>
      </c>
      <c r="C18" s="5">
        <v>10</v>
      </c>
      <c r="D18" s="5">
        <v>20</v>
      </c>
      <c r="E18" s="5" t="s">
        <v>45</v>
      </c>
      <c r="F18" s="5" t="s">
        <v>145</v>
      </c>
      <c r="G18" s="5">
        <v>1</v>
      </c>
      <c r="H18" s="20">
        <v>3.67</v>
      </c>
      <c r="I18" s="8">
        <v>0.39810000000000001</v>
      </c>
      <c r="J18" s="8"/>
      <c r="K18" s="8">
        <f t="shared" si="4"/>
        <v>1.7000629707992438</v>
      </c>
      <c r="L18" s="8">
        <v>1.5339</v>
      </c>
      <c r="M18" s="5">
        <v>5</v>
      </c>
      <c r="N18" s="8">
        <f t="shared" si="5"/>
        <v>8.500314853996219</v>
      </c>
      <c r="O18" s="8">
        <f t="shared" si="6"/>
        <v>7.6695000000000002</v>
      </c>
      <c r="P18" s="5" t="s">
        <v>154</v>
      </c>
      <c r="T18" s="13" t="s">
        <v>95</v>
      </c>
      <c r="U18" s="8">
        <f>AVERAGE(I9,I23,I34)</f>
        <v>1.2591000000000001</v>
      </c>
      <c r="V18" s="8">
        <f>MEDIAN(I9,I23,I34)</f>
        <v>1.2405999999999999</v>
      </c>
      <c r="W18" s="8">
        <f>STDEV(I9,I23,I34)</f>
        <v>3.6369080274320911E-2</v>
      </c>
      <c r="X18" s="8">
        <f>W18/U18*100</f>
        <v>2.8884981553745459</v>
      </c>
      <c r="Y18" s="8">
        <f>VAR(I9,I23,I34)</f>
        <v>1.3227099999999982E-3</v>
      </c>
      <c r="Z18" s="8">
        <f>MAX(I9,I23,I34)</f>
        <v>1.3009999999999999</v>
      </c>
      <c r="AA18" s="8">
        <f>MIN(I9,I23,I34)</f>
        <v>1.2357</v>
      </c>
      <c r="AB18" s="8">
        <f>Z18-AA18</f>
        <v>6.5299999999999914E-2</v>
      </c>
      <c r="AC18" s="8">
        <f>COUNT(I9,I23,I34)</f>
        <v>3</v>
      </c>
      <c r="AD18" s="8">
        <f>W18/SQRT(AC18)</f>
        <v>2.0997698286558286E-2</v>
      </c>
    </row>
    <row r="19" spans="1:30" x14ac:dyDescent="0.25">
      <c r="A19" s="5">
        <v>12</v>
      </c>
      <c r="B19" s="5" t="s">
        <v>135</v>
      </c>
      <c r="C19" s="5">
        <v>10</v>
      </c>
      <c r="D19" s="5">
        <v>100</v>
      </c>
      <c r="E19" s="5" t="s">
        <v>45</v>
      </c>
      <c r="F19" s="5" t="s">
        <v>145</v>
      </c>
      <c r="G19" s="5">
        <v>1</v>
      </c>
      <c r="H19" s="20">
        <v>3.673</v>
      </c>
      <c r="I19" s="8">
        <v>1.5415000000000001</v>
      </c>
      <c r="J19" s="8"/>
      <c r="K19" s="8">
        <f t="shared" si="4"/>
        <v>7.4389706558388502</v>
      </c>
      <c r="L19" s="8">
        <v>7.3428000000000004</v>
      </c>
      <c r="M19" s="5">
        <v>5</v>
      </c>
      <c r="N19" s="8">
        <f t="shared" si="5"/>
        <v>37.194853279194248</v>
      </c>
      <c r="O19" s="8">
        <f>IF(L19="NA", "NA",M19*L19)</f>
        <v>36.713999999999999</v>
      </c>
      <c r="P19" s="5" t="s">
        <v>155</v>
      </c>
      <c r="T19" s="13" t="s">
        <v>77</v>
      </c>
      <c r="U19" s="8">
        <f>AVERAGE(K9,K23,K34)</f>
        <v>6.0215598370045091</v>
      </c>
      <c r="V19" s="8">
        <f>MEDIAN(K9,K23,K34)</f>
        <v>5.9287053747225142</v>
      </c>
      <c r="W19" s="8">
        <f>STDEV(K9,K23,K34)</f>
        <v>0.18254223743582501</v>
      </c>
      <c r="X19" s="8">
        <f>W19/U19*100</f>
        <v>3.0314775967854977</v>
      </c>
      <c r="Y19" s="8">
        <f>VAR(K9,K23,K34)</f>
        <v>3.3321668448077116E-2</v>
      </c>
      <c r="Z19" s="8">
        <f>MAX(K9,K23,K34)</f>
        <v>6.2318626461729183</v>
      </c>
      <c r="AA19" s="8">
        <f>MIN(K9,K23,K34)</f>
        <v>5.9041114901180949</v>
      </c>
      <c r="AB19" s="8">
        <f>Z19-AA19</f>
        <v>0.32775115605482341</v>
      </c>
      <c r="AC19" s="8">
        <f>COUNT(K9,K23,K34)</f>
        <v>3</v>
      </c>
      <c r="AD19" s="8">
        <f>W19/SQRT(AC19)</f>
        <v>0.10539080992205016</v>
      </c>
    </row>
    <row r="20" spans="1:30" x14ac:dyDescent="0.25">
      <c r="A20" s="5">
        <v>13</v>
      </c>
      <c r="B20" s="5" t="s">
        <v>136</v>
      </c>
      <c r="C20" s="5">
        <v>10</v>
      </c>
      <c r="D20" s="5">
        <v>80</v>
      </c>
      <c r="E20" s="5" t="s">
        <v>46</v>
      </c>
      <c r="F20" s="5" t="s">
        <v>145</v>
      </c>
      <c r="G20" s="5">
        <v>1</v>
      </c>
      <c r="H20" s="20">
        <v>3.67</v>
      </c>
      <c r="I20" s="8">
        <v>0.19439999999999999</v>
      </c>
      <c r="J20" s="8"/>
      <c r="K20" s="8">
        <f t="shared" si="4"/>
        <v>0.67766005367263216</v>
      </c>
      <c r="L20" s="8">
        <v>0.49940000000000001</v>
      </c>
      <c r="M20" s="5">
        <v>5</v>
      </c>
      <c r="N20" s="8">
        <f t="shared" si="5"/>
        <v>3.3883002683631607</v>
      </c>
      <c r="O20" s="8">
        <f>IF(H20="NA", "NA",M20*L20)</f>
        <v>2.4969999999999999</v>
      </c>
      <c r="P20" s="5" t="s">
        <v>156</v>
      </c>
      <c r="T20" s="13" t="s">
        <v>78</v>
      </c>
      <c r="U20" s="8">
        <f>AVERAGE(L9,L23,L34)</f>
        <v>5.907866666666667</v>
      </c>
      <c r="V20" s="8">
        <f>MEDIAN(L9,L23,L34)</f>
        <v>5.8140000000000001</v>
      </c>
      <c r="W20" s="8">
        <f>STDEV(L9,L23,L34)</f>
        <v>0.1847458344140224</v>
      </c>
      <c r="X20" s="8">
        <f>W20/U20*100</f>
        <v>3.1271158412628766</v>
      </c>
      <c r="Y20" s="8">
        <f>VAR(L9,L23,L34)</f>
        <v>3.4131023333333385E-2</v>
      </c>
      <c r="Z20" s="8">
        <f>MAX(L9,L23,L34)</f>
        <v>6.1207000000000003</v>
      </c>
      <c r="AA20" s="8">
        <f>MIN(L9,L23,L34)</f>
        <v>5.7888999999999999</v>
      </c>
      <c r="AB20" s="8">
        <f>Z20-AA20</f>
        <v>0.33180000000000032</v>
      </c>
      <c r="AC20" s="8">
        <f>COUNT(L9,L23,L34)</f>
        <v>3</v>
      </c>
      <c r="AD20" s="8">
        <f>W20/SQRT(AC20)</f>
        <v>0.10666305723059787</v>
      </c>
    </row>
    <row r="21" spans="1:30" x14ac:dyDescent="0.25">
      <c r="A21" s="5">
        <v>14</v>
      </c>
      <c r="B21" s="5" t="s">
        <v>137</v>
      </c>
      <c r="C21" s="5">
        <v>20</v>
      </c>
      <c r="D21" s="5">
        <v>10</v>
      </c>
      <c r="E21" s="5" t="s">
        <v>46</v>
      </c>
      <c r="F21" s="5" t="s">
        <v>145</v>
      </c>
      <c r="G21" s="5">
        <v>1</v>
      </c>
      <c r="H21" s="20">
        <v>3.67</v>
      </c>
      <c r="I21" s="8">
        <v>0.41139999999999999</v>
      </c>
      <c r="J21" s="8"/>
      <c r="K21" s="8">
        <f t="shared" si="4"/>
        <v>1.7668178004398127</v>
      </c>
      <c r="L21" s="8">
        <v>1.6012999999999999</v>
      </c>
      <c r="M21" s="5">
        <v>5</v>
      </c>
      <c r="N21" s="8">
        <f t="shared" si="5"/>
        <v>8.8340890021990646</v>
      </c>
      <c r="O21" s="8">
        <f>IF(H21="NA", "NA",M21*L21)</f>
        <v>8.0064999999999991</v>
      </c>
      <c r="P21" s="5" t="s">
        <v>157</v>
      </c>
      <c r="T21" s="13" t="s">
        <v>96</v>
      </c>
      <c r="U21" s="8">
        <f>AVERAGE(I8,I22,I26,I35)</f>
        <v>0.20652500000000001</v>
      </c>
      <c r="V21" s="8">
        <f>MEDIAN(I8,I22,I26,I35)</f>
        <v>0.2354</v>
      </c>
      <c r="W21" s="8">
        <f>STDEV(I8,I22,I26,I35)</f>
        <v>7.0055947879771971E-2</v>
      </c>
      <c r="X21" s="8">
        <f t="shared" ref="X21" si="7">W21/U21*100</f>
        <v>33.921291795071767</v>
      </c>
      <c r="Y21" s="8">
        <f>VAR(I8,I22,I26,I35)</f>
        <v>4.9078358333333278E-3</v>
      </c>
      <c r="Z21" s="8">
        <f>MAX(I8,I22,I26,I35)</f>
        <v>0.25180000000000002</v>
      </c>
      <c r="AA21" s="8">
        <f>MIN(I8,I22,I26,I35)</f>
        <v>0.10349999999999999</v>
      </c>
      <c r="AB21" s="8">
        <f t="shared" ref="AB21" si="8">Z21-AA21</f>
        <v>0.14830000000000004</v>
      </c>
      <c r="AC21" s="8">
        <f>COUNT(I8,I22,I26,I35)</f>
        <v>4</v>
      </c>
      <c r="AD21" s="8">
        <f t="shared" ref="AD21" si="9">W21/SQRT(AC21)</f>
        <v>3.5027973939885985E-2</v>
      </c>
    </row>
    <row r="22" spans="1:30" x14ac:dyDescent="0.25">
      <c r="A22" s="5">
        <v>15</v>
      </c>
      <c r="B22" s="5" t="s">
        <v>25</v>
      </c>
      <c r="C22" s="5"/>
      <c r="D22" s="5"/>
      <c r="E22" s="5"/>
      <c r="F22" s="5" t="s">
        <v>145</v>
      </c>
      <c r="G22" s="5">
        <v>1</v>
      </c>
      <c r="H22" s="20">
        <v>3.67</v>
      </c>
      <c r="I22" s="8">
        <v>0.24940000000000001</v>
      </c>
      <c r="J22" s="8"/>
      <c r="K22" s="8">
        <f t="shared" si="4"/>
        <v>0.95371386045694073</v>
      </c>
      <c r="L22" s="8">
        <v>0.77839999999999998</v>
      </c>
      <c r="M22" s="5">
        <v>0</v>
      </c>
      <c r="N22" s="8"/>
      <c r="O22" s="8"/>
      <c r="P22" s="5" t="s">
        <v>26</v>
      </c>
      <c r="T22" s="13" t="s">
        <v>79</v>
      </c>
      <c r="U22" s="8">
        <f>AVERAGE(K8,K22,K26,K35)</f>
        <v>0.73851737016826391</v>
      </c>
      <c r="V22" s="8">
        <f>MEDIAN(K8,K22,K26,K35)</f>
        <v>0.88344561873002592</v>
      </c>
      <c r="W22" s="8">
        <f>STDEV(K8,K22,K26,K35)</f>
        <v>0.35162202000171183</v>
      </c>
      <c r="X22" s="8">
        <f t="shared" ref="X22:X23" si="10">W22/U22*100</f>
        <v>47.611882158113382</v>
      </c>
      <c r="Y22" s="8">
        <f>VAR(K8,K22,K26,K35)</f>
        <v>0.12363804495008424</v>
      </c>
      <c r="Z22" s="8">
        <f>MAX(K8,K22,K26,K35)</f>
        <v>0.96575984475298327</v>
      </c>
      <c r="AA22" s="8">
        <f>MIN(K8,K22,K26,K35)</f>
        <v>0.22141839846002048</v>
      </c>
      <c r="AB22" s="8">
        <f t="shared" ref="AB22:AB23" si="11">Z22-AA22</f>
        <v>0.74434144629296273</v>
      </c>
      <c r="AC22" s="8">
        <f>COUNT(K8,K22,K26,K35)</f>
        <v>4</v>
      </c>
      <c r="AD22" s="8">
        <f t="shared" ref="AD22:AD23" si="12">W22/SQRT(AC22)</f>
        <v>0.17581101000085592</v>
      </c>
    </row>
    <row r="23" spans="1:30" x14ac:dyDescent="0.25">
      <c r="A23" s="5">
        <v>16</v>
      </c>
      <c r="B23" s="5" t="s">
        <v>43</v>
      </c>
      <c r="C23" s="5"/>
      <c r="D23" s="5"/>
      <c r="E23" s="5"/>
      <c r="F23" s="5" t="s">
        <v>145</v>
      </c>
      <c r="G23" s="5">
        <v>1</v>
      </c>
      <c r="H23" s="20">
        <v>3.673</v>
      </c>
      <c r="I23" s="8">
        <v>1.2405999999999999</v>
      </c>
      <c r="J23" s="8"/>
      <c r="K23" s="8">
        <f t="shared" si="4"/>
        <v>5.9287053747225142</v>
      </c>
      <c r="L23" s="8">
        <v>5.8140000000000001</v>
      </c>
      <c r="M23" s="5">
        <v>20</v>
      </c>
      <c r="N23" s="8"/>
      <c r="O23" s="8"/>
      <c r="P23" s="5" t="s">
        <v>44</v>
      </c>
      <c r="T23" s="13" t="s">
        <v>80</v>
      </c>
      <c r="U23" s="8">
        <f>AVERAGE(L8,L22,L26,L35)</f>
        <v>0.56067500000000003</v>
      </c>
      <c r="V23" s="8">
        <f>MEDIAN(L8,L22,L26,L35)</f>
        <v>0.70730000000000004</v>
      </c>
      <c r="W23" s="8">
        <f>STDEV(L8,L22,L26,L35)</f>
        <v>0.35596714619001946</v>
      </c>
      <c r="X23" s="8">
        <f t="shared" si="10"/>
        <v>63.48903485798715</v>
      </c>
      <c r="Y23" s="8">
        <f>VAR(L8,L22,L26,L35)</f>
        <v>0.12671260916666668</v>
      </c>
      <c r="Z23" s="8">
        <f>MAX(L8,L22,L26,L35)</f>
        <v>0.79090000000000005</v>
      </c>
      <c r="AA23" s="8">
        <f>MIN(L8,L22,L26,L35)</f>
        <v>3.7199999999999997E-2</v>
      </c>
      <c r="AB23" s="8">
        <f t="shared" si="11"/>
        <v>0.75370000000000004</v>
      </c>
      <c r="AC23" s="8">
        <f>COUNT(L8,L22,L26,L35)</f>
        <v>4</v>
      </c>
      <c r="AD23" s="8">
        <f t="shared" si="12"/>
        <v>0.17798357309500973</v>
      </c>
    </row>
    <row r="24" spans="1:30" x14ac:dyDescent="0.25">
      <c r="A24" s="21">
        <v>17</v>
      </c>
      <c r="B24" s="21" t="s">
        <v>138</v>
      </c>
      <c r="C24" s="21">
        <v>0</v>
      </c>
      <c r="D24" s="21">
        <v>90</v>
      </c>
      <c r="E24" s="21" t="s">
        <v>46</v>
      </c>
      <c r="F24" s="21" t="s">
        <v>145</v>
      </c>
      <c r="G24" s="21">
        <v>1</v>
      </c>
      <c r="H24" s="22">
        <v>3.73</v>
      </c>
      <c r="I24" s="23">
        <v>2.0199999999999999E-2</v>
      </c>
      <c r="J24" s="23"/>
      <c r="K24" s="23">
        <f t="shared" si="4"/>
        <v>-0.19667763981512307</v>
      </c>
      <c r="L24" s="23">
        <v>-0.38569999999999999</v>
      </c>
      <c r="M24" s="21">
        <v>0</v>
      </c>
      <c r="N24" s="23"/>
      <c r="O24" s="23"/>
      <c r="P24" s="21" t="s">
        <v>158</v>
      </c>
    </row>
    <row r="25" spans="1:30" x14ac:dyDescent="0.25">
      <c r="A25" s="21">
        <v>18</v>
      </c>
      <c r="B25" s="21" t="s">
        <v>25</v>
      </c>
      <c r="C25" s="21"/>
      <c r="D25" s="21"/>
      <c r="E25" s="21"/>
      <c r="F25" s="21" t="s">
        <v>145</v>
      </c>
      <c r="G25" s="21">
        <v>1</v>
      </c>
      <c r="H25" s="22">
        <v>3.6869999999999998</v>
      </c>
      <c r="I25" s="23">
        <v>0.15240000000000001</v>
      </c>
      <c r="J25" s="23"/>
      <c r="K25" s="23">
        <f t="shared" si="4"/>
        <v>0.46685532849188754</v>
      </c>
      <c r="L25" s="23">
        <v>0.28589999999999999</v>
      </c>
      <c r="M25" s="21">
        <v>0</v>
      </c>
      <c r="N25" s="23"/>
      <c r="O25" s="23"/>
      <c r="P25" s="21" t="s">
        <v>159</v>
      </c>
      <c r="T25" s="14"/>
    </row>
    <row r="26" spans="1:30" x14ac:dyDescent="0.25">
      <c r="A26" s="5">
        <v>19</v>
      </c>
      <c r="B26" s="5" t="s">
        <v>25</v>
      </c>
      <c r="C26" s="5"/>
      <c r="D26" s="5"/>
      <c r="E26" s="5"/>
      <c r="F26" s="5" t="s">
        <v>145</v>
      </c>
      <c r="G26" s="5">
        <v>1</v>
      </c>
      <c r="H26" s="20">
        <v>3.67</v>
      </c>
      <c r="I26" s="8">
        <v>0.25180000000000002</v>
      </c>
      <c r="J26" s="8"/>
      <c r="K26" s="8">
        <f t="shared" si="4"/>
        <v>0.96575984475298327</v>
      </c>
      <c r="L26" s="8">
        <v>0.79090000000000005</v>
      </c>
      <c r="M26" s="5">
        <v>0</v>
      </c>
      <c r="N26" s="8"/>
      <c r="O26" s="8"/>
      <c r="P26" s="5" t="s">
        <v>26</v>
      </c>
      <c r="T26" s="6"/>
      <c r="U26" s="3" t="s">
        <v>81</v>
      </c>
      <c r="V26" s="3" t="s">
        <v>82</v>
      </c>
      <c r="W26" s="3" t="s">
        <v>83</v>
      </c>
      <c r="X26" s="3" t="s">
        <v>84</v>
      </c>
      <c r="Y26" s="3" t="s">
        <v>85</v>
      </c>
      <c r="Z26" s="3" t="s">
        <v>86</v>
      </c>
      <c r="AA26" s="3" t="s">
        <v>87</v>
      </c>
    </row>
    <row r="27" spans="1:30" ht="45" x14ac:dyDescent="0.25">
      <c r="A27" s="5">
        <v>20</v>
      </c>
      <c r="B27" s="5" t="s">
        <v>138</v>
      </c>
      <c r="C27" s="5">
        <v>0</v>
      </c>
      <c r="D27" s="5">
        <v>90</v>
      </c>
      <c r="E27" s="5" t="s">
        <v>46</v>
      </c>
      <c r="F27" s="5" t="s">
        <v>145</v>
      </c>
      <c r="G27" s="5">
        <v>1</v>
      </c>
      <c r="H27" s="20">
        <v>3.6629999999999998</v>
      </c>
      <c r="I27" s="8">
        <v>0.39700000000000002</v>
      </c>
      <c r="J27" s="8"/>
      <c r="K27" s="8">
        <f t="shared" si="4"/>
        <v>1.6945418946635578</v>
      </c>
      <c r="L27" s="8">
        <v>1.5282</v>
      </c>
      <c r="M27" s="5">
        <v>5</v>
      </c>
      <c r="N27" s="8">
        <f t="shared" ref="N27:N33" si="13">IF(H27="NA", "NA",M27*K27)</f>
        <v>8.4727094733177886</v>
      </c>
      <c r="O27" s="8">
        <f t="shared" ref="O27:O33" si="14">IF(H27="NA", "NA",M27*L27)</f>
        <v>7.641</v>
      </c>
      <c r="P27" s="5" t="s">
        <v>160</v>
      </c>
      <c r="T27" s="18" t="s">
        <v>125</v>
      </c>
      <c r="U27" s="7">
        <f>K5</f>
        <v>4.3943481250140941</v>
      </c>
      <c r="V27" s="7">
        <f>L5</f>
        <v>4.2610999999999999</v>
      </c>
      <c r="W27" s="15">
        <v>100</v>
      </c>
      <c r="X27" s="15">
        <v>1</v>
      </c>
      <c r="Y27" s="7">
        <f>W27/(20)</f>
        <v>5</v>
      </c>
      <c r="Z27" s="7">
        <f>V27/Y27 *100</f>
        <v>85.221999999999994</v>
      </c>
      <c r="AA27" s="7">
        <f>U27/Y27 *100</f>
        <v>87.886962500281882</v>
      </c>
    </row>
    <row r="28" spans="1:30" ht="45" x14ac:dyDescent="0.25">
      <c r="A28" s="5">
        <v>21</v>
      </c>
      <c r="B28" s="5" t="s">
        <v>139</v>
      </c>
      <c r="C28" s="5">
        <v>10</v>
      </c>
      <c r="D28" s="5">
        <v>40</v>
      </c>
      <c r="E28" s="5" t="s">
        <v>45</v>
      </c>
      <c r="F28" s="5" t="s">
        <v>145</v>
      </c>
      <c r="G28" s="5">
        <v>1</v>
      </c>
      <c r="H28" s="20">
        <v>3.6629999999999998</v>
      </c>
      <c r="I28" s="8">
        <v>0.38950000000000001</v>
      </c>
      <c r="J28" s="8"/>
      <c r="K28" s="8">
        <f t="shared" si="4"/>
        <v>1.6568981937384246</v>
      </c>
      <c r="L28" s="8">
        <v>1.4904999999999999</v>
      </c>
      <c r="M28" s="5">
        <v>5</v>
      </c>
      <c r="N28" s="8">
        <f t="shared" si="13"/>
        <v>8.2844909686921238</v>
      </c>
      <c r="O28" s="8">
        <f t="shared" si="14"/>
        <v>7.4524999999999997</v>
      </c>
      <c r="P28" s="5" t="s">
        <v>161</v>
      </c>
      <c r="T28" s="18" t="s">
        <v>93</v>
      </c>
      <c r="U28" s="7">
        <f>U19</f>
        <v>6.0215598370045091</v>
      </c>
      <c r="V28" s="7">
        <f>U20</f>
        <v>5.907866666666667</v>
      </c>
      <c r="W28" s="15">
        <v>100</v>
      </c>
      <c r="X28" s="15">
        <v>1</v>
      </c>
      <c r="Y28" s="7">
        <f>W28/(20)</f>
        <v>5</v>
      </c>
      <c r="Z28" s="7">
        <f>V28/Y28 *100</f>
        <v>118.15733333333334</v>
      </c>
      <c r="AA28" s="7">
        <f>U28/Y28 *100</f>
        <v>120.43119674009017</v>
      </c>
    </row>
    <row r="29" spans="1:30" x14ac:dyDescent="0.25">
      <c r="A29" s="5">
        <v>22</v>
      </c>
      <c r="B29" s="5" t="s">
        <v>140</v>
      </c>
      <c r="C29" s="5">
        <v>10</v>
      </c>
      <c r="D29" s="5">
        <v>50</v>
      </c>
      <c r="E29" s="5" t="s">
        <v>45</v>
      </c>
      <c r="F29" s="5" t="s">
        <v>145</v>
      </c>
      <c r="G29" s="5">
        <v>1</v>
      </c>
      <c r="H29" s="20">
        <v>3.6629999999999998</v>
      </c>
      <c r="I29" s="8">
        <v>0.35620000000000002</v>
      </c>
      <c r="J29" s="8"/>
      <c r="K29" s="8">
        <f t="shared" si="4"/>
        <v>1.4897601616308342</v>
      </c>
      <c r="L29" s="8">
        <v>1.3212999999999999</v>
      </c>
      <c r="M29" s="5">
        <v>5</v>
      </c>
      <c r="N29" s="8">
        <f t="shared" si="13"/>
        <v>7.4488008081541714</v>
      </c>
      <c r="O29" s="8">
        <f t="shared" si="14"/>
        <v>6.6064999999999996</v>
      </c>
      <c r="P29" s="5" t="s">
        <v>162</v>
      </c>
    </row>
    <row r="30" spans="1:30" x14ac:dyDescent="0.25">
      <c r="A30" s="5">
        <v>23</v>
      </c>
      <c r="B30" s="5" t="s">
        <v>141</v>
      </c>
      <c r="C30" s="5">
        <v>0</v>
      </c>
      <c r="D30" s="5">
        <v>50</v>
      </c>
      <c r="E30" s="5" t="s">
        <v>46</v>
      </c>
      <c r="F30" s="5" t="s">
        <v>145</v>
      </c>
      <c r="G30" s="5">
        <v>1</v>
      </c>
      <c r="H30" s="20">
        <v>3.66</v>
      </c>
      <c r="I30" s="8">
        <v>0.2334</v>
      </c>
      <c r="J30" s="8"/>
      <c r="K30" s="8">
        <f t="shared" si="4"/>
        <v>0.87340729848332366</v>
      </c>
      <c r="L30" s="8">
        <v>0.69710000000000005</v>
      </c>
      <c r="M30" s="5">
        <v>5</v>
      </c>
      <c r="N30" s="8">
        <f t="shared" si="13"/>
        <v>4.3670364924166183</v>
      </c>
      <c r="O30" s="8">
        <f t="shared" si="14"/>
        <v>3.4855</v>
      </c>
      <c r="P30" s="5" t="s">
        <v>163</v>
      </c>
    </row>
    <row r="31" spans="1:30" x14ac:dyDescent="0.25">
      <c r="A31" s="5">
        <v>24</v>
      </c>
      <c r="B31" s="5" t="s">
        <v>142</v>
      </c>
      <c r="C31" s="5">
        <v>10</v>
      </c>
      <c r="D31" s="5">
        <v>60</v>
      </c>
      <c r="E31" s="5" t="s">
        <v>46</v>
      </c>
      <c r="F31" s="5" t="s">
        <v>145</v>
      </c>
      <c r="G31" s="5">
        <v>1</v>
      </c>
      <c r="H31" s="20">
        <v>3.657</v>
      </c>
      <c r="I31" s="8">
        <v>0.3291</v>
      </c>
      <c r="J31" s="8"/>
      <c r="K31" s="8">
        <f t="shared" si="4"/>
        <v>1.3537409222880203</v>
      </c>
      <c r="L31" s="8">
        <v>1.1836</v>
      </c>
      <c r="M31" s="5">
        <v>5</v>
      </c>
      <c r="N31" s="8">
        <f t="shared" si="13"/>
        <v>6.7687046114401017</v>
      </c>
      <c r="O31" s="8">
        <f t="shared" si="14"/>
        <v>5.9180000000000001</v>
      </c>
      <c r="P31" s="5" t="s">
        <v>164</v>
      </c>
      <c r="T31" s="5"/>
      <c r="U31" s="3" t="s">
        <v>98</v>
      </c>
      <c r="V31" s="3" t="s">
        <v>99</v>
      </c>
      <c r="W31" s="3" t="s">
        <v>100</v>
      </c>
      <c r="X31" s="3" t="s">
        <v>101</v>
      </c>
      <c r="Y31" s="3" t="s">
        <v>102</v>
      </c>
      <c r="Z31" s="3" t="s">
        <v>103</v>
      </c>
      <c r="AA31" s="3" t="s">
        <v>104</v>
      </c>
      <c r="AB31" s="3" t="s">
        <v>86</v>
      </c>
      <c r="AC31" s="3" t="s">
        <v>87</v>
      </c>
    </row>
    <row r="32" spans="1:30" x14ac:dyDescent="0.25">
      <c r="A32" s="5">
        <v>25</v>
      </c>
      <c r="B32" s="5" t="s">
        <v>143</v>
      </c>
      <c r="C32" s="5">
        <v>10</v>
      </c>
      <c r="D32" s="5">
        <v>70</v>
      </c>
      <c r="E32" s="5" t="s">
        <v>46</v>
      </c>
      <c r="F32" s="5" t="s">
        <v>145</v>
      </c>
      <c r="G32" s="5">
        <v>1</v>
      </c>
      <c r="H32" s="20">
        <v>3.66</v>
      </c>
      <c r="I32" s="8">
        <v>1.6296999999999999</v>
      </c>
      <c r="J32" s="8"/>
      <c r="K32" s="8">
        <f t="shared" si="4"/>
        <v>7.8816605787184129</v>
      </c>
      <c r="L32" s="8">
        <v>7.7906000000000004</v>
      </c>
      <c r="M32" s="5">
        <v>5</v>
      </c>
      <c r="N32" s="8">
        <f t="shared" si="13"/>
        <v>39.408302893592065</v>
      </c>
      <c r="O32" s="8">
        <f t="shared" si="14"/>
        <v>38.953000000000003</v>
      </c>
      <c r="P32" s="5" t="s">
        <v>165</v>
      </c>
      <c r="T32" s="13" t="s">
        <v>94</v>
      </c>
      <c r="U32" s="8">
        <f>I5</f>
        <v>0.93489999999999995</v>
      </c>
      <c r="V32" s="8">
        <f>U18</f>
        <v>1.2591000000000001</v>
      </c>
      <c r="W32" s="8">
        <f>K5</f>
        <v>4.3943481250140941</v>
      </c>
      <c r="X32" s="8">
        <f>L5</f>
        <v>4.2610999999999999</v>
      </c>
      <c r="Y32" s="8">
        <f>U19</f>
        <v>6.0215598370045091</v>
      </c>
      <c r="Z32" s="8">
        <f>U20</f>
        <v>5.907866666666667</v>
      </c>
      <c r="AA32" s="8">
        <f>U32/V32 *100</f>
        <v>74.25144944801842</v>
      </c>
      <c r="AB32" s="8">
        <f>W32/Y32 *100</f>
        <v>72.976907046731441</v>
      </c>
      <c r="AC32" s="8">
        <f>X32/Z32 *100</f>
        <v>72.125866076869244</v>
      </c>
    </row>
    <row r="33" spans="1:16" x14ac:dyDescent="0.25">
      <c r="A33" s="5">
        <v>26</v>
      </c>
      <c r="B33" s="5" t="s">
        <v>144</v>
      </c>
      <c r="C33" s="5">
        <v>10</v>
      </c>
      <c r="D33" s="5">
        <v>100</v>
      </c>
      <c r="E33" s="5" t="s">
        <v>46</v>
      </c>
      <c r="F33" s="5" t="s">
        <v>145</v>
      </c>
      <c r="G33" s="5">
        <v>1</v>
      </c>
      <c r="H33" s="20">
        <v>3.66</v>
      </c>
      <c r="I33" s="8">
        <v>1.3182</v>
      </c>
      <c r="J33" s="8"/>
      <c r="K33" s="8">
        <f t="shared" si="4"/>
        <v>6.3181922002945576</v>
      </c>
      <c r="L33" s="8">
        <v>6.2083000000000004</v>
      </c>
      <c r="M33" s="5">
        <v>5</v>
      </c>
      <c r="N33" s="8">
        <f t="shared" si="13"/>
        <v>31.590961001472788</v>
      </c>
      <c r="O33" s="8">
        <f t="shared" si="14"/>
        <v>31.041500000000003</v>
      </c>
      <c r="P33" s="5" t="s">
        <v>166</v>
      </c>
    </row>
    <row r="34" spans="1:16" x14ac:dyDescent="0.25">
      <c r="A34" s="5">
        <v>27</v>
      </c>
      <c r="B34" s="5" t="s">
        <v>43</v>
      </c>
      <c r="C34" s="5"/>
      <c r="D34" s="5"/>
      <c r="E34" s="5"/>
      <c r="F34" s="5" t="s">
        <v>145</v>
      </c>
      <c r="G34" s="5">
        <v>1</v>
      </c>
      <c r="H34" s="20">
        <v>3.66</v>
      </c>
      <c r="I34" s="8">
        <v>1.3009999999999999</v>
      </c>
      <c r="J34" s="8"/>
      <c r="K34" s="8">
        <f t="shared" si="4"/>
        <v>6.2318626461729183</v>
      </c>
      <c r="L34" s="8">
        <v>6.1207000000000003</v>
      </c>
      <c r="M34" s="5">
        <v>20</v>
      </c>
      <c r="N34" s="8"/>
      <c r="O34" s="8"/>
      <c r="P34" s="5" t="s">
        <v>44</v>
      </c>
    </row>
    <row r="35" spans="1:16" x14ac:dyDescent="0.25">
      <c r="A35" s="5">
        <v>28</v>
      </c>
      <c r="B35" s="5" t="s">
        <v>25</v>
      </c>
      <c r="C35" s="5"/>
      <c r="D35" s="5"/>
      <c r="E35" s="5"/>
      <c r="F35" s="5" t="s">
        <v>145</v>
      </c>
      <c r="G35" s="5">
        <v>1</v>
      </c>
      <c r="H35" s="20">
        <v>3.657</v>
      </c>
      <c r="I35" s="8">
        <v>0.22140000000000001</v>
      </c>
      <c r="J35" s="8"/>
      <c r="K35" s="8">
        <f t="shared" si="4"/>
        <v>0.81317737700311099</v>
      </c>
      <c r="L35" s="8">
        <v>0.63619999999999999</v>
      </c>
      <c r="M35" s="5">
        <v>0</v>
      </c>
      <c r="N35" s="8"/>
      <c r="O35" s="8"/>
      <c r="P35" s="5" t="s">
        <v>26</v>
      </c>
    </row>
  </sheetData>
  <conditionalFormatting sqref="I2:I35">
    <cfRule type="cellIs" dxfId="23" priority="3" operator="lessThan">
      <formula>$U$12</formula>
    </cfRule>
    <cfRule type="cellIs" dxfId="22" priority="4" operator="lessThan">
      <formula>$V$12</formula>
    </cfRule>
  </conditionalFormatting>
  <conditionalFormatting sqref="K1:K35">
    <cfRule type="cellIs" dxfId="21" priority="1" operator="lessThan">
      <formula>$U$13</formula>
    </cfRule>
    <cfRule type="cellIs" dxfId="20" priority="2" operator="lessThan">
      <formula>$V$13</formula>
    </cfRule>
  </conditionalFormatting>
  <conditionalFormatting sqref="L1:L35">
    <cfRule type="cellIs" dxfId="19" priority="5" operator="lessThan">
      <formula>$U$14</formula>
    </cfRule>
    <cfRule type="cellIs" dxfId="18" priority="6" operator="lessThan">
      <formula>$V$14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C36D-5157-4481-B18A-49C2708BE9A7}">
  <dimension ref="A1:AI35"/>
  <sheetViews>
    <sheetView topLeftCell="R1" zoomScale="70" zoomScaleNormal="70" workbookViewId="0">
      <selection activeCell="U17" sqref="U17:AD17"/>
    </sheetView>
  </sheetViews>
  <sheetFormatPr defaultRowHeight="15" x14ac:dyDescent="0.25"/>
  <cols>
    <col min="9" max="10" width="9.140625" style="16"/>
    <col min="11" max="11" width="11.7109375" style="16" customWidth="1"/>
    <col min="12" max="12" width="14.85546875" style="16" customWidth="1"/>
    <col min="14" max="14" width="17.28515625" style="16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  <col min="41" max="41" width="8.570312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19" t="s">
        <v>21</v>
      </c>
      <c r="I1" s="19" t="s">
        <v>22</v>
      </c>
      <c r="J1" s="17" t="s">
        <v>107</v>
      </c>
      <c r="K1" s="19" t="s">
        <v>108</v>
      </c>
      <c r="L1" s="19" t="s">
        <v>109</v>
      </c>
      <c r="M1" s="3" t="s">
        <v>20</v>
      </c>
      <c r="N1" s="19" t="s">
        <v>110</v>
      </c>
      <c r="O1" s="19" t="s">
        <v>111</v>
      </c>
      <c r="P1" s="3" t="s">
        <v>23</v>
      </c>
      <c r="S1" s="1" t="s">
        <v>50</v>
      </c>
      <c r="T1" s="2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2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c_Nitrite_ calib_ppm</v>
      </c>
      <c r="AG1" s="1" t="s">
        <v>106</v>
      </c>
    </row>
    <row r="2" spans="1:35" x14ac:dyDescent="0.25">
      <c r="A2" s="5" t="s">
        <v>24</v>
      </c>
      <c r="B2" s="5" t="s">
        <v>25</v>
      </c>
      <c r="C2" s="5"/>
      <c r="D2" s="5"/>
      <c r="E2" s="5"/>
      <c r="F2" s="5" t="s">
        <v>145</v>
      </c>
      <c r="G2" s="5">
        <v>1</v>
      </c>
      <c r="H2" s="20">
        <v>0</v>
      </c>
      <c r="I2" s="8">
        <v>0</v>
      </c>
      <c r="J2" s="8">
        <v>0</v>
      </c>
      <c r="K2" s="8">
        <v>0</v>
      </c>
      <c r="L2" s="8">
        <v>0</v>
      </c>
      <c r="M2" s="5">
        <v>0</v>
      </c>
      <c r="N2" s="8"/>
      <c r="O2" s="8"/>
      <c r="P2" s="5" t="s">
        <v>26</v>
      </c>
      <c r="T2" s="6" t="str">
        <f t="shared" si="0"/>
        <v>Cal 1</v>
      </c>
      <c r="U2" s="5" t="str">
        <f t="shared" si="0"/>
        <v>Blank</v>
      </c>
      <c r="V2" s="5" t="str">
        <f t="shared" si="1"/>
        <v>20.11.2023</v>
      </c>
      <c r="W2" s="5">
        <f t="shared" si="1"/>
        <v>1</v>
      </c>
      <c r="X2" s="5">
        <f t="shared" si="2"/>
        <v>0</v>
      </c>
      <c r="Y2" s="8">
        <f t="shared" si="3"/>
        <v>0</v>
      </c>
      <c r="Z2" s="8">
        <f t="shared" si="3"/>
        <v>0</v>
      </c>
      <c r="AA2" s="5">
        <f t="shared" si="3"/>
        <v>0</v>
      </c>
      <c r="AG2" s="3" t="s">
        <v>51</v>
      </c>
      <c r="AH2" s="3" t="s">
        <v>52</v>
      </c>
    </row>
    <row r="3" spans="1:35" x14ac:dyDescent="0.25">
      <c r="A3" s="5" t="s">
        <v>27</v>
      </c>
      <c r="B3" s="5" t="s">
        <v>28</v>
      </c>
      <c r="C3" s="5"/>
      <c r="D3" s="5"/>
      <c r="E3" s="5"/>
      <c r="F3" s="5" t="s">
        <v>145</v>
      </c>
      <c r="G3" s="5">
        <v>1</v>
      </c>
      <c r="H3" s="20">
        <v>4.18</v>
      </c>
      <c r="I3" s="8">
        <v>7.1800000000000003E-2</v>
      </c>
      <c r="J3" s="8">
        <v>1</v>
      </c>
      <c r="K3" s="8">
        <f t="shared" ref="K3:K35" si="4">IF(H3="NA", "NA", ((I3-($AH$3))/$AG$3))</f>
        <v>1.1112901022793913</v>
      </c>
      <c r="L3" s="8">
        <v>1.3045</v>
      </c>
      <c r="M3" s="5">
        <v>100</v>
      </c>
      <c r="N3" s="8"/>
      <c r="O3" s="8"/>
      <c r="P3" s="5" t="s">
        <v>29</v>
      </c>
      <c r="T3" s="4" t="str">
        <f t="shared" si="0"/>
        <v>Cal 2</v>
      </c>
      <c r="U3" s="5" t="str">
        <f t="shared" si="0"/>
        <v>x 100</v>
      </c>
      <c r="V3" s="5" t="str">
        <f t="shared" si="1"/>
        <v>20.11.2023</v>
      </c>
      <c r="W3" s="5">
        <f t="shared" si="1"/>
        <v>1</v>
      </c>
      <c r="X3" s="5">
        <f t="shared" si="2"/>
        <v>100</v>
      </c>
      <c r="Y3" s="8">
        <f t="shared" si="3"/>
        <v>4.18</v>
      </c>
      <c r="Z3" s="8">
        <f t="shared" si="3"/>
        <v>7.1800000000000003E-2</v>
      </c>
      <c r="AA3" s="5">
        <f t="shared" si="3"/>
        <v>1</v>
      </c>
      <c r="AF3" t="s">
        <v>53</v>
      </c>
      <c r="AG3" s="8" cm="1">
        <f t="array" ref="AG3:AH7">LINEST(Z2:Z7,AA2:AA7, TRUE, TRUE)</f>
        <v>0.11471244239631337</v>
      </c>
      <c r="AH3" s="8">
        <v>-5.567880184331786E-2</v>
      </c>
      <c r="AI3" s="9" t="s">
        <v>54</v>
      </c>
    </row>
    <row r="4" spans="1:35" x14ac:dyDescent="0.25">
      <c r="A4" s="5" t="s">
        <v>30</v>
      </c>
      <c r="B4" s="5" t="s">
        <v>31</v>
      </c>
      <c r="C4" s="5"/>
      <c r="D4" s="5"/>
      <c r="E4" s="5"/>
      <c r="F4" s="5" t="s">
        <v>145</v>
      </c>
      <c r="G4" s="5">
        <v>1</v>
      </c>
      <c r="H4" s="20">
        <v>4.18</v>
      </c>
      <c r="I4" s="8">
        <v>0.159</v>
      </c>
      <c r="J4" s="8">
        <v>2</v>
      </c>
      <c r="K4" s="8">
        <f t="shared" si="4"/>
        <v>1.8714517567469839</v>
      </c>
      <c r="L4" s="8">
        <v>2.0535999999999999</v>
      </c>
      <c r="M4" s="5">
        <v>50</v>
      </c>
      <c r="N4" s="8"/>
      <c r="O4" s="8"/>
      <c r="P4" s="5" t="s">
        <v>32</v>
      </c>
      <c r="T4" s="4" t="str">
        <f t="shared" si="0"/>
        <v>Cal 3</v>
      </c>
      <c r="U4" s="5" t="str">
        <f t="shared" si="0"/>
        <v>x 50</v>
      </c>
      <c r="V4" s="5" t="str">
        <f t="shared" si="1"/>
        <v>20.11.2023</v>
      </c>
      <c r="W4" s="5">
        <f t="shared" si="1"/>
        <v>1</v>
      </c>
      <c r="X4" s="5">
        <f t="shared" si="2"/>
        <v>50</v>
      </c>
      <c r="Y4" s="8">
        <f t="shared" si="3"/>
        <v>4.18</v>
      </c>
      <c r="Z4" s="8">
        <f t="shared" si="3"/>
        <v>0.159</v>
      </c>
      <c r="AA4" s="5">
        <f t="shared" si="3"/>
        <v>2</v>
      </c>
      <c r="AF4" t="s">
        <v>55</v>
      </c>
      <c r="AG4" s="8">
        <v>2.6622156509699796E-3</v>
      </c>
      <c r="AH4" s="8">
        <v>2.5021050641752446E-2</v>
      </c>
      <c r="AI4" t="s">
        <v>56</v>
      </c>
    </row>
    <row r="5" spans="1:35" x14ac:dyDescent="0.25">
      <c r="A5" s="5" t="s">
        <v>33</v>
      </c>
      <c r="B5" s="5" t="s">
        <v>34</v>
      </c>
      <c r="C5" s="5"/>
      <c r="D5" s="5"/>
      <c r="E5" s="5"/>
      <c r="F5" s="5" t="s">
        <v>145</v>
      </c>
      <c r="G5" s="5">
        <v>1</v>
      </c>
      <c r="H5" s="20">
        <v>4.18</v>
      </c>
      <c r="I5" s="8">
        <v>0.45540000000000003</v>
      </c>
      <c r="J5" s="8">
        <v>5</v>
      </c>
      <c r="K5" s="8">
        <f t="shared" si="4"/>
        <v>4.4553039859235266</v>
      </c>
      <c r="L5" s="8">
        <v>4.5983000000000001</v>
      </c>
      <c r="M5" s="5">
        <v>20</v>
      </c>
      <c r="N5" s="8"/>
      <c r="O5" s="8"/>
      <c r="P5" s="5" t="s">
        <v>35</v>
      </c>
      <c r="T5" s="4" t="str">
        <f t="shared" si="0"/>
        <v>Cal 4</v>
      </c>
      <c r="U5" s="5" t="str">
        <f t="shared" si="0"/>
        <v>x 20</v>
      </c>
      <c r="V5" s="5" t="str">
        <f t="shared" si="1"/>
        <v>20.11.2023</v>
      </c>
      <c r="W5" s="5">
        <f t="shared" si="1"/>
        <v>1</v>
      </c>
      <c r="X5" s="5">
        <f t="shared" si="2"/>
        <v>20</v>
      </c>
      <c r="Y5" s="8">
        <f t="shared" si="3"/>
        <v>4.18</v>
      </c>
      <c r="Z5" s="8">
        <f t="shared" si="3"/>
        <v>0.45540000000000003</v>
      </c>
      <c r="AA5" s="5">
        <f t="shared" si="3"/>
        <v>5</v>
      </c>
      <c r="AF5" t="s">
        <v>57</v>
      </c>
      <c r="AG5" s="8">
        <v>0.99785023609322243</v>
      </c>
      <c r="AH5" s="8">
        <v>4.5283758698271857E-2</v>
      </c>
      <c r="AI5" t="s">
        <v>58</v>
      </c>
    </row>
    <row r="6" spans="1:35" x14ac:dyDescent="0.25">
      <c r="A6" s="5" t="s">
        <v>36</v>
      </c>
      <c r="B6" s="5" t="s">
        <v>37</v>
      </c>
      <c r="C6" s="5"/>
      <c r="D6" s="5"/>
      <c r="E6" s="5"/>
      <c r="F6" s="5" t="s">
        <v>145</v>
      </c>
      <c r="G6" s="5">
        <v>1</v>
      </c>
      <c r="H6" s="20">
        <v>4.1829999999999998</v>
      </c>
      <c r="I6" s="8">
        <v>1.0761000000000001</v>
      </c>
      <c r="J6" s="8">
        <v>10</v>
      </c>
      <c r="K6" s="8">
        <f t="shared" si="4"/>
        <v>9.8662253039055781</v>
      </c>
      <c r="L6" s="8">
        <v>9.9276</v>
      </c>
      <c r="M6" s="5">
        <v>10</v>
      </c>
      <c r="N6" s="8"/>
      <c r="O6" s="8"/>
      <c r="P6" s="5" t="s">
        <v>38</v>
      </c>
      <c r="T6" s="4" t="str">
        <f t="shared" si="0"/>
        <v>Cal 5</v>
      </c>
      <c r="U6" s="5" t="str">
        <f t="shared" si="0"/>
        <v>x 10</v>
      </c>
      <c r="V6" s="5" t="str">
        <f t="shared" si="1"/>
        <v>20.11.2023</v>
      </c>
      <c r="W6" s="5">
        <f t="shared" si="1"/>
        <v>1</v>
      </c>
      <c r="X6" s="5">
        <f t="shared" si="2"/>
        <v>10</v>
      </c>
      <c r="Y6" s="8">
        <f t="shared" si="3"/>
        <v>4.1829999999999998</v>
      </c>
      <c r="Z6" s="8">
        <f t="shared" si="3"/>
        <v>1.0761000000000001</v>
      </c>
      <c r="AA6" s="5">
        <f t="shared" si="3"/>
        <v>10</v>
      </c>
      <c r="AF6" t="s">
        <v>59</v>
      </c>
      <c r="AG6" s="8">
        <v>1856.6694378806726</v>
      </c>
      <c r="AH6" s="8">
        <v>4</v>
      </c>
      <c r="AI6" t="s">
        <v>60</v>
      </c>
    </row>
    <row r="7" spans="1:35" x14ac:dyDescent="0.25">
      <c r="A7" s="5" t="s">
        <v>39</v>
      </c>
      <c r="B7" s="5" t="s">
        <v>40</v>
      </c>
      <c r="C7" s="5"/>
      <c r="D7" s="5"/>
      <c r="E7" s="5"/>
      <c r="F7" s="5" t="s">
        <v>145</v>
      </c>
      <c r="G7" s="5">
        <v>1</v>
      </c>
      <c r="H7" s="20">
        <v>4.1870000000000003</v>
      </c>
      <c r="I7" s="8">
        <v>2.2627000000000002</v>
      </c>
      <c r="J7" s="8">
        <v>20</v>
      </c>
      <c r="K7" s="8">
        <f t="shared" si="4"/>
        <v>20.210351670777662</v>
      </c>
      <c r="L7" s="8">
        <v>20.116</v>
      </c>
      <c r="M7" s="5">
        <v>5</v>
      </c>
      <c r="N7" s="8"/>
      <c r="O7" s="8"/>
      <c r="P7" s="5" t="s">
        <v>41</v>
      </c>
      <c r="T7" s="4" t="str">
        <f t="shared" si="0"/>
        <v>Cal 6</v>
      </c>
      <c r="U7" s="5" t="str">
        <f t="shared" si="0"/>
        <v>x 5</v>
      </c>
      <c r="V7" s="5" t="str">
        <f t="shared" si="1"/>
        <v>20.11.2023</v>
      </c>
      <c r="W7" s="5">
        <f t="shared" si="1"/>
        <v>1</v>
      </c>
      <c r="X7" s="5">
        <f t="shared" si="2"/>
        <v>5</v>
      </c>
      <c r="Y7" s="8">
        <f t="shared" si="3"/>
        <v>4.1870000000000003</v>
      </c>
      <c r="Z7" s="8">
        <f t="shared" si="3"/>
        <v>2.2627000000000002</v>
      </c>
      <c r="AA7" s="5">
        <f t="shared" si="3"/>
        <v>20</v>
      </c>
      <c r="AF7" t="s">
        <v>61</v>
      </c>
      <c r="AG7" s="8">
        <v>3.807321258125961</v>
      </c>
      <c r="AH7" s="8">
        <v>8.2024752073732495E-3</v>
      </c>
      <c r="AI7" t="s">
        <v>62</v>
      </c>
    </row>
    <row r="8" spans="1:35" x14ac:dyDescent="0.25">
      <c r="A8" s="5">
        <v>1</v>
      </c>
      <c r="B8" s="5" t="s">
        <v>42</v>
      </c>
      <c r="C8" s="5"/>
      <c r="D8" s="5"/>
      <c r="E8" s="5"/>
      <c r="F8" s="5" t="s">
        <v>145</v>
      </c>
      <c r="G8" s="5">
        <v>1</v>
      </c>
      <c r="H8" s="20">
        <v>4.1769999999999996</v>
      </c>
      <c r="I8" s="8">
        <v>1.11E-2</v>
      </c>
      <c r="J8" s="8"/>
      <c r="K8" s="8">
        <f t="shared" si="4"/>
        <v>0.58214087720848662</v>
      </c>
      <c r="L8" s="8">
        <v>0.78310000000000002</v>
      </c>
      <c r="M8" s="5">
        <v>0</v>
      </c>
      <c r="N8" s="8"/>
      <c r="O8" s="8"/>
      <c r="P8" s="5" t="s">
        <v>26</v>
      </c>
      <c r="S8" s="1"/>
    </row>
    <row r="9" spans="1:35" x14ac:dyDescent="0.25">
      <c r="A9" s="5">
        <v>2</v>
      </c>
      <c r="B9" s="5" t="s">
        <v>43</v>
      </c>
      <c r="C9" s="5"/>
      <c r="D9" s="5"/>
      <c r="E9" s="5"/>
      <c r="F9" s="5" t="s">
        <v>145</v>
      </c>
      <c r="G9" s="5">
        <v>1</v>
      </c>
      <c r="H9" s="20">
        <v>4.1829999999999998</v>
      </c>
      <c r="I9" s="8">
        <v>0.5171</v>
      </c>
      <c r="J9" s="8"/>
      <c r="K9" s="8">
        <f t="shared" si="4"/>
        <v>4.9931706611603435</v>
      </c>
      <c r="L9" s="8">
        <v>5.1283000000000003</v>
      </c>
      <c r="M9" s="5">
        <v>20</v>
      </c>
      <c r="N9" s="8"/>
      <c r="O9" s="8"/>
      <c r="P9" s="5" t="s">
        <v>44</v>
      </c>
    </row>
    <row r="10" spans="1:35" x14ac:dyDescent="0.25">
      <c r="A10" s="5">
        <v>3</v>
      </c>
      <c r="B10" s="5" t="s">
        <v>126</v>
      </c>
      <c r="C10" s="5">
        <v>0</v>
      </c>
      <c r="D10" s="5">
        <v>40</v>
      </c>
      <c r="E10" s="5" t="s">
        <v>45</v>
      </c>
      <c r="F10" s="5" t="s">
        <v>145</v>
      </c>
      <c r="G10" s="5">
        <v>1</v>
      </c>
      <c r="H10" s="20" t="s">
        <v>112</v>
      </c>
      <c r="I10" s="8" t="s">
        <v>112</v>
      </c>
      <c r="J10" s="8"/>
      <c r="K10" s="8" t="str">
        <f t="shared" si="4"/>
        <v>NA</v>
      </c>
      <c r="L10" s="8" t="s">
        <v>112</v>
      </c>
      <c r="M10" s="5">
        <v>5</v>
      </c>
      <c r="N10" s="8" t="str">
        <f t="shared" ref="N10:N21" si="5">IF(H10="NA", "NA",M10*K10)</f>
        <v>NA</v>
      </c>
      <c r="O10" s="8" t="str">
        <f t="shared" ref="O10:O18" si="6">IF(H10="NA", "NA",M10*L10)</f>
        <v>NA</v>
      </c>
      <c r="P10" s="5" t="s">
        <v>146</v>
      </c>
    </row>
    <row r="11" spans="1:35" x14ac:dyDescent="0.25">
      <c r="A11" s="5">
        <v>4</v>
      </c>
      <c r="B11" s="5" t="s">
        <v>127</v>
      </c>
      <c r="C11" s="5">
        <v>10</v>
      </c>
      <c r="D11" s="5">
        <v>0</v>
      </c>
      <c r="E11" s="5" t="s">
        <v>46</v>
      </c>
      <c r="F11" s="5" t="s">
        <v>145</v>
      </c>
      <c r="G11" s="5">
        <v>1</v>
      </c>
      <c r="H11" s="20" t="s">
        <v>112</v>
      </c>
      <c r="I11" s="8" t="s">
        <v>112</v>
      </c>
      <c r="J11" s="8"/>
      <c r="K11" s="8" t="str">
        <f t="shared" si="4"/>
        <v>NA</v>
      </c>
      <c r="L11" s="8" t="s">
        <v>112</v>
      </c>
      <c r="M11" s="5">
        <v>5</v>
      </c>
      <c r="N11" s="8" t="str">
        <f t="shared" si="5"/>
        <v>NA</v>
      </c>
      <c r="O11" s="8" t="str">
        <f t="shared" si="6"/>
        <v>NA</v>
      </c>
      <c r="P11" s="5" t="s">
        <v>147</v>
      </c>
      <c r="S11" s="1" t="s">
        <v>63</v>
      </c>
      <c r="T11" s="10"/>
      <c r="U11" s="11" t="s">
        <v>64</v>
      </c>
      <c r="V11" s="12" t="s">
        <v>65</v>
      </c>
    </row>
    <row r="12" spans="1:35" x14ac:dyDescent="0.25">
      <c r="A12" s="5">
        <v>5</v>
      </c>
      <c r="B12" s="5" t="s">
        <v>128</v>
      </c>
      <c r="C12" s="5">
        <v>10</v>
      </c>
      <c r="D12" s="5">
        <v>90</v>
      </c>
      <c r="E12" s="5" t="s">
        <v>46</v>
      </c>
      <c r="F12" s="5" t="s">
        <v>145</v>
      </c>
      <c r="G12" s="5">
        <v>1</v>
      </c>
      <c r="H12" s="20" t="s">
        <v>112</v>
      </c>
      <c r="I12" s="8" t="s">
        <v>112</v>
      </c>
      <c r="J12" s="8"/>
      <c r="K12" s="8" t="str">
        <f t="shared" si="4"/>
        <v>NA</v>
      </c>
      <c r="L12" s="8" t="s">
        <v>112</v>
      </c>
      <c r="M12" s="5">
        <v>5</v>
      </c>
      <c r="N12" s="8" t="str">
        <f t="shared" si="5"/>
        <v>NA</v>
      </c>
      <c r="O12" s="8" t="str">
        <f t="shared" si="6"/>
        <v>NA</v>
      </c>
      <c r="P12" s="5" t="s">
        <v>148</v>
      </c>
      <c r="T12" s="13" t="s">
        <v>97</v>
      </c>
      <c r="U12" s="8" t="e">
        <f xml:space="preserve"> AVERAGE(I8,I22,I26,I35)+3*STDEV(I8,I22,I26,I35)</f>
        <v>#DIV/0!</v>
      </c>
      <c r="V12" s="8" t="e">
        <f xml:space="preserve"> AVERAGE(I8,I22,I26,I35)+10*STDEV(I8,I22,I26,I35)</f>
        <v>#DIV/0!</v>
      </c>
    </row>
    <row r="13" spans="1:35" x14ac:dyDescent="0.25">
      <c r="A13" s="5">
        <v>6</v>
      </c>
      <c r="B13" s="5" t="s">
        <v>129</v>
      </c>
      <c r="C13" s="5">
        <v>10</v>
      </c>
      <c r="D13" s="5">
        <v>10</v>
      </c>
      <c r="E13" s="5" t="s">
        <v>45</v>
      </c>
      <c r="F13" s="5" t="s">
        <v>145</v>
      </c>
      <c r="G13" s="5">
        <v>1</v>
      </c>
      <c r="H13" s="20" t="s">
        <v>112</v>
      </c>
      <c r="I13" s="8" t="s">
        <v>112</v>
      </c>
      <c r="J13" s="8"/>
      <c r="K13" s="8" t="str">
        <f t="shared" si="4"/>
        <v>NA</v>
      </c>
      <c r="L13" s="8" t="s">
        <v>112</v>
      </c>
      <c r="M13" s="5">
        <v>5</v>
      </c>
      <c r="N13" s="8" t="str">
        <f t="shared" si="5"/>
        <v>NA</v>
      </c>
      <c r="O13" s="8" t="str">
        <f t="shared" si="6"/>
        <v>NA</v>
      </c>
      <c r="P13" s="5" t="s">
        <v>149</v>
      </c>
      <c r="T13" s="13" t="s">
        <v>91</v>
      </c>
      <c r="U13" s="8" t="e">
        <f xml:space="preserve"> AVERAGE(K8,K22,K26,K35)+3*STDEV(K8,K22,K26,K35)</f>
        <v>#DIV/0!</v>
      </c>
      <c r="V13" s="8" t="e">
        <f xml:space="preserve"> AVERAGE(K8,K22,K26,K35)+10*STDEV(K8,K22,K26,K35)</f>
        <v>#DIV/0!</v>
      </c>
    </row>
    <row r="14" spans="1:35" x14ac:dyDescent="0.25">
      <c r="A14" s="5">
        <v>7</v>
      </c>
      <c r="B14" s="5" t="s">
        <v>130</v>
      </c>
      <c r="C14" s="5">
        <v>10</v>
      </c>
      <c r="D14" s="5">
        <v>80</v>
      </c>
      <c r="E14" s="5" t="s">
        <v>45</v>
      </c>
      <c r="F14" s="5" t="s">
        <v>145</v>
      </c>
      <c r="G14" s="5">
        <v>1</v>
      </c>
      <c r="H14" s="20" t="s">
        <v>112</v>
      </c>
      <c r="I14" s="8" t="s">
        <v>112</v>
      </c>
      <c r="J14" s="8"/>
      <c r="K14" s="8" t="str">
        <f t="shared" si="4"/>
        <v>NA</v>
      </c>
      <c r="L14" s="8" t="s">
        <v>112</v>
      </c>
      <c r="M14" s="5">
        <v>5</v>
      </c>
      <c r="N14" s="8" t="str">
        <f t="shared" si="5"/>
        <v>NA</v>
      </c>
      <c r="O14" s="8" t="str">
        <f t="shared" si="6"/>
        <v>NA</v>
      </c>
      <c r="P14" s="5" t="s">
        <v>150</v>
      </c>
      <c r="T14" s="13" t="s">
        <v>92</v>
      </c>
      <c r="U14" s="8" t="e">
        <f xml:space="preserve"> AVERAGE(L8,L22,L26,L35)+3*STDEV(L8,L22,L26,L35)</f>
        <v>#DIV/0!</v>
      </c>
      <c r="V14" s="8" t="e">
        <f xml:space="preserve"> AVERAGE(L8,L22,L26,L35)+10*STDEV(L8,L22,L26,L35)</f>
        <v>#DIV/0!</v>
      </c>
    </row>
    <row r="15" spans="1:35" x14ac:dyDescent="0.25">
      <c r="A15" s="5">
        <v>8</v>
      </c>
      <c r="B15" s="5" t="s">
        <v>131</v>
      </c>
      <c r="C15" s="5">
        <v>10</v>
      </c>
      <c r="D15" s="5">
        <v>20</v>
      </c>
      <c r="E15" s="5" t="s">
        <v>46</v>
      </c>
      <c r="F15" s="5" t="s">
        <v>145</v>
      </c>
      <c r="G15" s="5">
        <v>1</v>
      </c>
      <c r="H15" s="20" t="s">
        <v>112</v>
      </c>
      <c r="I15" s="8" t="s">
        <v>112</v>
      </c>
      <c r="J15" s="8"/>
      <c r="K15" s="8" t="str">
        <f t="shared" si="4"/>
        <v>NA</v>
      </c>
      <c r="L15" s="8" t="s">
        <v>112</v>
      </c>
      <c r="M15" s="5">
        <v>5</v>
      </c>
      <c r="N15" s="8" t="str">
        <f t="shared" si="5"/>
        <v>NA</v>
      </c>
      <c r="O15" s="8" t="str">
        <f t="shared" si="6"/>
        <v>NA</v>
      </c>
      <c r="P15" s="5" t="s">
        <v>151</v>
      </c>
    </row>
    <row r="16" spans="1:35" x14ac:dyDescent="0.25">
      <c r="A16" s="5">
        <v>9</v>
      </c>
      <c r="B16" s="5" t="s">
        <v>132</v>
      </c>
      <c r="C16" s="5">
        <v>20</v>
      </c>
      <c r="D16" s="5">
        <v>30</v>
      </c>
      <c r="E16" s="5" t="s">
        <v>45</v>
      </c>
      <c r="F16" s="5" t="s">
        <v>145</v>
      </c>
      <c r="G16" s="5">
        <v>1</v>
      </c>
      <c r="H16" s="20" t="s">
        <v>112</v>
      </c>
      <c r="I16" s="8" t="s">
        <v>112</v>
      </c>
      <c r="J16" s="8"/>
      <c r="K16" s="8" t="str">
        <f t="shared" si="4"/>
        <v>NA</v>
      </c>
      <c r="L16" s="8" t="s">
        <v>112</v>
      </c>
      <c r="M16" s="5">
        <v>5</v>
      </c>
      <c r="N16" s="8" t="str">
        <f t="shared" si="5"/>
        <v>NA</v>
      </c>
      <c r="O16" s="8" t="str">
        <f t="shared" si="6"/>
        <v>NA</v>
      </c>
      <c r="P16" s="5" t="s">
        <v>152</v>
      </c>
      <c r="S16" s="1" t="s">
        <v>66</v>
      </c>
      <c r="T16" s="2"/>
      <c r="U16" s="3" t="s">
        <v>67</v>
      </c>
      <c r="V16" s="3" t="s">
        <v>68</v>
      </c>
      <c r="W16" s="3" t="s">
        <v>69</v>
      </c>
      <c r="X16" s="3" t="s">
        <v>70</v>
      </c>
      <c r="Y16" s="2" t="s">
        <v>71</v>
      </c>
      <c r="Z16" s="3" t="s">
        <v>72</v>
      </c>
      <c r="AA16" s="3" t="s">
        <v>73</v>
      </c>
      <c r="AB16" s="3" t="s">
        <v>74</v>
      </c>
      <c r="AC16" s="3" t="s">
        <v>75</v>
      </c>
      <c r="AD16" s="3" t="s">
        <v>76</v>
      </c>
    </row>
    <row r="17" spans="1:30" x14ac:dyDescent="0.25">
      <c r="A17" s="5">
        <v>10</v>
      </c>
      <c r="B17" s="5" t="s">
        <v>133</v>
      </c>
      <c r="C17" s="5">
        <v>10</v>
      </c>
      <c r="D17" s="5">
        <v>30</v>
      </c>
      <c r="E17" s="5" t="s">
        <v>45</v>
      </c>
      <c r="F17" s="5" t="s">
        <v>145</v>
      </c>
      <c r="G17" s="5">
        <v>1</v>
      </c>
      <c r="H17" s="20" t="s">
        <v>112</v>
      </c>
      <c r="I17" s="8" t="s">
        <v>112</v>
      </c>
      <c r="J17" s="8"/>
      <c r="K17" s="8" t="str">
        <f t="shared" si="4"/>
        <v>NA</v>
      </c>
      <c r="L17" s="8" t="s">
        <v>112</v>
      </c>
      <c r="M17" s="5">
        <v>5</v>
      </c>
      <c r="N17" s="8" t="str">
        <f t="shared" si="5"/>
        <v>NA</v>
      </c>
      <c r="O17" s="8" t="str">
        <f t="shared" si="6"/>
        <v>NA</v>
      </c>
      <c r="P17" s="5" t="s">
        <v>153</v>
      </c>
      <c r="T17" s="13" t="s">
        <v>105</v>
      </c>
      <c r="U17" s="20">
        <f>AVERAGE(H3:H24)</f>
        <v>4.1736666666666666</v>
      </c>
      <c r="V17" s="20">
        <f>MEDIAN(H3:H24)</f>
        <v>4.18</v>
      </c>
      <c r="W17" s="20">
        <f>STDEV(H3:H24)</f>
        <v>2.4041630560342468E-2</v>
      </c>
      <c r="X17" s="20">
        <f>W17/U17*100</f>
        <v>0.57603140069505154</v>
      </c>
      <c r="Y17" s="20">
        <f>VAR(H3:H24)</f>
        <v>5.7799999999999291E-4</v>
      </c>
      <c r="Z17" s="20">
        <f>MAX(H3:H24)</f>
        <v>4.1870000000000003</v>
      </c>
      <c r="AA17" s="20">
        <f>MIN(H3:H24)</f>
        <v>4.1100000000000003</v>
      </c>
      <c r="AB17" s="20">
        <f>Z17-AA17</f>
        <v>7.6999999999999957E-2</v>
      </c>
      <c r="AC17" s="20">
        <f>COUNT(H3:H24)</f>
        <v>9</v>
      </c>
      <c r="AD17" s="20">
        <f>W17/SQRT(AC17)</f>
        <v>8.0138768534474894E-3</v>
      </c>
    </row>
    <row r="18" spans="1:30" x14ac:dyDescent="0.25">
      <c r="A18" s="5">
        <v>11</v>
      </c>
      <c r="B18" s="5" t="s">
        <v>134</v>
      </c>
      <c r="C18" s="5">
        <v>10</v>
      </c>
      <c r="D18" s="5">
        <v>20</v>
      </c>
      <c r="E18" s="5" t="s">
        <v>45</v>
      </c>
      <c r="F18" s="5" t="s">
        <v>145</v>
      </c>
      <c r="G18" s="5">
        <v>1</v>
      </c>
      <c r="H18" s="20" t="s">
        <v>112</v>
      </c>
      <c r="I18" s="8" t="s">
        <v>112</v>
      </c>
      <c r="J18" s="8"/>
      <c r="K18" s="8" t="str">
        <f t="shared" si="4"/>
        <v>NA</v>
      </c>
      <c r="L18" s="8" t="s">
        <v>112</v>
      </c>
      <c r="M18" s="5">
        <v>5</v>
      </c>
      <c r="N18" s="8" t="str">
        <f t="shared" si="5"/>
        <v>NA</v>
      </c>
      <c r="O18" s="8" t="str">
        <f t="shared" si="6"/>
        <v>NA</v>
      </c>
      <c r="P18" s="5" t="s">
        <v>154</v>
      </c>
      <c r="T18" s="13" t="s">
        <v>95</v>
      </c>
      <c r="U18" s="8">
        <f>AVERAGE(I9,I23,I34)</f>
        <v>0.50346666666666673</v>
      </c>
      <c r="V18" s="8">
        <f>MEDIAN(I9,I23,I34)</f>
        <v>0.5091</v>
      </c>
      <c r="W18" s="8">
        <f>STDEV(I9,I23,I34)</f>
        <v>1.7158185607264335E-2</v>
      </c>
      <c r="X18" s="8">
        <f>W18/U18*100</f>
        <v>3.4080082641547271</v>
      </c>
      <c r="Y18" s="8">
        <f>VAR(I9,I23,I34)</f>
        <v>2.9440333333333299E-4</v>
      </c>
      <c r="Z18" s="8">
        <f>MAX(I9,I23,I34)</f>
        <v>0.5171</v>
      </c>
      <c r="AA18" s="8">
        <f>MIN(I9,I23,I34)</f>
        <v>0.48420000000000002</v>
      </c>
      <c r="AB18" s="8">
        <f>Z18-AA18</f>
        <v>3.2899999999999985E-2</v>
      </c>
      <c r="AC18" s="8">
        <f>COUNT(I9,I23,I34)</f>
        <v>3</v>
      </c>
      <c r="AD18" s="8">
        <f>W18/SQRT(AC18)</f>
        <v>9.9062830791596269E-3</v>
      </c>
    </row>
    <row r="19" spans="1:30" x14ac:dyDescent="0.25">
      <c r="A19" s="5">
        <v>12</v>
      </c>
      <c r="B19" s="5" t="s">
        <v>135</v>
      </c>
      <c r="C19" s="5">
        <v>10</v>
      </c>
      <c r="D19" s="5">
        <v>100</v>
      </c>
      <c r="E19" s="5" t="s">
        <v>45</v>
      </c>
      <c r="F19" s="5" t="s">
        <v>145</v>
      </c>
      <c r="G19" s="5">
        <v>1</v>
      </c>
      <c r="H19" s="20">
        <v>4.1100000000000003</v>
      </c>
      <c r="I19" s="8">
        <v>5.4300000000000001E-2</v>
      </c>
      <c r="J19" s="8"/>
      <c r="K19" s="8">
        <f>IF(H19="NA", "NA", ((I19-($AH$3))/$AG$3))</f>
        <v>0.95873472437591789</v>
      </c>
      <c r="L19" s="8">
        <v>1.1547000000000001</v>
      </c>
      <c r="M19" s="5">
        <v>5</v>
      </c>
      <c r="N19" s="8">
        <f>IF(H19="NA", "NA",M19*K19)</f>
        <v>4.7936736218795897</v>
      </c>
      <c r="O19" s="8">
        <f>IF(L19="NA", "NA",M19*L19)</f>
        <v>5.7735000000000003</v>
      </c>
      <c r="P19" s="5" t="s">
        <v>155</v>
      </c>
      <c r="T19" s="13" t="s">
        <v>77</v>
      </c>
      <c r="U19" s="8">
        <f>AVERAGE(K9,K23,K34)</f>
        <v>4.8743227572317336</v>
      </c>
      <c r="V19" s="8">
        <f>MEDIAN(K9,K23,K34)</f>
        <v>4.9234310598330415</v>
      </c>
      <c r="W19" s="8">
        <f>STDEV(K9,K23,K34)</f>
        <v>0.14957562796880886</v>
      </c>
      <c r="X19" s="8">
        <f>W19/U19*100</f>
        <v>3.0686443105740726</v>
      </c>
      <c r="Y19" s="8">
        <f>VAR(K9,K23,K34)</f>
        <v>2.2372868482263514E-2</v>
      </c>
      <c r="Z19" s="8">
        <f>MAX(K9,K23,K34)</f>
        <v>4.9931706611603435</v>
      </c>
      <c r="AA19" s="8">
        <f>MIN(K9,K23,K34)</f>
        <v>4.7063665507018131</v>
      </c>
      <c r="AB19" s="8">
        <f>Z19-AA19</f>
        <v>0.28680411045853038</v>
      </c>
      <c r="AC19" s="8">
        <f>COUNT(K9,K23,K34)</f>
        <v>3</v>
      </c>
      <c r="AD19" s="8">
        <f>W19/SQRT(AC19)</f>
        <v>8.6357529071999117E-2</v>
      </c>
    </row>
    <row r="20" spans="1:30" x14ac:dyDescent="0.25">
      <c r="A20" s="5">
        <v>13</v>
      </c>
      <c r="B20" s="5" t="s">
        <v>136</v>
      </c>
      <c r="C20" s="5">
        <v>10</v>
      </c>
      <c r="D20" s="5">
        <v>80</v>
      </c>
      <c r="E20" s="5" t="s">
        <v>46</v>
      </c>
      <c r="F20" s="5" t="s">
        <v>145</v>
      </c>
      <c r="G20" s="5">
        <v>1</v>
      </c>
      <c r="H20" s="20" t="s">
        <v>112</v>
      </c>
      <c r="I20" s="8" t="s">
        <v>112</v>
      </c>
      <c r="J20" s="8"/>
      <c r="K20" s="8" t="str">
        <f t="shared" si="4"/>
        <v>NA</v>
      </c>
      <c r="L20" s="8" t="s">
        <v>112</v>
      </c>
      <c r="M20" s="5">
        <v>5</v>
      </c>
      <c r="N20" s="8" t="str">
        <f t="shared" si="5"/>
        <v>NA</v>
      </c>
      <c r="O20" s="8" t="str">
        <f>IF(H20="NA", "NA",M20*L20)</f>
        <v>NA</v>
      </c>
      <c r="P20" s="5" t="s">
        <v>156</v>
      </c>
      <c r="T20" s="13" t="s">
        <v>78</v>
      </c>
      <c r="U20" s="8">
        <f>AVERAGE(L9,L23,L34)</f>
        <v>5.0108666666666677</v>
      </c>
      <c r="V20" s="8">
        <f>MEDIAN(L9,L23,L34)</f>
        <v>5.0590000000000002</v>
      </c>
      <c r="W20" s="8">
        <f>STDEV(L9,L23,L34)</f>
        <v>0.1475122480790439</v>
      </c>
      <c r="X20" s="8">
        <f>W20/U20*100</f>
        <v>2.9438470007658797</v>
      </c>
      <c r="Y20" s="8">
        <f>VAR(L9,L23,L34)</f>
        <v>2.1759863333333386E-2</v>
      </c>
      <c r="Z20" s="8">
        <f>MAX(L9,L23,L34)</f>
        <v>5.1283000000000003</v>
      </c>
      <c r="AA20" s="8">
        <f>MIN(L9,L23,L34)</f>
        <v>4.8452999999999999</v>
      </c>
      <c r="AB20" s="8">
        <f>Z20-AA20</f>
        <v>0.28300000000000036</v>
      </c>
      <c r="AC20" s="8">
        <f>COUNT(L9,L23,L34)</f>
        <v>3</v>
      </c>
      <c r="AD20" s="8">
        <f>W20/SQRT(AC20)</f>
        <v>8.5166236137202853E-2</v>
      </c>
    </row>
    <row r="21" spans="1:30" x14ac:dyDescent="0.25">
      <c r="A21" s="5">
        <v>14</v>
      </c>
      <c r="B21" s="5" t="s">
        <v>137</v>
      </c>
      <c r="C21" s="5">
        <v>20</v>
      </c>
      <c r="D21" s="5">
        <v>10</v>
      </c>
      <c r="E21" s="5" t="s">
        <v>46</v>
      </c>
      <c r="F21" s="5" t="s">
        <v>145</v>
      </c>
      <c r="G21" s="5">
        <v>1</v>
      </c>
      <c r="H21" s="20" t="s">
        <v>112</v>
      </c>
      <c r="I21" s="8" t="s">
        <v>112</v>
      </c>
      <c r="J21" s="8"/>
      <c r="K21" s="8" t="str">
        <f t="shared" si="4"/>
        <v>NA</v>
      </c>
      <c r="L21" s="8" t="s">
        <v>112</v>
      </c>
      <c r="M21" s="5">
        <v>5</v>
      </c>
      <c r="N21" s="8" t="str">
        <f t="shared" si="5"/>
        <v>NA</v>
      </c>
      <c r="O21" s="8" t="str">
        <f>IF(H21="NA", "NA",M21*L21)</f>
        <v>NA</v>
      </c>
      <c r="P21" s="5" t="s">
        <v>157</v>
      </c>
      <c r="T21" s="13" t="s">
        <v>96</v>
      </c>
      <c r="U21" s="8">
        <f>AVERAGE(I8,I22,I26,I35)</f>
        <v>1.11E-2</v>
      </c>
      <c r="V21" s="8">
        <f>MEDIAN(I8,I22,I26,I35)</f>
        <v>1.11E-2</v>
      </c>
      <c r="W21" s="8" t="e">
        <f>STDEV(I8,I22,I26,I35)</f>
        <v>#DIV/0!</v>
      </c>
      <c r="X21" s="8" t="e">
        <f t="shared" ref="X21:X23" si="7">W21/U21*100</f>
        <v>#DIV/0!</v>
      </c>
      <c r="Y21" s="8" t="e">
        <f>VAR(I8,I22,I26,I35)</f>
        <v>#DIV/0!</v>
      </c>
      <c r="Z21" s="8">
        <f>MAX(I8,I22,I26,I35)</f>
        <v>1.11E-2</v>
      </c>
      <c r="AA21" s="8">
        <f>MIN(I8,I22,I26,I35)</f>
        <v>1.11E-2</v>
      </c>
      <c r="AB21" s="8">
        <f t="shared" ref="AB21:AB23" si="8">Z21-AA21</f>
        <v>0</v>
      </c>
      <c r="AC21" s="8">
        <f>COUNT(I8,I22,I26,I35)</f>
        <v>1</v>
      </c>
      <c r="AD21" s="8" t="e">
        <f t="shared" ref="AD21:AD23" si="9">W21/SQRT(AC21)</f>
        <v>#DIV/0!</v>
      </c>
    </row>
    <row r="22" spans="1:30" x14ac:dyDescent="0.25">
      <c r="A22" s="5">
        <v>15</v>
      </c>
      <c r="B22" s="5" t="s">
        <v>25</v>
      </c>
      <c r="C22" s="5"/>
      <c r="D22" s="5"/>
      <c r="E22" s="5"/>
      <c r="F22" s="5" t="s">
        <v>145</v>
      </c>
      <c r="G22" s="5">
        <v>1</v>
      </c>
      <c r="H22" s="20" t="s">
        <v>112</v>
      </c>
      <c r="I22" s="8" t="s">
        <v>112</v>
      </c>
      <c r="J22" s="8"/>
      <c r="K22" s="8" t="str">
        <f t="shared" si="4"/>
        <v>NA</v>
      </c>
      <c r="L22" s="8" t="s">
        <v>112</v>
      </c>
      <c r="M22" s="5">
        <v>0</v>
      </c>
      <c r="N22" s="8"/>
      <c r="O22" s="8"/>
      <c r="P22" s="5" t="s">
        <v>26</v>
      </c>
      <c r="T22" s="13" t="s">
        <v>79</v>
      </c>
      <c r="U22" s="8">
        <f>AVERAGE(K8,K22,K26,K35)</f>
        <v>0.58214087720848662</v>
      </c>
      <c r="V22" s="8">
        <f>MEDIAN(K8,K22,K26,K35)</f>
        <v>0.58214087720848662</v>
      </c>
      <c r="W22" s="8" t="e">
        <f>STDEV(K8,K22,K26,K35)</f>
        <v>#DIV/0!</v>
      </c>
      <c r="X22" s="8" t="e">
        <f t="shared" si="7"/>
        <v>#DIV/0!</v>
      </c>
      <c r="Y22" s="8" t="e">
        <f>VAR(K8,K22,K26,K35)</f>
        <v>#DIV/0!</v>
      </c>
      <c r="Z22" s="8">
        <f>MAX(K8,K22,K26,K35)</f>
        <v>0.58214087720848662</v>
      </c>
      <c r="AA22" s="8">
        <f>MIN(K8,K22,K26,K35)</f>
        <v>0.58214087720848662</v>
      </c>
      <c r="AB22" s="8">
        <f t="shared" si="8"/>
        <v>0</v>
      </c>
      <c r="AC22" s="8">
        <f>COUNT(K8,K22,K26,K35)</f>
        <v>1</v>
      </c>
      <c r="AD22" s="8" t="e">
        <f t="shared" si="9"/>
        <v>#DIV/0!</v>
      </c>
    </row>
    <row r="23" spans="1:30" x14ac:dyDescent="0.25">
      <c r="A23" s="5">
        <v>16</v>
      </c>
      <c r="B23" s="5" t="s">
        <v>43</v>
      </c>
      <c r="C23" s="5"/>
      <c r="D23" s="5"/>
      <c r="E23" s="5"/>
      <c r="F23" s="5" t="s">
        <v>145</v>
      </c>
      <c r="G23" s="5">
        <v>1</v>
      </c>
      <c r="H23" s="20">
        <v>4.1829999999999998</v>
      </c>
      <c r="I23" s="8">
        <v>0.48420000000000002</v>
      </c>
      <c r="J23" s="8"/>
      <c r="K23" s="8">
        <f t="shared" si="4"/>
        <v>4.7063665507018131</v>
      </c>
      <c r="L23" s="8">
        <v>4.8452999999999999</v>
      </c>
      <c r="M23" s="5">
        <v>20</v>
      </c>
      <c r="N23" s="8"/>
      <c r="O23" s="8"/>
      <c r="P23" s="5" t="s">
        <v>44</v>
      </c>
      <c r="T23" s="13" t="s">
        <v>80</v>
      </c>
      <c r="U23" s="8">
        <f>AVERAGE(L8,L22,L26,L35)</f>
        <v>0.78310000000000002</v>
      </c>
      <c r="V23" s="8">
        <f>MEDIAN(L8,L22,L26,L35)</f>
        <v>0.78310000000000002</v>
      </c>
      <c r="W23" s="8" t="e">
        <f>STDEV(L8,L22,L26,L35)</f>
        <v>#DIV/0!</v>
      </c>
      <c r="X23" s="8" t="e">
        <f t="shared" si="7"/>
        <v>#DIV/0!</v>
      </c>
      <c r="Y23" s="8" t="e">
        <f>VAR(L8,L22,L26,L35)</f>
        <v>#DIV/0!</v>
      </c>
      <c r="Z23" s="8">
        <f>MAX(L8,L22,L26,L35)</f>
        <v>0.78310000000000002</v>
      </c>
      <c r="AA23" s="8">
        <f>MIN(L8,L22,L26,L35)</f>
        <v>0.78310000000000002</v>
      </c>
      <c r="AB23" s="8">
        <f t="shared" si="8"/>
        <v>0</v>
      </c>
      <c r="AC23" s="8">
        <f>COUNT(L8,L22,L26,L35)</f>
        <v>1</v>
      </c>
      <c r="AD23" s="8" t="e">
        <f t="shared" si="9"/>
        <v>#DIV/0!</v>
      </c>
    </row>
    <row r="24" spans="1:30" x14ac:dyDescent="0.25">
      <c r="A24" s="21">
        <v>17</v>
      </c>
      <c r="B24" s="21" t="s">
        <v>138</v>
      </c>
      <c r="C24" s="21">
        <v>0</v>
      </c>
      <c r="D24" s="21">
        <v>90</v>
      </c>
      <c r="E24" s="21" t="s">
        <v>46</v>
      </c>
      <c r="F24" s="21" t="s">
        <v>145</v>
      </c>
      <c r="G24" s="21">
        <v>1</v>
      </c>
      <c r="H24" s="22" t="s">
        <v>112</v>
      </c>
      <c r="I24" s="23" t="s">
        <v>112</v>
      </c>
      <c r="J24" s="23"/>
      <c r="K24" s="23" t="str">
        <f t="shared" si="4"/>
        <v>NA</v>
      </c>
      <c r="L24" s="23" t="s">
        <v>112</v>
      </c>
      <c r="M24" s="21">
        <v>0</v>
      </c>
      <c r="N24" s="23"/>
      <c r="O24" s="23"/>
      <c r="P24" s="21" t="s">
        <v>158</v>
      </c>
    </row>
    <row r="25" spans="1:30" x14ac:dyDescent="0.25">
      <c r="A25" s="21">
        <v>18</v>
      </c>
      <c r="B25" s="21" t="s">
        <v>25</v>
      </c>
      <c r="C25" s="21"/>
      <c r="D25" s="21"/>
      <c r="E25" s="21"/>
      <c r="F25" s="21" t="s">
        <v>145</v>
      </c>
      <c r="G25" s="21">
        <v>1</v>
      </c>
      <c r="H25" s="22" t="s">
        <v>112</v>
      </c>
      <c r="I25" s="23" t="s">
        <v>112</v>
      </c>
      <c r="J25" s="23"/>
      <c r="K25" s="23" t="str">
        <f t="shared" si="4"/>
        <v>NA</v>
      </c>
      <c r="L25" s="23" t="s">
        <v>112</v>
      </c>
      <c r="M25" s="21">
        <v>0</v>
      </c>
      <c r="N25" s="23"/>
      <c r="O25" s="23"/>
      <c r="P25" s="21" t="s">
        <v>159</v>
      </c>
      <c r="T25" s="14"/>
    </row>
    <row r="26" spans="1:30" x14ac:dyDescent="0.25">
      <c r="A26" s="5">
        <v>19</v>
      </c>
      <c r="B26" s="5" t="s">
        <v>25</v>
      </c>
      <c r="C26" s="5"/>
      <c r="D26" s="5"/>
      <c r="E26" s="5"/>
      <c r="F26" s="5" t="s">
        <v>145</v>
      </c>
      <c r="G26" s="5">
        <v>1</v>
      </c>
      <c r="H26" s="20" t="s">
        <v>112</v>
      </c>
      <c r="I26" s="8" t="s">
        <v>112</v>
      </c>
      <c r="J26" s="8"/>
      <c r="K26" s="8" t="str">
        <f t="shared" si="4"/>
        <v>NA</v>
      </c>
      <c r="L26" s="8" t="s">
        <v>112</v>
      </c>
      <c r="M26" s="5">
        <v>0</v>
      </c>
      <c r="N26" s="8"/>
      <c r="O26" s="8"/>
      <c r="P26" s="5" t="s">
        <v>26</v>
      </c>
      <c r="T26" s="6"/>
      <c r="U26" s="3" t="s">
        <v>81</v>
      </c>
      <c r="V26" s="3" t="s">
        <v>82</v>
      </c>
      <c r="W26" s="3" t="s">
        <v>83</v>
      </c>
      <c r="X26" s="3" t="s">
        <v>84</v>
      </c>
      <c r="Y26" s="3" t="s">
        <v>85</v>
      </c>
      <c r="Z26" s="3" t="s">
        <v>86</v>
      </c>
      <c r="AA26" s="3" t="s">
        <v>87</v>
      </c>
    </row>
    <row r="27" spans="1:30" ht="45" x14ac:dyDescent="0.25">
      <c r="A27" s="5">
        <v>20</v>
      </c>
      <c r="B27" s="5" t="s">
        <v>138</v>
      </c>
      <c r="C27" s="5">
        <v>0</v>
      </c>
      <c r="D27" s="5">
        <v>90</v>
      </c>
      <c r="E27" s="5" t="s">
        <v>46</v>
      </c>
      <c r="F27" s="5" t="s">
        <v>145</v>
      </c>
      <c r="G27" s="5">
        <v>1</v>
      </c>
      <c r="H27" s="20" t="s">
        <v>112</v>
      </c>
      <c r="I27" s="8" t="s">
        <v>112</v>
      </c>
      <c r="J27" s="8"/>
      <c r="K27" s="8" t="str">
        <f t="shared" si="4"/>
        <v>NA</v>
      </c>
      <c r="L27" s="8" t="s">
        <v>112</v>
      </c>
      <c r="M27" s="5">
        <v>5</v>
      </c>
      <c r="N27" s="8" t="str">
        <f t="shared" ref="N27:N33" si="10">IF(H27="NA", "NA",M27*K27)</f>
        <v>NA</v>
      </c>
      <c r="O27" s="8" t="str">
        <f t="shared" ref="O27:O33" si="11">IF(H27="NA", "NA",M27*L27)</f>
        <v>NA</v>
      </c>
      <c r="P27" s="5" t="s">
        <v>160</v>
      </c>
      <c r="T27" s="18" t="s">
        <v>125</v>
      </c>
      <c r="U27" s="7">
        <f>K5</f>
        <v>4.4553039859235266</v>
      </c>
      <c r="V27" s="7">
        <f>L5</f>
        <v>4.5983000000000001</v>
      </c>
      <c r="W27" s="15">
        <v>102</v>
      </c>
      <c r="X27" s="15">
        <v>1</v>
      </c>
      <c r="Y27" s="7">
        <f>W27/(20)</f>
        <v>5.0999999999999996</v>
      </c>
      <c r="Z27" s="7">
        <f>V27/Y27 *100</f>
        <v>90.162745098039224</v>
      </c>
      <c r="AA27" s="7">
        <f>U27/Y27 *100</f>
        <v>87.358901684775034</v>
      </c>
    </row>
    <row r="28" spans="1:30" ht="45" x14ac:dyDescent="0.25">
      <c r="A28" s="5">
        <v>21</v>
      </c>
      <c r="B28" s="5" t="s">
        <v>139</v>
      </c>
      <c r="C28" s="5">
        <v>10</v>
      </c>
      <c r="D28" s="5">
        <v>40</v>
      </c>
      <c r="E28" s="5" t="s">
        <v>45</v>
      </c>
      <c r="F28" s="5" t="s">
        <v>145</v>
      </c>
      <c r="G28" s="5">
        <v>1</v>
      </c>
      <c r="H28" s="20">
        <v>4.1369999999999996</v>
      </c>
      <c r="I28" s="8">
        <v>2.47E-2</v>
      </c>
      <c r="J28" s="8"/>
      <c r="K28" s="8">
        <f t="shared" si="4"/>
        <v>0.7006981994649002</v>
      </c>
      <c r="L28" s="8">
        <v>0.90069999999999995</v>
      </c>
      <c r="M28" s="5">
        <v>5</v>
      </c>
      <c r="N28" s="8">
        <f t="shared" si="10"/>
        <v>3.503490997324501</v>
      </c>
      <c r="O28" s="8">
        <f t="shared" si="11"/>
        <v>4.5034999999999998</v>
      </c>
      <c r="P28" s="5" t="s">
        <v>161</v>
      </c>
      <c r="T28" s="18" t="s">
        <v>93</v>
      </c>
      <c r="U28" s="7">
        <f>U19</f>
        <v>4.8743227572317336</v>
      </c>
      <c r="V28" s="7">
        <f>U20</f>
        <v>5.0108666666666677</v>
      </c>
      <c r="W28" s="15">
        <v>100</v>
      </c>
      <c r="X28" s="15">
        <v>1</v>
      </c>
      <c r="Y28" s="7">
        <f>W28/(20)</f>
        <v>5</v>
      </c>
      <c r="Z28" s="7">
        <f>V28/Y28 *100</f>
        <v>100.21733333333336</v>
      </c>
      <c r="AA28" s="7">
        <f>U28/Y28 *100</f>
        <v>97.486455144634675</v>
      </c>
    </row>
    <row r="29" spans="1:30" x14ac:dyDescent="0.25">
      <c r="A29" s="5">
        <v>22</v>
      </c>
      <c r="B29" s="5" t="s">
        <v>140</v>
      </c>
      <c r="C29" s="5">
        <v>10</v>
      </c>
      <c r="D29" s="5">
        <v>50</v>
      </c>
      <c r="E29" s="5" t="s">
        <v>45</v>
      </c>
      <c r="F29" s="5" t="s">
        <v>145</v>
      </c>
      <c r="G29" s="5">
        <v>1</v>
      </c>
      <c r="H29" s="20" t="s">
        <v>112</v>
      </c>
      <c r="I29" s="8" t="s">
        <v>112</v>
      </c>
      <c r="J29" s="8"/>
      <c r="K29" s="8" t="str">
        <f t="shared" si="4"/>
        <v>NA</v>
      </c>
      <c r="L29" s="8" t="s">
        <v>112</v>
      </c>
      <c r="M29" s="5">
        <v>5</v>
      </c>
      <c r="N29" s="8" t="str">
        <f t="shared" si="10"/>
        <v>NA</v>
      </c>
      <c r="O29" s="8" t="str">
        <f t="shared" si="11"/>
        <v>NA</v>
      </c>
      <c r="P29" s="5" t="s">
        <v>162</v>
      </c>
    </row>
    <row r="30" spans="1:30" x14ac:dyDescent="0.25">
      <c r="A30" s="5">
        <v>23</v>
      </c>
      <c r="B30" s="5" t="s">
        <v>141</v>
      </c>
      <c r="C30" s="5">
        <v>0</v>
      </c>
      <c r="D30" s="5">
        <v>50</v>
      </c>
      <c r="E30" s="5" t="s">
        <v>46</v>
      </c>
      <c r="F30" s="5" t="s">
        <v>145</v>
      </c>
      <c r="G30" s="5">
        <v>1</v>
      </c>
      <c r="H30" s="20" t="s">
        <v>112</v>
      </c>
      <c r="I30" s="8" t="s">
        <v>112</v>
      </c>
      <c r="J30" s="8"/>
      <c r="K30" s="8" t="str">
        <f t="shared" si="4"/>
        <v>NA</v>
      </c>
      <c r="L30" s="8" t="s">
        <v>112</v>
      </c>
      <c r="M30" s="5">
        <v>5</v>
      </c>
      <c r="N30" s="8" t="str">
        <f t="shared" si="10"/>
        <v>NA</v>
      </c>
      <c r="O30" s="8" t="str">
        <f t="shared" si="11"/>
        <v>NA</v>
      </c>
      <c r="P30" s="5" t="s">
        <v>163</v>
      </c>
    </row>
    <row r="31" spans="1:30" x14ac:dyDescent="0.25">
      <c r="A31" s="5">
        <v>24</v>
      </c>
      <c r="B31" s="5" t="s">
        <v>142</v>
      </c>
      <c r="C31" s="5">
        <v>10</v>
      </c>
      <c r="D31" s="5">
        <v>60</v>
      </c>
      <c r="E31" s="5" t="s">
        <v>46</v>
      </c>
      <c r="F31" s="5" t="s">
        <v>145</v>
      </c>
      <c r="G31" s="5">
        <v>1</v>
      </c>
      <c r="H31" s="20" t="s">
        <v>112</v>
      </c>
      <c r="I31" s="8" t="s">
        <v>112</v>
      </c>
      <c r="J31" s="8"/>
      <c r="K31" s="8" t="str">
        <f t="shared" si="4"/>
        <v>NA</v>
      </c>
      <c r="L31" s="8" t="s">
        <v>112</v>
      </c>
      <c r="M31" s="5">
        <v>5</v>
      </c>
      <c r="N31" s="8" t="str">
        <f t="shared" si="10"/>
        <v>NA</v>
      </c>
      <c r="O31" s="8" t="str">
        <f t="shared" si="11"/>
        <v>NA</v>
      </c>
      <c r="P31" s="5" t="s">
        <v>164</v>
      </c>
      <c r="T31" s="5"/>
      <c r="U31" s="3" t="s">
        <v>98</v>
      </c>
      <c r="V31" s="3" t="s">
        <v>99</v>
      </c>
      <c r="W31" s="3" t="s">
        <v>100</v>
      </c>
      <c r="X31" s="3" t="s">
        <v>101</v>
      </c>
      <c r="Y31" s="3" t="s">
        <v>102</v>
      </c>
      <c r="Z31" s="3" t="s">
        <v>103</v>
      </c>
      <c r="AA31" s="3" t="s">
        <v>104</v>
      </c>
      <c r="AB31" s="3" t="s">
        <v>86</v>
      </c>
      <c r="AC31" s="3" t="s">
        <v>87</v>
      </c>
    </row>
    <row r="32" spans="1:30" x14ac:dyDescent="0.25">
      <c r="A32" s="5">
        <v>25</v>
      </c>
      <c r="B32" s="5" t="s">
        <v>143</v>
      </c>
      <c r="C32" s="5">
        <v>10</v>
      </c>
      <c r="D32" s="5">
        <v>70</v>
      </c>
      <c r="E32" s="5" t="s">
        <v>46</v>
      </c>
      <c r="F32" s="5" t="s">
        <v>145</v>
      </c>
      <c r="G32" s="5">
        <v>1</v>
      </c>
      <c r="H32" s="20">
        <v>4.0970000000000004</v>
      </c>
      <c r="I32" s="8">
        <v>6.3899999999999998E-2</v>
      </c>
      <c r="J32" s="8"/>
      <c r="K32" s="8">
        <f t="shared" si="4"/>
        <v>1.0424222459686805</v>
      </c>
      <c r="L32" s="8">
        <v>1.2372000000000001</v>
      </c>
      <c r="M32" s="5">
        <v>5</v>
      </c>
      <c r="N32" s="8">
        <f t="shared" si="10"/>
        <v>5.2121112298434022</v>
      </c>
      <c r="O32" s="8">
        <f t="shared" si="11"/>
        <v>6.1859999999999999</v>
      </c>
      <c r="P32" s="5" t="s">
        <v>165</v>
      </c>
      <c r="T32" s="13" t="s">
        <v>94</v>
      </c>
      <c r="U32" s="8">
        <f>I5</f>
        <v>0.45540000000000003</v>
      </c>
      <c r="V32" s="8">
        <f>U18</f>
        <v>0.50346666666666673</v>
      </c>
      <c r="W32" s="8">
        <f>K5</f>
        <v>4.4553039859235266</v>
      </c>
      <c r="X32" s="8">
        <f>L5</f>
        <v>4.5983000000000001</v>
      </c>
      <c r="Y32" s="8">
        <f>U19</f>
        <v>4.8743227572317336</v>
      </c>
      <c r="Z32" s="8">
        <f>U20</f>
        <v>5.0108666666666677</v>
      </c>
      <c r="AA32" s="8">
        <f>U32/V32 *100</f>
        <v>90.452860169491515</v>
      </c>
      <c r="AB32" s="8">
        <f>W32/Y32 *100</f>
        <v>91.403548919969765</v>
      </c>
      <c r="AC32" s="8">
        <f>X32/Z32 *100</f>
        <v>91.766560674800076</v>
      </c>
    </row>
    <row r="33" spans="1:16" x14ac:dyDescent="0.25">
      <c r="A33" s="5">
        <v>26</v>
      </c>
      <c r="B33" s="5" t="s">
        <v>144</v>
      </c>
      <c r="C33" s="5">
        <v>10</v>
      </c>
      <c r="D33" s="5">
        <v>100</v>
      </c>
      <c r="E33" s="5" t="s">
        <v>46</v>
      </c>
      <c r="F33" s="5" t="s">
        <v>145</v>
      </c>
      <c r="G33" s="5">
        <v>1</v>
      </c>
      <c r="H33" s="20">
        <v>4.0869999999999997</v>
      </c>
      <c r="I33" s="8">
        <v>0.11700000000000001</v>
      </c>
      <c r="J33" s="8"/>
      <c r="K33" s="8">
        <f t="shared" si="4"/>
        <v>1.505318849778648</v>
      </c>
      <c r="L33" s="8">
        <v>1.6926000000000001</v>
      </c>
      <c r="M33" s="5">
        <v>5</v>
      </c>
      <c r="N33" s="8">
        <f t="shared" si="10"/>
        <v>7.5265942488932405</v>
      </c>
      <c r="O33" s="8">
        <f t="shared" si="11"/>
        <v>8.463000000000001</v>
      </c>
      <c r="P33" s="5" t="s">
        <v>166</v>
      </c>
    </row>
    <row r="34" spans="1:16" x14ac:dyDescent="0.25">
      <c r="A34" s="5">
        <v>27</v>
      </c>
      <c r="B34" s="5" t="s">
        <v>43</v>
      </c>
      <c r="C34" s="5"/>
      <c r="D34" s="5"/>
      <c r="E34" s="5"/>
      <c r="F34" s="5" t="s">
        <v>145</v>
      </c>
      <c r="G34" s="5">
        <v>1</v>
      </c>
      <c r="H34" s="20">
        <v>4.17</v>
      </c>
      <c r="I34" s="8">
        <v>0.5091</v>
      </c>
      <c r="J34" s="8"/>
      <c r="K34" s="8">
        <f t="shared" si="4"/>
        <v>4.9234310598330415</v>
      </c>
      <c r="L34" s="8">
        <v>5.0590000000000002</v>
      </c>
      <c r="M34" s="5">
        <v>20</v>
      </c>
      <c r="N34" s="8"/>
      <c r="O34" s="8"/>
      <c r="P34" s="5" t="s">
        <v>44</v>
      </c>
    </row>
    <row r="35" spans="1:16" x14ac:dyDescent="0.25">
      <c r="A35" s="5">
        <v>28</v>
      </c>
      <c r="B35" s="5" t="s">
        <v>25</v>
      </c>
      <c r="C35" s="5"/>
      <c r="D35" s="5"/>
      <c r="E35" s="5"/>
      <c r="F35" s="5" t="s">
        <v>145</v>
      </c>
      <c r="G35" s="5">
        <v>1</v>
      </c>
      <c r="H35" s="20" t="s">
        <v>112</v>
      </c>
      <c r="I35" s="8" t="s">
        <v>112</v>
      </c>
      <c r="J35" s="8"/>
      <c r="K35" s="8" t="str">
        <f t="shared" si="4"/>
        <v>NA</v>
      </c>
      <c r="L35" s="8" t="s">
        <v>112</v>
      </c>
      <c r="M35" s="5">
        <v>0</v>
      </c>
      <c r="N35" s="8"/>
      <c r="O35" s="8"/>
      <c r="P35" s="5" t="s">
        <v>26</v>
      </c>
    </row>
  </sheetData>
  <conditionalFormatting sqref="I2:I35">
    <cfRule type="cellIs" dxfId="17" priority="3" operator="lessThan">
      <formula>$U$12</formula>
    </cfRule>
    <cfRule type="cellIs" dxfId="16" priority="4" operator="lessThan">
      <formula>$V$12</formula>
    </cfRule>
  </conditionalFormatting>
  <conditionalFormatting sqref="K1:K35">
    <cfRule type="cellIs" dxfId="15" priority="1" operator="lessThan">
      <formula>$U$13</formula>
    </cfRule>
    <cfRule type="cellIs" dxfId="14" priority="2" operator="lessThan">
      <formula>$V$13</formula>
    </cfRule>
  </conditionalFormatting>
  <conditionalFormatting sqref="L1:L35">
    <cfRule type="cellIs" dxfId="13" priority="5" operator="lessThan">
      <formula>$U$14</formula>
    </cfRule>
    <cfRule type="cellIs" dxfId="12" priority="6" operator="lessThan">
      <formula>$V$14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B03D-25F3-4824-9343-AFD99BFEDC49}">
  <dimension ref="A1:AI35"/>
  <sheetViews>
    <sheetView topLeftCell="P1" zoomScale="70" zoomScaleNormal="70" workbookViewId="0">
      <selection activeCell="U17" sqref="U17:AD17"/>
    </sheetView>
  </sheetViews>
  <sheetFormatPr defaultRowHeight="15" x14ac:dyDescent="0.25"/>
  <cols>
    <col min="9" max="10" width="9.140625" style="16"/>
    <col min="11" max="11" width="11.7109375" style="16" customWidth="1"/>
    <col min="12" max="12" width="14.85546875" style="16" customWidth="1"/>
    <col min="14" max="14" width="17.28515625" style="16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  <col min="41" max="41" width="8.570312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19" t="s">
        <v>21</v>
      </c>
      <c r="I1" s="19" t="s">
        <v>22</v>
      </c>
      <c r="J1" s="17" t="s">
        <v>113</v>
      </c>
      <c r="K1" s="19" t="s">
        <v>114</v>
      </c>
      <c r="L1" s="19" t="s">
        <v>115</v>
      </c>
      <c r="M1" s="3" t="s">
        <v>20</v>
      </c>
      <c r="N1" s="19" t="s">
        <v>116</v>
      </c>
      <c r="O1" s="19" t="s">
        <v>117</v>
      </c>
      <c r="P1" s="3" t="s">
        <v>23</v>
      </c>
      <c r="S1" s="1" t="s">
        <v>50</v>
      </c>
      <c r="T1" s="2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2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c_Nitrate_ calib_ppm</v>
      </c>
      <c r="AG1" s="1" t="s">
        <v>118</v>
      </c>
    </row>
    <row r="2" spans="1:35" x14ac:dyDescent="0.25">
      <c r="A2" s="5" t="s">
        <v>24</v>
      </c>
      <c r="B2" s="5" t="s">
        <v>25</v>
      </c>
      <c r="C2" s="5"/>
      <c r="D2" s="5"/>
      <c r="E2" s="5"/>
      <c r="F2" s="5" t="s">
        <v>145</v>
      </c>
      <c r="G2" s="5">
        <v>1</v>
      </c>
      <c r="H2" s="20">
        <v>0</v>
      </c>
      <c r="I2" s="8">
        <v>0</v>
      </c>
      <c r="J2" s="8">
        <v>0</v>
      </c>
      <c r="K2" s="8">
        <v>0</v>
      </c>
      <c r="L2" s="8">
        <v>0</v>
      </c>
      <c r="M2" s="5">
        <v>0</v>
      </c>
      <c r="N2" s="8"/>
      <c r="O2" s="8"/>
      <c r="P2" s="5" t="s">
        <v>26</v>
      </c>
      <c r="T2" s="6" t="str">
        <f t="shared" si="0"/>
        <v>Cal 1</v>
      </c>
      <c r="U2" s="5" t="str">
        <f t="shared" si="0"/>
        <v>Blank</v>
      </c>
      <c r="V2" s="5" t="str">
        <f t="shared" si="1"/>
        <v>20.11.2023</v>
      </c>
      <c r="W2" s="5">
        <f t="shared" si="1"/>
        <v>1</v>
      </c>
      <c r="X2" s="5">
        <f t="shared" si="2"/>
        <v>0</v>
      </c>
      <c r="Y2" s="8">
        <f t="shared" si="3"/>
        <v>0</v>
      </c>
      <c r="Z2" s="8">
        <f t="shared" si="3"/>
        <v>0</v>
      </c>
      <c r="AA2" s="5">
        <f t="shared" si="3"/>
        <v>0</v>
      </c>
      <c r="AG2" s="3" t="s">
        <v>51</v>
      </c>
      <c r="AH2" s="3" t="s">
        <v>52</v>
      </c>
    </row>
    <row r="3" spans="1:35" x14ac:dyDescent="0.25">
      <c r="A3" s="5" t="s">
        <v>27</v>
      </c>
      <c r="B3" s="5" t="s">
        <v>28</v>
      </c>
      <c r="C3" s="5"/>
      <c r="D3" s="5"/>
      <c r="E3" s="5"/>
      <c r="F3" s="5" t="s">
        <v>145</v>
      </c>
      <c r="G3" s="5">
        <v>1</v>
      </c>
      <c r="H3" s="20">
        <v>5.1829999999999998</v>
      </c>
      <c r="I3" s="8">
        <v>0.20669999999999999</v>
      </c>
      <c r="J3" s="8">
        <v>1</v>
      </c>
      <c r="K3" s="8">
        <f t="shared" ref="K3:K35" si="4">IF(H3="NA", "NA", ((I3-($AH$3))/$AG$3))</f>
        <v>1.5640097275821698</v>
      </c>
      <c r="L3" s="8">
        <v>1.7605</v>
      </c>
      <c r="M3" s="5">
        <v>100</v>
      </c>
      <c r="N3" s="8"/>
      <c r="O3" s="8"/>
      <c r="P3" s="5" t="s">
        <v>29</v>
      </c>
      <c r="T3" s="4" t="str">
        <f t="shared" si="0"/>
        <v>Cal 2</v>
      </c>
      <c r="U3" s="5" t="str">
        <f t="shared" si="0"/>
        <v>x 100</v>
      </c>
      <c r="V3" s="5" t="str">
        <f t="shared" si="1"/>
        <v>20.11.2023</v>
      </c>
      <c r="W3" s="5">
        <f t="shared" si="1"/>
        <v>1</v>
      </c>
      <c r="X3" s="5">
        <f t="shared" si="2"/>
        <v>100</v>
      </c>
      <c r="Y3" s="8">
        <f t="shared" si="3"/>
        <v>5.1829999999999998</v>
      </c>
      <c r="Z3" s="8">
        <f t="shared" si="3"/>
        <v>0.20669999999999999</v>
      </c>
      <c r="AA3" s="5">
        <f t="shared" si="3"/>
        <v>1</v>
      </c>
      <c r="AF3" t="s">
        <v>53</v>
      </c>
      <c r="AG3" s="8" cm="1">
        <f t="array" ref="AG3:AH7">LINEST(Z2:Z7,AA2:AA7, TRUE, TRUE)</f>
        <v>0.11639665898617513</v>
      </c>
      <c r="AH3" s="8">
        <v>2.4654493087557516E-2</v>
      </c>
      <c r="AI3" s="9" t="s">
        <v>54</v>
      </c>
    </row>
    <row r="4" spans="1:35" x14ac:dyDescent="0.25">
      <c r="A4" s="5" t="s">
        <v>30</v>
      </c>
      <c r="B4" s="5" t="s">
        <v>31</v>
      </c>
      <c r="C4" s="5"/>
      <c r="D4" s="5"/>
      <c r="E4" s="5"/>
      <c r="F4" s="5" t="s">
        <v>145</v>
      </c>
      <c r="G4" s="5">
        <v>1</v>
      </c>
      <c r="H4" s="20">
        <v>5.1829999999999998</v>
      </c>
      <c r="I4" s="8">
        <v>0.2137</v>
      </c>
      <c r="J4" s="8">
        <v>2</v>
      </c>
      <c r="K4" s="8">
        <f t="shared" si="4"/>
        <v>1.6241489107938754</v>
      </c>
      <c r="L4" s="8">
        <v>1.819</v>
      </c>
      <c r="M4" s="5">
        <v>50</v>
      </c>
      <c r="N4" s="8"/>
      <c r="O4" s="8"/>
      <c r="P4" s="5" t="s">
        <v>32</v>
      </c>
      <c r="T4" s="4" t="str">
        <f t="shared" si="0"/>
        <v>Cal 3</v>
      </c>
      <c r="U4" s="5" t="str">
        <f t="shared" si="0"/>
        <v>x 50</v>
      </c>
      <c r="V4" s="5" t="str">
        <f t="shared" si="1"/>
        <v>20.11.2023</v>
      </c>
      <c r="W4" s="5">
        <f t="shared" si="1"/>
        <v>1</v>
      </c>
      <c r="X4" s="5">
        <f t="shared" si="2"/>
        <v>50</v>
      </c>
      <c r="Y4" s="8">
        <f t="shared" si="3"/>
        <v>5.1829999999999998</v>
      </c>
      <c r="Z4" s="8">
        <f t="shared" si="3"/>
        <v>0.2137</v>
      </c>
      <c r="AA4" s="5">
        <f t="shared" si="3"/>
        <v>2</v>
      </c>
      <c r="AF4" t="s">
        <v>55</v>
      </c>
      <c r="AG4" s="8">
        <v>2.5761082304391991E-3</v>
      </c>
      <c r="AH4" s="8">
        <v>2.4211763036164843E-2</v>
      </c>
      <c r="AI4" t="s">
        <v>56</v>
      </c>
    </row>
    <row r="5" spans="1:35" x14ac:dyDescent="0.25">
      <c r="A5" s="5" t="s">
        <v>33</v>
      </c>
      <c r="B5" s="5" t="s">
        <v>34</v>
      </c>
      <c r="C5" s="5"/>
      <c r="D5" s="5"/>
      <c r="E5" s="5"/>
      <c r="F5" s="5" t="s">
        <v>145</v>
      </c>
      <c r="G5" s="5">
        <v>1</v>
      </c>
      <c r="H5" s="20">
        <v>5.18</v>
      </c>
      <c r="I5" s="8">
        <v>0.59260000000000002</v>
      </c>
      <c r="J5" s="8">
        <v>5</v>
      </c>
      <c r="K5" s="8">
        <f t="shared" si="4"/>
        <v>4.8793969849246235</v>
      </c>
      <c r="L5" s="8">
        <v>5.0286</v>
      </c>
      <c r="M5" s="5">
        <v>20</v>
      </c>
      <c r="N5" s="8"/>
      <c r="O5" s="8"/>
      <c r="P5" s="5" t="s">
        <v>35</v>
      </c>
      <c r="T5" s="4" t="str">
        <f t="shared" si="0"/>
        <v>Cal 4</v>
      </c>
      <c r="U5" s="5" t="str">
        <f t="shared" si="0"/>
        <v>x 20</v>
      </c>
      <c r="V5" s="5" t="str">
        <f t="shared" si="1"/>
        <v>20.11.2023</v>
      </c>
      <c r="W5" s="5">
        <f t="shared" si="1"/>
        <v>1</v>
      </c>
      <c r="X5" s="5">
        <f t="shared" si="2"/>
        <v>20</v>
      </c>
      <c r="Y5" s="8">
        <f t="shared" si="3"/>
        <v>5.18</v>
      </c>
      <c r="Z5" s="8">
        <f t="shared" si="3"/>
        <v>0.59260000000000002</v>
      </c>
      <c r="AA5" s="5">
        <f t="shared" si="3"/>
        <v>5</v>
      </c>
      <c r="AF5" t="s">
        <v>57</v>
      </c>
      <c r="AG5" s="8">
        <v>0.99804450333554751</v>
      </c>
      <c r="AH5" s="8">
        <v>4.3819088602133786E-2</v>
      </c>
      <c r="AI5" t="s">
        <v>58</v>
      </c>
    </row>
    <row r="6" spans="1:35" x14ac:dyDescent="0.25">
      <c r="A6" s="5" t="s">
        <v>36</v>
      </c>
      <c r="B6" s="5" t="s">
        <v>37</v>
      </c>
      <c r="C6" s="5"/>
      <c r="D6" s="5"/>
      <c r="E6" s="5"/>
      <c r="F6" s="5" t="s">
        <v>145</v>
      </c>
      <c r="G6" s="5">
        <v>1</v>
      </c>
      <c r="H6" s="20">
        <v>5.18</v>
      </c>
      <c r="I6" s="8">
        <v>1.2130000000000001</v>
      </c>
      <c r="J6" s="8">
        <v>10</v>
      </c>
      <c r="K6" s="8">
        <f t="shared" si="4"/>
        <v>10.209446879859215</v>
      </c>
      <c r="L6" s="8">
        <v>10.282999999999999</v>
      </c>
      <c r="M6" s="5">
        <v>10</v>
      </c>
      <c r="N6" s="8"/>
      <c r="O6" s="8"/>
      <c r="P6" s="5" t="s">
        <v>38</v>
      </c>
      <c r="T6" s="4" t="str">
        <f t="shared" si="0"/>
        <v>Cal 5</v>
      </c>
      <c r="U6" s="5" t="str">
        <f t="shared" si="0"/>
        <v>x 10</v>
      </c>
      <c r="V6" s="5" t="str">
        <f t="shared" si="1"/>
        <v>20.11.2023</v>
      </c>
      <c r="W6" s="5">
        <f t="shared" si="1"/>
        <v>1</v>
      </c>
      <c r="X6" s="5">
        <f t="shared" si="2"/>
        <v>10</v>
      </c>
      <c r="Y6" s="8">
        <f t="shared" si="3"/>
        <v>5.18</v>
      </c>
      <c r="Z6" s="8">
        <f t="shared" si="3"/>
        <v>1.2130000000000001</v>
      </c>
      <c r="AA6" s="5">
        <f t="shared" si="3"/>
        <v>10</v>
      </c>
      <c r="AF6" t="s">
        <v>59</v>
      </c>
      <c r="AG6" s="8">
        <v>2041.5161456998896</v>
      </c>
      <c r="AH6" s="8">
        <v>4</v>
      </c>
      <c r="AI6" t="s">
        <v>60</v>
      </c>
    </row>
    <row r="7" spans="1:35" x14ac:dyDescent="0.25">
      <c r="A7" s="5" t="s">
        <v>39</v>
      </c>
      <c r="B7" s="5" t="s">
        <v>40</v>
      </c>
      <c r="C7" s="5"/>
      <c r="D7" s="5"/>
      <c r="E7" s="5"/>
      <c r="F7" s="5" t="s">
        <v>145</v>
      </c>
      <c r="G7" s="5">
        <v>1</v>
      </c>
      <c r="H7" s="20">
        <v>5.1769999999999996</v>
      </c>
      <c r="I7" s="8">
        <v>2.3450000000000002</v>
      </c>
      <c r="J7" s="8">
        <v>20</v>
      </c>
      <c r="K7" s="8">
        <f t="shared" si="4"/>
        <v>19.934811936380743</v>
      </c>
      <c r="L7" s="8">
        <v>19.869499999999999</v>
      </c>
      <c r="M7" s="5">
        <v>5</v>
      </c>
      <c r="N7" s="8"/>
      <c r="O7" s="8"/>
      <c r="P7" s="5" t="s">
        <v>41</v>
      </c>
      <c r="T7" s="4" t="str">
        <f t="shared" si="0"/>
        <v>Cal 6</v>
      </c>
      <c r="U7" s="5" t="str">
        <f t="shared" si="0"/>
        <v>x 5</v>
      </c>
      <c r="V7" s="5" t="str">
        <f t="shared" si="1"/>
        <v>20.11.2023</v>
      </c>
      <c r="W7" s="5">
        <f t="shared" si="1"/>
        <v>1</v>
      </c>
      <c r="X7" s="5">
        <f t="shared" si="2"/>
        <v>5</v>
      </c>
      <c r="Y7" s="8">
        <f t="shared" si="3"/>
        <v>5.1769999999999996</v>
      </c>
      <c r="Z7" s="8">
        <f t="shared" si="3"/>
        <v>2.3450000000000002</v>
      </c>
      <c r="AA7" s="5">
        <f t="shared" si="3"/>
        <v>20</v>
      </c>
      <c r="AF7" t="s">
        <v>61</v>
      </c>
      <c r="AG7" s="8">
        <v>3.9199407232296481</v>
      </c>
      <c r="AH7" s="8">
        <v>7.6804501036866037E-3</v>
      </c>
      <c r="AI7" t="s">
        <v>62</v>
      </c>
    </row>
    <row r="8" spans="1:35" x14ac:dyDescent="0.25">
      <c r="A8" s="5">
        <v>1</v>
      </c>
      <c r="B8" s="5" t="s">
        <v>42</v>
      </c>
      <c r="C8" s="5"/>
      <c r="D8" s="5"/>
      <c r="E8" s="5"/>
      <c r="F8" s="5" t="s">
        <v>145</v>
      </c>
      <c r="G8" s="5">
        <v>1</v>
      </c>
      <c r="H8" s="20" t="s">
        <v>112</v>
      </c>
      <c r="I8" s="8" t="s">
        <v>112</v>
      </c>
      <c r="J8" s="8"/>
      <c r="K8" s="8" t="str">
        <f>IF(H8="NA", "NA", ((I8-($AH$3))/$AG$3))</f>
        <v>NA</v>
      </c>
      <c r="L8" s="8" t="s">
        <v>112</v>
      </c>
      <c r="M8" s="5">
        <v>0</v>
      </c>
      <c r="N8" s="8"/>
      <c r="O8" s="8"/>
      <c r="P8" s="5" t="s">
        <v>26</v>
      </c>
      <c r="S8" s="1"/>
    </row>
    <row r="9" spans="1:35" x14ac:dyDescent="0.25">
      <c r="A9" s="5">
        <v>2</v>
      </c>
      <c r="B9" s="5" t="s">
        <v>43</v>
      </c>
      <c r="C9" s="5"/>
      <c r="D9" s="5"/>
      <c r="E9" s="5"/>
      <c r="F9" s="5" t="s">
        <v>145</v>
      </c>
      <c r="G9" s="5">
        <v>1</v>
      </c>
      <c r="H9" s="20">
        <v>5.1829999999999998</v>
      </c>
      <c r="I9" s="8">
        <v>0.89249999999999996</v>
      </c>
      <c r="J9" s="8"/>
      <c r="K9" s="8">
        <f t="shared" si="4"/>
        <v>7.4559314199518365</v>
      </c>
      <c r="L9" s="8">
        <v>7.5678999999999998</v>
      </c>
      <c r="M9" s="5">
        <v>20</v>
      </c>
      <c r="N9" s="8"/>
      <c r="O9" s="8"/>
      <c r="P9" s="5" t="s">
        <v>44</v>
      </c>
    </row>
    <row r="10" spans="1:35" x14ac:dyDescent="0.25">
      <c r="A10" s="5">
        <v>3</v>
      </c>
      <c r="B10" s="5" t="s">
        <v>126</v>
      </c>
      <c r="C10" s="5">
        <v>0</v>
      </c>
      <c r="D10" s="5">
        <v>40</v>
      </c>
      <c r="E10" s="5" t="s">
        <v>45</v>
      </c>
      <c r="F10" s="5" t="s">
        <v>145</v>
      </c>
      <c r="G10" s="5">
        <v>1</v>
      </c>
      <c r="H10" s="20" t="s">
        <v>112</v>
      </c>
      <c r="I10" s="8" t="s">
        <v>112</v>
      </c>
      <c r="J10" s="8"/>
      <c r="K10" s="8" t="str">
        <f t="shared" si="4"/>
        <v>NA</v>
      </c>
      <c r="L10" s="8" t="s">
        <v>112</v>
      </c>
      <c r="M10" s="5">
        <v>5</v>
      </c>
      <c r="N10" s="8" t="str">
        <f t="shared" ref="N10:N21" si="5">IF(H10="NA", "NA",M10*K10)</f>
        <v>NA</v>
      </c>
      <c r="O10" s="8" t="str">
        <f t="shared" ref="O10:O18" si="6">IF(H10="NA", "NA",M10*L10)</f>
        <v>NA</v>
      </c>
      <c r="P10" s="5" t="s">
        <v>146</v>
      </c>
    </row>
    <row r="11" spans="1:35" x14ac:dyDescent="0.25">
      <c r="A11" s="5">
        <v>4</v>
      </c>
      <c r="B11" s="5" t="s">
        <v>127</v>
      </c>
      <c r="C11" s="5">
        <v>10</v>
      </c>
      <c r="D11" s="5">
        <v>0</v>
      </c>
      <c r="E11" s="5" t="s">
        <v>46</v>
      </c>
      <c r="F11" s="5" t="s">
        <v>145</v>
      </c>
      <c r="G11" s="5">
        <v>1</v>
      </c>
      <c r="H11" s="20">
        <v>5.1870000000000003</v>
      </c>
      <c r="I11" s="8">
        <v>0.13619999999999999</v>
      </c>
      <c r="J11" s="8"/>
      <c r="K11" s="8">
        <f t="shared" si="4"/>
        <v>0.95832223952142093</v>
      </c>
      <c r="L11" s="8">
        <v>1.1631</v>
      </c>
      <c r="M11" s="5">
        <v>5</v>
      </c>
      <c r="N11" s="8">
        <f t="shared" si="5"/>
        <v>4.7916111976071045</v>
      </c>
      <c r="O11" s="8">
        <f t="shared" si="6"/>
        <v>5.8155000000000001</v>
      </c>
      <c r="P11" s="5" t="s">
        <v>147</v>
      </c>
      <c r="S11" s="1" t="s">
        <v>63</v>
      </c>
      <c r="T11" s="10"/>
      <c r="U11" s="11" t="s">
        <v>64</v>
      </c>
      <c r="V11" s="12" t="s">
        <v>65</v>
      </c>
    </row>
    <row r="12" spans="1:35" x14ac:dyDescent="0.25">
      <c r="A12" s="5">
        <v>5</v>
      </c>
      <c r="B12" s="5" t="s">
        <v>128</v>
      </c>
      <c r="C12" s="5">
        <v>10</v>
      </c>
      <c r="D12" s="5">
        <v>90</v>
      </c>
      <c r="E12" s="5" t="s">
        <v>46</v>
      </c>
      <c r="F12" s="5" t="s">
        <v>145</v>
      </c>
      <c r="G12" s="5">
        <v>1</v>
      </c>
      <c r="H12" s="20">
        <v>5.1829999999999998</v>
      </c>
      <c r="I12" s="8">
        <v>0.2286</v>
      </c>
      <c r="J12" s="8"/>
      <c r="K12" s="8">
        <f t="shared" si="4"/>
        <v>1.7521594579159343</v>
      </c>
      <c r="L12" s="8">
        <v>1.9455</v>
      </c>
      <c r="M12" s="5">
        <v>5</v>
      </c>
      <c r="N12" s="8">
        <f t="shared" si="5"/>
        <v>8.7607972895796706</v>
      </c>
      <c r="O12" s="8">
        <f t="shared" si="6"/>
        <v>9.7274999999999991</v>
      </c>
      <c r="P12" s="5" t="s">
        <v>148</v>
      </c>
      <c r="T12" s="13" t="s">
        <v>97</v>
      </c>
      <c r="U12" s="8" t="e">
        <f xml:space="preserve"> AVERAGE(I8,I22,I26,I35)+3*STDEV(I8,I22,I26,I35)</f>
        <v>#DIV/0!</v>
      </c>
      <c r="V12" s="8" t="e">
        <f xml:space="preserve"> AVERAGE(I8,I22,I26,I35)+10*STDEV(I8,I22,I26,I35)</f>
        <v>#DIV/0!</v>
      </c>
    </row>
    <row r="13" spans="1:35" x14ac:dyDescent="0.25">
      <c r="A13" s="5">
        <v>6</v>
      </c>
      <c r="B13" s="5" t="s">
        <v>129</v>
      </c>
      <c r="C13" s="5">
        <v>10</v>
      </c>
      <c r="D13" s="5">
        <v>10</v>
      </c>
      <c r="E13" s="5" t="s">
        <v>45</v>
      </c>
      <c r="F13" s="5" t="s">
        <v>145</v>
      </c>
      <c r="G13" s="5">
        <v>1</v>
      </c>
      <c r="H13" s="20">
        <v>5.1870000000000003</v>
      </c>
      <c r="I13" s="8">
        <v>0.23400000000000001</v>
      </c>
      <c r="J13" s="8"/>
      <c r="K13" s="8">
        <f t="shared" si="4"/>
        <v>1.7985525421078217</v>
      </c>
      <c r="L13" s="8">
        <v>1.9914000000000001</v>
      </c>
      <c r="M13" s="5">
        <v>5</v>
      </c>
      <c r="N13" s="8">
        <f t="shared" si="5"/>
        <v>8.9927627105391075</v>
      </c>
      <c r="O13" s="8">
        <f t="shared" si="6"/>
        <v>9.9570000000000007</v>
      </c>
      <c r="P13" s="5" t="s">
        <v>149</v>
      </c>
      <c r="T13" s="13" t="s">
        <v>91</v>
      </c>
      <c r="U13" s="8" t="e">
        <f xml:space="preserve"> AVERAGE(K8,K22,K26,K35)+3*STDEV(K8,K22,K26,K35)</f>
        <v>#DIV/0!</v>
      </c>
      <c r="V13" s="8" t="e">
        <f xml:space="preserve"> AVERAGE(K8,K22,K26,K35)+10*STDEV(K8,K22,K26,K35)</f>
        <v>#DIV/0!</v>
      </c>
    </row>
    <row r="14" spans="1:35" x14ac:dyDescent="0.25">
      <c r="A14" s="5">
        <v>7</v>
      </c>
      <c r="B14" s="5" t="s">
        <v>130</v>
      </c>
      <c r="C14" s="5">
        <v>10</v>
      </c>
      <c r="D14" s="5">
        <v>80</v>
      </c>
      <c r="E14" s="5" t="s">
        <v>45</v>
      </c>
      <c r="F14" s="5" t="s">
        <v>145</v>
      </c>
      <c r="G14" s="5">
        <v>1</v>
      </c>
      <c r="H14" s="20">
        <v>5.1870000000000003</v>
      </c>
      <c r="I14" s="8">
        <v>0.27210000000000001</v>
      </c>
      <c r="J14" s="8"/>
      <c r="K14" s="8">
        <f t="shared" si="4"/>
        <v>2.1258815250172476</v>
      </c>
      <c r="L14" s="8">
        <v>2.3140000000000001</v>
      </c>
      <c r="M14" s="5">
        <v>5</v>
      </c>
      <c r="N14" s="8">
        <f t="shared" si="5"/>
        <v>10.629407625086237</v>
      </c>
      <c r="O14" s="8">
        <f t="shared" si="6"/>
        <v>11.57</v>
      </c>
      <c r="P14" s="5" t="s">
        <v>150</v>
      </c>
      <c r="T14" s="13" t="s">
        <v>92</v>
      </c>
      <c r="U14" s="8" t="e">
        <f xml:space="preserve"> AVERAGE(L8,L22,L26,L35)+3*STDEV(L8,L22,L26,L35)</f>
        <v>#DIV/0!</v>
      </c>
      <c r="V14" s="8" t="e">
        <f xml:space="preserve"> AVERAGE(L8,L22,L26,L35)+10*STDEV(L8,L22,L26,L35)</f>
        <v>#DIV/0!</v>
      </c>
    </row>
    <row r="15" spans="1:35" x14ac:dyDescent="0.25">
      <c r="A15" s="5">
        <v>8</v>
      </c>
      <c r="B15" s="5" t="s">
        <v>131</v>
      </c>
      <c r="C15" s="5">
        <v>10</v>
      </c>
      <c r="D15" s="5">
        <v>20</v>
      </c>
      <c r="E15" s="5" t="s">
        <v>46</v>
      </c>
      <c r="F15" s="5" t="s">
        <v>145</v>
      </c>
      <c r="G15" s="5">
        <v>1</v>
      </c>
      <c r="H15" s="20">
        <v>5.1870000000000003</v>
      </c>
      <c r="I15" s="8">
        <v>0.29659999999999997</v>
      </c>
      <c r="J15" s="8"/>
      <c r="K15" s="8">
        <f t="shared" si="4"/>
        <v>2.3363686662582168</v>
      </c>
      <c r="L15" s="8">
        <v>2.5217000000000001</v>
      </c>
      <c r="M15" s="5">
        <v>5</v>
      </c>
      <c r="N15" s="8">
        <f t="shared" si="5"/>
        <v>11.681843331291084</v>
      </c>
      <c r="O15" s="8">
        <f t="shared" si="6"/>
        <v>12.608499999999999</v>
      </c>
      <c r="P15" s="5" t="s">
        <v>151</v>
      </c>
    </row>
    <row r="16" spans="1:35" x14ac:dyDescent="0.25">
      <c r="A16" s="5">
        <v>9</v>
      </c>
      <c r="B16" s="5" t="s">
        <v>132</v>
      </c>
      <c r="C16" s="5">
        <v>20</v>
      </c>
      <c r="D16" s="5">
        <v>30</v>
      </c>
      <c r="E16" s="5" t="s">
        <v>45</v>
      </c>
      <c r="F16" s="5" t="s">
        <v>145</v>
      </c>
      <c r="G16" s="5">
        <v>1</v>
      </c>
      <c r="H16" s="20">
        <v>5.1870000000000003</v>
      </c>
      <c r="I16" s="8">
        <v>0.14280000000000001</v>
      </c>
      <c r="J16" s="8"/>
      <c r="K16" s="8">
        <f t="shared" si="4"/>
        <v>1.015024897978172</v>
      </c>
      <c r="L16" s="8">
        <v>1.2191000000000001</v>
      </c>
      <c r="M16" s="5">
        <v>5</v>
      </c>
      <c r="N16" s="8">
        <f t="shared" si="5"/>
        <v>5.0751244898908601</v>
      </c>
      <c r="O16" s="8">
        <f t="shared" si="6"/>
        <v>6.0955000000000004</v>
      </c>
      <c r="P16" s="5" t="s">
        <v>152</v>
      </c>
      <c r="S16" s="1" t="s">
        <v>66</v>
      </c>
      <c r="T16" s="2"/>
      <c r="U16" s="3" t="s">
        <v>67</v>
      </c>
      <c r="V16" s="3" t="s">
        <v>68</v>
      </c>
      <c r="W16" s="3" t="s">
        <v>69</v>
      </c>
      <c r="X16" s="3" t="s">
        <v>70</v>
      </c>
      <c r="Y16" s="2" t="s">
        <v>71</v>
      </c>
      <c r="Z16" s="3" t="s">
        <v>72</v>
      </c>
      <c r="AA16" s="3" t="s">
        <v>73</v>
      </c>
      <c r="AB16" s="3" t="s">
        <v>74</v>
      </c>
      <c r="AC16" s="3" t="s">
        <v>75</v>
      </c>
      <c r="AD16" s="3" t="s">
        <v>76</v>
      </c>
    </row>
    <row r="17" spans="1:30" x14ac:dyDescent="0.25">
      <c r="A17" s="5">
        <v>10</v>
      </c>
      <c r="B17" s="5" t="s">
        <v>133</v>
      </c>
      <c r="C17" s="5">
        <v>10</v>
      </c>
      <c r="D17" s="5">
        <v>30</v>
      </c>
      <c r="E17" s="5" t="s">
        <v>45</v>
      </c>
      <c r="F17" s="5" t="s">
        <v>145</v>
      </c>
      <c r="G17" s="5">
        <v>1</v>
      </c>
      <c r="H17" s="20">
        <v>5.1870000000000003</v>
      </c>
      <c r="I17" s="8">
        <v>0.1595</v>
      </c>
      <c r="J17" s="8"/>
      <c r="K17" s="8">
        <f t="shared" si="4"/>
        <v>1.1584998064975267</v>
      </c>
      <c r="L17" s="8">
        <v>1.3607</v>
      </c>
      <c r="M17" s="5">
        <v>5</v>
      </c>
      <c r="N17" s="8">
        <f t="shared" si="5"/>
        <v>5.7924990324876333</v>
      </c>
      <c r="O17" s="8">
        <f t="shared" si="6"/>
        <v>6.8034999999999997</v>
      </c>
      <c r="P17" s="5" t="s">
        <v>153</v>
      </c>
      <c r="T17" s="13" t="s">
        <v>105</v>
      </c>
      <c r="U17" s="20">
        <f>AVERAGE(H3:H24)</f>
        <v>5.1892631578947359</v>
      </c>
      <c r="V17" s="20">
        <f>MEDIAN(H3:H24)</f>
        <v>5.1870000000000003</v>
      </c>
      <c r="W17" s="20">
        <f>STDEV(H3:H24)</f>
        <v>1.911032910136759E-2</v>
      </c>
      <c r="X17" s="20">
        <f>W17/U17*100</f>
        <v>0.3682667176416734</v>
      </c>
      <c r="Y17" s="20">
        <f>VAR(H3:H24)</f>
        <v>3.6520467836257704E-4</v>
      </c>
      <c r="Z17" s="20">
        <f>MAX(H3:H24)</f>
        <v>5.2670000000000003</v>
      </c>
      <c r="AA17" s="20">
        <f>MIN(H3:H24)</f>
        <v>5.1769999999999996</v>
      </c>
      <c r="AB17" s="20">
        <f>Z17-AA17</f>
        <v>9.0000000000000746E-2</v>
      </c>
      <c r="AC17" s="20">
        <f>COUNT(H3:H24)</f>
        <v>19</v>
      </c>
      <c r="AD17" s="20">
        <f>W17/SQRT(AC17)</f>
        <v>4.3842101752981982E-3</v>
      </c>
    </row>
    <row r="18" spans="1:30" x14ac:dyDescent="0.25">
      <c r="A18" s="5">
        <v>11</v>
      </c>
      <c r="B18" s="5" t="s">
        <v>134</v>
      </c>
      <c r="C18" s="5">
        <v>10</v>
      </c>
      <c r="D18" s="5">
        <v>20</v>
      </c>
      <c r="E18" s="5" t="s">
        <v>45</v>
      </c>
      <c r="F18" s="5" t="s">
        <v>145</v>
      </c>
      <c r="G18" s="5">
        <v>1</v>
      </c>
      <c r="H18" s="20">
        <v>5.1870000000000003</v>
      </c>
      <c r="I18" s="8">
        <v>0.2545</v>
      </c>
      <c r="J18" s="8"/>
      <c r="K18" s="8">
        <f t="shared" si="4"/>
        <v>1.974674435799245</v>
      </c>
      <c r="L18" s="8">
        <v>2.1648000000000001</v>
      </c>
      <c r="M18" s="5">
        <v>5</v>
      </c>
      <c r="N18" s="8">
        <f t="shared" si="5"/>
        <v>9.8733721789962239</v>
      </c>
      <c r="O18" s="8">
        <f t="shared" si="6"/>
        <v>10.824</v>
      </c>
      <c r="P18" s="5" t="s">
        <v>154</v>
      </c>
      <c r="T18" s="13" t="s">
        <v>95</v>
      </c>
      <c r="U18" s="8">
        <f>AVERAGE(I9,I23,I34)</f>
        <v>0.85443333333333327</v>
      </c>
      <c r="V18" s="8">
        <f>MEDIAN(I9,I23,I34)</f>
        <v>0.89249999999999996</v>
      </c>
      <c r="W18" s="8">
        <f>STDEV(I9,I23,I34)</f>
        <v>6.9426315855973017E-2</v>
      </c>
      <c r="X18" s="8">
        <f>W18/U18*100</f>
        <v>8.1254222123012934</v>
      </c>
      <c r="Y18" s="8">
        <f>VAR(I9,I23,I34)</f>
        <v>4.8200133333333312E-3</v>
      </c>
      <c r="Z18" s="8">
        <f>MAX(I9,I23,I34)</f>
        <v>0.89649999999999996</v>
      </c>
      <c r="AA18" s="8">
        <f>MIN(I9,I23,I34)</f>
        <v>0.77429999999999999</v>
      </c>
      <c r="AB18" s="8">
        <f>Z18-AA18</f>
        <v>0.12219999999999998</v>
      </c>
      <c r="AC18" s="8">
        <f>COUNT(I9,I23,I34)</f>
        <v>3</v>
      </c>
      <c r="AD18" s="8">
        <f>W18/SQRT(AC18)</f>
        <v>4.0083302148290006E-2</v>
      </c>
    </row>
    <row r="19" spans="1:30" x14ac:dyDescent="0.25">
      <c r="A19" s="5">
        <v>12</v>
      </c>
      <c r="B19" s="5" t="s">
        <v>135</v>
      </c>
      <c r="C19" s="5">
        <v>10</v>
      </c>
      <c r="D19" s="5">
        <v>100</v>
      </c>
      <c r="E19" s="5" t="s">
        <v>45</v>
      </c>
      <c r="F19" s="5" t="s">
        <v>145</v>
      </c>
      <c r="G19" s="5">
        <v>1</v>
      </c>
      <c r="H19" s="20">
        <v>5.19</v>
      </c>
      <c r="I19" s="8">
        <v>0.19439999999999999</v>
      </c>
      <c r="J19" s="8"/>
      <c r="K19" s="8">
        <f>IF(H19="NA", "NA", ((I19-($AH$3))/$AG$3))</f>
        <v>1.4583365913673156</v>
      </c>
      <c r="L19" s="8">
        <v>1.6557999999999999</v>
      </c>
      <c r="M19" s="5">
        <v>5</v>
      </c>
      <c r="N19" s="8">
        <f>IF(H19="NA", "NA",M19*K19)</f>
        <v>7.2916829568365777</v>
      </c>
      <c r="O19" s="8">
        <f>IF(L19="NA", "NA",M19*L19)</f>
        <v>8.2789999999999999</v>
      </c>
      <c r="P19" s="5" t="s">
        <v>155</v>
      </c>
      <c r="T19" s="13" t="s">
        <v>77</v>
      </c>
      <c r="U19" s="8">
        <f>AVERAGE(K9,K23,K34)</f>
        <v>7.1288888141053235</v>
      </c>
      <c r="V19" s="8">
        <f>MEDIAN(K9,K23,K34)</f>
        <v>7.4559314199518365</v>
      </c>
      <c r="W19" s="8">
        <f>STDEV(K9,K23,K34)</f>
        <v>0.59646313271087126</v>
      </c>
      <c r="X19" s="8">
        <f>W19/U19*100</f>
        <v>8.3668457772928164</v>
      </c>
      <c r="Y19" s="8">
        <f>VAR(K9,K23,K34)</f>
        <v>0.35576826868326644</v>
      </c>
      <c r="Z19" s="8">
        <f>MAX(K9,K23,K34)</f>
        <v>7.4902966675013829</v>
      </c>
      <c r="AA19" s="8">
        <f>MIN(K9,K23,K34)</f>
        <v>6.440438354862752</v>
      </c>
      <c r="AB19" s="8">
        <f>Z19-AA19</f>
        <v>1.0498583126386309</v>
      </c>
      <c r="AC19" s="8">
        <f>COUNT(K9,K23,K34)</f>
        <v>3</v>
      </c>
      <c r="AD19" s="8">
        <f>W19/SQRT(AC19)</f>
        <v>0.34436815023230904</v>
      </c>
    </row>
    <row r="20" spans="1:30" x14ac:dyDescent="0.25">
      <c r="A20" s="5">
        <v>13</v>
      </c>
      <c r="B20" s="5" t="s">
        <v>136</v>
      </c>
      <c r="C20" s="5">
        <v>10</v>
      </c>
      <c r="D20" s="5">
        <v>80</v>
      </c>
      <c r="E20" s="5" t="s">
        <v>46</v>
      </c>
      <c r="F20" s="5" t="s">
        <v>145</v>
      </c>
      <c r="G20" s="5">
        <v>1</v>
      </c>
      <c r="H20" s="20">
        <v>5.1870000000000003</v>
      </c>
      <c r="I20" s="8">
        <v>0.2203</v>
      </c>
      <c r="J20" s="8"/>
      <c r="K20" s="8">
        <f t="shared" si="4"/>
        <v>1.6808515692506263</v>
      </c>
      <c r="L20" s="8">
        <v>1.8751</v>
      </c>
      <c r="M20" s="5">
        <v>5</v>
      </c>
      <c r="N20" s="8">
        <f t="shared" si="5"/>
        <v>8.404257846253131</v>
      </c>
      <c r="O20" s="8">
        <f>IF(H20="NA", "NA",M20*L20)</f>
        <v>9.3755000000000006</v>
      </c>
      <c r="P20" s="5" t="s">
        <v>156</v>
      </c>
      <c r="T20" s="13" t="s">
        <v>78</v>
      </c>
      <c r="U20" s="8">
        <f>AVERAGE(L9,L23,L34)</f>
        <v>7.2456333333333331</v>
      </c>
      <c r="V20" s="8">
        <f>MEDIAN(L9,L23,L34)</f>
        <v>7.5678999999999998</v>
      </c>
      <c r="W20" s="8">
        <f>STDEV(L9,L23,L34)</f>
        <v>0.58787295679707297</v>
      </c>
      <c r="X20" s="8">
        <f>W20/U20*100</f>
        <v>8.1134792467703267</v>
      </c>
      <c r="Y20" s="8">
        <f>VAR(L9,L23,L34)</f>
        <v>0.34559461333333319</v>
      </c>
      <c r="Z20" s="8">
        <f>MAX(L9,L23,L34)</f>
        <v>7.6018999999999997</v>
      </c>
      <c r="AA20" s="8">
        <f>MIN(L9,L23,L34)</f>
        <v>6.5670999999999999</v>
      </c>
      <c r="AB20" s="8">
        <f>Z20-AA20</f>
        <v>1.0347999999999997</v>
      </c>
      <c r="AC20" s="8">
        <f>COUNT(L9,L23,L34)</f>
        <v>3</v>
      </c>
      <c r="AD20" s="8">
        <f>W20/SQRT(AC20)</f>
        <v>0.33940860985609134</v>
      </c>
    </row>
    <row r="21" spans="1:30" x14ac:dyDescent="0.25">
      <c r="A21" s="5">
        <v>14</v>
      </c>
      <c r="B21" s="5" t="s">
        <v>137</v>
      </c>
      <c r="C21" s="5">
        <v>20</v>
      </c>
      <c r="D21" s="5">
        <v>10</v>
      </c>
      <c r="E21" s="5" t="s">
        <v>46</v>
      </c>
      <c r="F21" s="5" t="s">
        <v>145</v>
      </c>
      <c r="G21" s="5">
        <v>1</v>
      </c>
      <c r="H21" s="20">
        <v>5.1870000000000003</v>
      </c>
      <c r="I21" s="8">
        <v>0.13880000000000001</v>
      </c>
      <c r="J21" s="8"/>
      <c r="K21" s="8">
        <f t="shared" si="4"/>
        <v>0.98065965042862602</v>
      </c>
      <c r="L21" s="8">
        <v>1.1847000000000001</v>
      </c>
      <c r="M21" s="5">
        <v>5</v>
      </c>
      <c r="N21" s="8">
        <f t="shared" si="5"/>
        <v>4.9032982521431299</v>
      </c>
      <c r="O21" s="8">
        <f>IF(H21="NA", "NA",M21*L21)</f>
        <v>5.9235000000000007</v>
      </c>
      <c r="P21" s="5" t="s">
        <v>157</v>
      </c>
      <c r="T21" s="13" t="s">
        <v>96</v>
      </c>
      <c r="U21" s="8" t="e">
        <f>AVERAGE(I8,I22,I26,I35)</f>
        <v>#DIV/0!</v>
      </c>
      <c r="V21" s="8" t="e">
        <f>MEDIAN(I8,I22,I26,I35)</f>
        <v>#NUM!</v>
      </c>
      <c r="W21" s="8" t="e">
        <f>STDEV(I8,I22,I26,I35)</f>
        <v>#DIV/0!</v>
      </c>
      <c r="X21" s="8" t="e">
        <f t="shared" ref="X21:X23" si="7">W21/U21*100</f>
        <v>#DIV/0!</v>
      </c>
      <c r="Y21" s="8" t="e">
        <f>VAR(I8,I22,I26,I35)</f>
        <v>#DIV/0!</v>
      </c>
      <c r="Z21" s="8">
        <f>MAX(I8,I22,I26,I35)</f>
        <v>0</v>
      </c>
      <c r="AA21" s="8">
        <f>MIN(I8,I22,I26,I35)</f>
        <v>0</v>
      </c>
      <c r="AB21" s="8">
        <f t="shared" ref="AB21:AB23" si="8">Z21-AA21</f>
        <v>0</v>
      </c>
      <c r="AC21" s="8">
        <f>COUNT(I8,I22,I26,I35)</f>
        <v>0</v>
      </c>
      <c r="AD21" s="8" t="e">
        <f t="shared" ref="AD21:AD23" si="9">W21/SQRT(AC21)</f>
        <v>#DIV/0!</v>
      </c>
    </row>
    <row r="22" spans="1:30" x14ac:dyDescent="0.25">
      <c r="A22" s="5">
        <v>15</v>
      </c>
      <c r="B22" s="5" t="s">
        <v>25</v>
      </c>
      <c r="C22" s="5"/>
      <c r="D22" s="5"/>
      <c r="E22" s="5"/>
      <c r="F22" s="5" t="s">
        <v>145</v>
      </c>
      <c r="G22" s="5">
        <v>1</v>
      </c>
      <c r="H22" s="20" t="s">
        <v>112</v>
      </c>
      <c r="I22" s="8" t="s">
        <v>112</v>
      </c>
      <c r="J22" s="8"/>
      <c r="K22" s="8" t="str">
        <f t="shared" si="4"/>
        <v>NA</v>
      </c>
      <c r="L22" s="8" t="s">
        <v>112</v>
      </c>
      <c r="M22" s="5">
        <v>0</v>
      </c>
      <c r="N22" s="8"/>
      <c r="O22" s="8"/>
      <c r="P22" s="5" t="s">
        <v>26</v>
      </c>
      <c r="T22" s="13" t="s">
        <v>79</v>
      </c>
      <c r="U22" s="8" t="e">
        <f>AVERAGE(K8,K22,K26,K35)</f>
        <v>#DIV/0!</v>
      </c>
      <c r="V22" s="8" t="e">
        <f>MEDIAN(K8,K22,K26,K35)</f>
        <v>#NUM!</v>
      </c>
      <c r="W22" s="8" t="e">
        <f>STDEV(K8,K22,K26,K35)</f>
        <v>#DIV/0!</v>
      </c>
      <c r="X22" s="8" t="e">
        <f t="shared" si="7"/>
        <v>#DIV/0!</v>
      </c>
      <c r="Y22" s="8" t="e">
        <f>VAR(K8,K22,K26,K35)</f>
        <v>#DIV/0!</v>
      </c>
      <c r="Z22" s="8">
        <f>MAX(K8,K22,K26,K35)</f>
        <v>0</v>
      </c>
      <c r="AA22" s="8">
        <f>MIN(K8,K22,K26,K35)</f>
        <v>0</v>
      </c>
      <c r="AB22" s="8">
        <f t="shared" si="8"/>
        <v>0</v>
      </c>
      <c r="AC22" s="8">
        <f>COUNT(K8,K22,K26,K35)</f>
        <v>0</v>
      </c>
      <c r="AD22" s="8" t="e">
        <f t="shared" si="9"/>
        <v>#DIV/0!</v>
      </c>
    </row>
    <row r="23" spans="1:30" x14ac:dyDescent="0.25">
      <c r="A23" s="5">
        <v>16</v>
      </c>
      <c r="B23" s="5" t="s">
        <v>43</v>
      </c>
      <c r="C23" s="5"/>
      <c r="D23" s="5"/>
      <c r="E23" s="5"/>
      <c r="F23" s="5" t="s">
        <v>145</v>
      </c>
      <c r="G23" s="5">
        <v>1</v>
      </c>
      <c r="H23" s="20">
        <v>5.1870000000000003</v>
      </c>
      <c r="I23" s="8">
        <v>0.77429999999999999</v>
      </c>
      <c r="J23" s="8"/>
      <c r="K23" s="8">
        <f t="shared" si="4"/>
        <v>6.440438354862752</v>
      </c>
      <c r="L23" s="8">
        <v>6.5670999999999999</v>
      </c>
      <c r="M23" s="5">
        <v>20</v>
      </c>
      <c r="N23" s="8"/>
      <c r="O23" s="8"/>
      <c r="P23" s="5" t="s">
        <v>44</v>
      </c>
      <c r="T23" s="13" t="s">
        <v>80</v>
      </c>
      <c r="U23" s="8" t="e">
        <f>AVERAGE(L8,L22,L26,L35)</f>
        <v>#DIV/0!</v>
      </c>
      <c r="V23" s="8" t="e">
        <f>MEDIAN(L8,L22,L26,L35)</f>
        <v>#NUM!</v>
      </c>
      <c r="W23" s="8" t="e">
        <f>STDEV(L8,L22,L26,L35)</f>
        <v>#DIV/0!</v>
      </c>
      <c r="X23" s="8" t="e">
        <f t="shared" si="7"/>
        <v>#DIV/0!</v>
      </c>
      <c r="Y23" s="8" t="e">
        <f>VAR(L8,L22,L26,L35)</f>
        <v>#DIV/0!</v>
      </c>
      <c r="Z23" s="8">
        <f>MAX(L8,L22,L26,L35)</f>
        <v>0</v>
      </c>
      <c r="AA23" s="8">
        <f>MIN(L8,L22,L26,L35)</f>
        <v>0</v>
      </c>
      <c r="AB23" s="8">
        <f t="shared" si="8"/>
        <v>0</v>
      </c>
      <c r="AC23" s="8">
        <f>COUNT(L8,L22,L26,L35)</f>
        <v>0</v>
      </c>
      <c r="AD23" s="8" t="e">
        <f t="shared" si="9"/>
        <v>#DIV/0!</v>
      </c>
    </row>
    <row r="24" spans="1:30" x14ac:dyDescent="0.25">
      <c r="A24" s="21">
        <v>17</v>
      </c>
      <c r="B24" s="21" t="s">
        <v>138</v>
      </c>
      <c r="C24" s="21">
        <v>0</v>
      </c>
      <c r="D24" s="21">
        <v>90</v>
      </c>
      <c r="E24" s="21" t="s">
        <v>46</v>
      </c>
      <c r="F24" s="21" t="s">
        <v>145</v>
      </c>
      <c r="G24" s="21">
        <v>1</v>
      </c>
      <c r="H24" s="22">
        <v>5.2670000000000003</v>
      </c>
      <c r="I24" s="23">
        <v>1.9599999999999999E-2</v>
      </c>
      <c r="J24" s="23"/>
      <c r="K24" s="23">
        <f t="shared" si="4"/>
        <v>-4.3424726547845828E-2</v>
      </c>
      <c r="L24" s="23">
        <v>0.1757</v>
      </c>
      <c r="M24" s="21">
        <v>0</v>
      </c>
      <c r="N24" s="23"/>
      <c r="O24" s="23"/>
      <c r="P24" s="21" t="s">
        <v>158</v>
      </c>
    </row>
    <row r="25" spans="1:30" x14ac:dyDescent="0.25">
      <c r="A25" s="21">
        <v>18</v>
      </c>
      <c r="B25" s="21" t="s">
        <v>25</v>
      </c>
      <c r="C25" s="21"/>
      <c r="D25" s="21"/>
      <c r="E25" s="21"/>
      <c r="F25" s="21" t="s">
        <v>145</v>
      </c>
      <c r="G25" s="21">
        <v>1</v>
      </c>
      <c r="H25" s="22" t="s">
        <v>112</v>
      </c>
      <c r="I25" s="23" t="s">
        <v>112</v>
      </c>
      <c r="J25" s="23"/>
      <c r="K25" s="23" t="str">
        <f t="shared" si="4"/>
        <v>NA</v>
      </c>
      <c r="L25" s="23" t="s">
        <v>112</v>
      </c>
      <c r="M25" s="21">
        <v>0</v>
      </c>
      <c r="N25" s="23"/>
      <c r="O25" s="23"/>
      <c r="P25" s="21" t="s">
        <v>159</v>
      </c>
      <c r="T25" s="14"/>
    </row>
    <row r="26" spans="1:30" x14ac:dyDescent="0.25">
      <c r="A26" s="5">
        <v>19</v>
      </c>
      <c r="B26" s="5" t="s">
        <v>25</v>
      </c>
      <c r="C26" s="5"/>
      <c r="D26" s="5"/>
      <c r="E26" s="5"/>
      <c r="F26" s="5" t="s">
        <v>145</v>
      </c>
      <c r="G26" s="5">
        <v>1</v>
      </c>
      <c r="H26" s="20" t="s">
        <v>112</v>
      </c>
      <c r="I26" s="8" t="s">
        <v>112</v>
      </c>
      <c r="J26" s="8"/>
      <c r="K26" s="8" t="str">
        <f t="shared" si="4"/>
        <v>NA</v>
      </c>
      <c r="L26" s="8" t="s">
        <v>112</v>
      </c>
      <c r="M26" s="5">
        <v>0</v>
      </c>
      <c r="N26" s="8"/>
      <c r="O26" s="8"/>
      <c r="P26" s="5" t="s">
        <v>26</v>
      </c>
      <c r="T26" s="6"/>
      <c r="U26" s="3" t="s">
        <v>81</v>
      </c>
      <c r="V26" s="3" t="s">
        <v>82</v>
      </c>
      <c r="W26" s="3" t="s">
        <v>83</v>
      </c>
      <c r="X26" s="3" t="s">
        <v>84</v>
      </c>
      <c r="Y26" s="3" t="s">
        <v>85</v>
      </c>
      <c r="Z26" s="3" t="s">
        <v>86</v>
      </c>
      <c r="AA26" s="3" t="s">
        <v>87</v>
      </c>
    </row>
    <row r="27" spans="1:30" ht="45" x14ac:dyDescent="0.25">
      <c r="A27" s="5">
        <v>20</v>
      </c>
      <c r="B27" s="5" t="s">
        <v>138</v>
      </c>
      <c r="C27" s="5">
        <v>0</v>
      </c>
      <c r="D27" s="5">
        <v>90</v>
      </c>
      <c r="E27" s="5" t="s">
        <v>46</v>
      </c>
      <c r="F27" s="5" t="s">
        <v>145</v>
      </c>
      <c r="G27" s="5">
        <v>1</v>
      </c>
      <c r="H27" s="20">
        <v>5.1769999999999996</v>
      </c>
      <c r="I27" s="8">
        <v>0.18229999999999999</v>
      </c>
      <c r="J27" s="8"/>
      <c r="K27" s="8">
        <f t="shared" si="4"/>
        <v>1.3543817175299389</v>
      </c>
      <c r="L27" s="8">
        <v>1.5536000000000001</v>
      </c>
      <c r="M27" s="5">
        <v>5</v>
      </c>
      <c r="N27" s="8">
        <f t="shared" ref="N27:N33" si="10">IF(H27="NA", "NA",M27*K27)</f>
        <v>6.7719085876496941</v>
      </c>
      <c r="O27" s="8">
        <f t="shared" ref="O27:O33" si="11">IF(H27="NA", "NA",M27*L27)</f>
        <v>7.7680000000000007</v>
      </c>
      <c r="P27" s="5" t="s">
        <v>160</v>
      </c>
      <c r="T27" s="18" t="s">
        <v>125</v>
      </c>
      <c r="U27" s="7">
        <f>K5</f>
        <v>4.8793969849246235</v>
      </c>
      <c r="V27" s="7">
        <f>L5</f>
        <v>5.0286</v>
      </c>
      <c r="W27" s="15">
        <v>102</v>
      </c>
      <c r="X27" s="15">
        <v>1</v>
      </c>
      <c r="Y27" s="7">
        <f>W27/(20)</f>
        <v>5.0999999999999996</v>
      </c>
      <c r="Z27" s="7">
        <f>V27/Y27 *100</f>
        <v>98.600000000000009</v>
      </c>
      <c r="AA27" s="7">
        <f>U27/Y27 *100</f>
        <v>95.67445068479654</v>
      </c>
    </row>
    <row r="28" spans="1:30" ht="45" x14ac:dyDescent="0.25">
      <c r="A28" s="5">
        <v>21</v>
      </c>
      <c r="B28" s="5" t="s">
        <v>139</v>
      </c>
      <c r="C28" s="5">
        <v>10</v>
      </c>
      <c r="D28" s="5">
        <v>40</v>
      </c>
      <c r="E28" s="5" t="s">
        <v>45</v>
      </c>
      <c r="F28" s="5" t="s">
        <v>145</v>
      </c>
      <c r="G28" s="5">
        <v>1</v>
      </c>
      <c r="H28" s="20">
        <v>5.18</v>
      </c>
      <c r="I28" s="8">
        <v>0.14910000000000001</v>
      </c>
      <c r="J28" s="8"/>
      <c r="K28" s="8">
        <f t="shared" si="4"/>
        <v>1.069150162868707</v>
      </c>
      <c r="L28" s="8">
        <v>1.2724</v>
      </c>
      <c r="M28" s="5">
        <v>5</v>
      </c>
      <c r="N28" s="8">
        <f t="shared" si="10"/>
        <v>5.3457508143435355</v>
      </c>
      <c r="O28" s="8">
        <f t="shared" si="11"/>
        <v>6.3620000000000001</v>
      </c>
      <c r="P28" s="5" t="s">
        <v>161</v>
      </c>
      <c r="T28" s="18" t="s">
        <v>93</v>
      </c>
      <c r="U28" s="7">
        <f>U19</f>
        <v>7.1288888141053235</v>
      </c>
      <c r="V28" s="7">
        <f>U20</f>
        <v>7.2456333333333331</v>
      </c>
      <c r="W28" s="15">
        <v>100</v>
      </c>
      <c r="X28" s="15">
        <v>1</v>
      </c>
      <c r="Y28" s="7">
        <f>W28/(20)</f>
        <v>5</v>
      </c>
      <c r="Z28" s="7">
        <f>V28/Y28 *100</f>
        <v>144.91266666666667</v>
      </c>
      <c r="AA28" s="7">
        <f>U28/Y28 *100</f>
        <v>142.57777628210647</v>
      </c>
    </row>
    <row r="29" spans="1:30" x14ac:dyDescent="0.25">
      <c r="A29" s="5">
        <v>22</v>
      </c>
      <c r="B29" s="5" t="s">
        <v>140</v>
      </c>
      <c r="C29" s="5">
        <v>10</v>
      </c>
      <c r="D29" s="5">
        <v>50</v>
      </c>
      <c r="E29" s="5" t="s">
        <v>45</v>
      </c>
      <c r="F29" s="5" t="s">
        <v>145</v>
      </c>
      <c r="G29" s="5">
        <v>1</v>
      </c>
      <c r="H29" s="20">
        <v>5.1769999999999996</v>
      </c>
      <c r="I29" s="8">
        <v>0.14069999999999999</v>
      </c>
      <c r="J29" s="8"/>
      <c r="K29" s="8">
        <f t="shared" si="4"/>
        <v>0.99698314301466029</v>
      </c>
      <c r="L29" s="8">
        <v>1.2015</v>
      </c>
      <c r="M29" s="5">
        <v>5</v>
      </c>
      <c r="N29" s="8">
        <f t="shared" si="10"/>
        <v>4.984915715073301</v>
      </c>
      <c r="O29" s="8">
        <f t="shared" si="11"/>
        <v>6.0075000000000003</v>
      </c>
      <c r="P29" s="5" t="s">
        <v>162</v>
      </c>
    </row>
    <row r="30" spans="1:30" x14ac:dyDescent="0.25">
      <c r="A30" s="5">
        <v>23</v>
      </c>
      <c r="B30" s="5" t="s">
        <v>141</v>
      </c>
      <c r="C30" s="5">
        <v>0</v>
      </c>
      <c r="D30" s="5">
        <v>50</v>
      </c>
      <c r="E30" s="5" t="s">
        <v>46</v>
      </c>
      <c r="F30" s="5" t="s">
        <v>145</v>
      </c>
      <c r="G30" s="5">
        <v>1</v>
      </c>
      <c r="H30" s="20">
        <v>5.173</v>
      </c>
      <c r="I30" s="8">
        <v>0.22420000000000001</v>
      </c>
      <c r="J30" s="8"/>
      <c r="K30" s="8">
        <f t="shared" si="4"/>
        <v>1.7143576856114338</v>
      </c>
      <c r="L30" s="8">
        <v>1.9085000000000001</v>
      </c>
      <c r="M30" s="5">
        <v>5</v>
      </c>
      <c r="N30" s="8">
        <f t="shared" si="10"/>
        <v>8.5717884280571681</v>
      </c>
      <c r="O30" s="8">
        <f t="shared" si="11"/>
        <v>9.5425000000000004</v>
      </c>
      <c r="P30" s="5" t="s">
        <v>163</v>
      </c>
    </row>
    <row r="31" spans="1:30" x14ac:dyDescent="0.25">
      <c r="A31" s="5">
        <v>24</v>
      </c>
      <c r="B31" s="5" t="s">
        <v>142</v>
      </c>
      <c r="C31" s="5">
        <v>10</v>
      </c>
      <c r="D31" s="5">
        <v>60</v>
      </c>
      <c r="E31" s="5" t="s">
        <v>46</v>
      </c>
      <c r="F31" s="5" t="s">
        <v>145</v>
      </c>
      <c r="G31" s="5">
        <v>1</v>
      </c>
      <c r="H31" s="20">
        <v>5.17</v>
      </c>
      <c r="I31" s="8">
        <v>2.06E-2</v>
      </c>
      <c r="J31" s="8"/>
      <c r="K31" s="8">
        <f t="shared" si="4"/>
        <v>-3.4833414660459312E-2</v>
      </c>
      <c r="L31" s="8">
        <v>0.18379999999999999</v>
      </c>
      <c r="M31" s="5">
        <v>5</v>
      </c>
      <c r="N31" s="8">
        <f t="shared" si="10"/>
        <v>-0.17416707330229655</v>
      </c>
      <c r="O31" s="8">
        <f t="shared" si="11"/>
        <v>0.91899999999999993</v>
      </c>
      <c r="P31" s="5" t="s">
        <v>164</v>
      </c>
      <c r="T31" s="5"/>
      <c r="U31" s="3" t="s">
        <v>98</v>
      </c>
      <c r="V31" s="3" t="s">
        <v>99</v>
      </c>
      <c r="W31" s="3" t="s">
        <v>100</v>
      </c>
      <c r="X31" s="3" t="s">
        <v>101</v>
      </c>
      <c r="Y31" s="3" t="s">
        <v>102</v>
      </c>
      <c r="Z31" s="3" t="s">
        <v>103</v>
      </c>
      <c r="AA31" s="3" t="s">
        <v>104</v>
      </c>
      <c r="AB31" s="3" t="s">
        <v>86</v>
      </c>
      <c r="AC31" s="3" t="s">
        <v>87</v>
      </c>
    </row>
    <row r="32" spans="1:30" x14ac:dyDescent="0.25">
      <c r="A32" s="5">
        <v>25</v>
      </c>
      <c r="B32" s="5" t="s">
        <v>143</v>
      </c>
      <c r="C32" s="5">
        <v>10</v>
      </c>
      <c r="D32" s="5">
        <v>70</v>
      </c>
      <c r="E32" s="5" t="s">
        <v>46</v>
      </c>
      <c r="F32" s="5" t="s">
        <v>145</v>
      </c>
      <c r="G32" s="5">
        <v>1</v>
      </c>
      <c r="H32" s="20">
        <v>5.17</v>
      </c>
      <c r="I32" s="8">
        <v>3.5200000000000002E-2</v>
      </c>
      <c r="J32" s="8"/>
      <c r="K32" s="8">
        <f t="shared" si="4"/>
        <v>9.0599738895383725E-2</v>
      </c>
      <c r="L32" s="8">
        <v>0.30730000000000002</v>
      </c>
      <c r="M32" s="5">
        <v>5</v>
      </c>
      <c r="N32" s="8">
        <f t="shared" si="10"/>
        <v>0.45299869447691865</v>
      </c>
      <c r="O32" s="8">
        <f t="shared" si="11"/>
        <v>1.5365000000000002</v>
      </c>
      <c r="P32" s="5" t="s">
        <v>165</v>
      </c>
      <c r="T32" s="13" t="s">
        <v>94</v>
      </c>
      <c r="U32" s="8">
        <f>I5</f>
        <v>0.59260000000000002</v>
      </c>
      <c r="V32" s="8">
        <f>U18</f>
        <v>0.85443333333333327</v>
      </c>
      <c r="W32" s="8">
        <f>K5</f>
        <v>4.8793969849246235</v>
      </c>
      <c r="X32" s="8">
        <f>L5</f>
        <v>5.0286</v>
      </c>
      <c r="Y32" s="8">
        <f>U19</f>
        <v>7.1288888141053235</v>
      </c>
      <c r="Z32" s="8">
        <f>U20</f>
        <v>7.2456333333333331</v>
      </c>
      <c r="AA32" s="8">
        <f>U32/V32 *100</f>
        <v>69.355908399328996</v>
      </c>
      <c r="AB32" s="8">
        <f>W32/Y32 *100</f>
        <v>68.445407302049333</v>
      </c>
      <c r="AC32" s="8">
        <f>X32/Z32 *100</f>
        <v>69.401800624744098</v>
      </c>
    </row>
    <row r="33" spans="1:16" x14ac:dyDescent="0.25">
      <c r="A33" s="5">
        <v>26</v>
      </c>
      <c r="B33" s="5" t="s">
        <v>144</v>
      </c>
      <c r="C33" s="5">
        <v>10</v>
      </c>
      <c r="D33" s="5">
        <v>100</v>
      </c>
      <c r="E33" s="5" t="s">
        <v>46</v>
      </c>
      <c r="F33" s="5" t="s">
        <v>145</v>
      </c>
      <c r="G33" s="5">
        <v>1</v>
      </c>
      <c r="H33" s="20">
        <v>5.17</v>
      </c>
      <c r="I33" s="8">
        <v>8.5000000000000006E-2</v>
      </c>
      <c r="J33" s="8"/>
      <c r="K33" s="8">
        <f t="shared" si="4"/>
        <v>0.51844707088723185</v>
      </c>
      <c r="L33" s="8">
        <v>0.72919999999999996</v>
      </c>
      <c r="M33" s="5">
        <v>5</v>
      </c>
      <c r="N33" s="8">
        <f t="shared" si="10"/>
        <v>2.5922353544361592</v>
      </c>
      <c r="O33" s="8">
        <f t="shared" si="11"/>
        <v>3.6459999999999999</v>
      </c>
      <c r="P33" s="5" t="s">
        <v>166</v>
      </c>
    </row>
    <row r="34" spans="1:16" x14ac:dyDescent="0.25">
      <c r="A34" s="5">
        <v>27</v>
      </c>
      <c r="B34" s="5" t="s">
        <v>43</v>
      </c>
      <c r="C34" s="5"/>
      <c r="D34" s="5"/>
      <c r="E34" s="5"/>
      <c r="F34" s="5" t="s">
        <v>145</v>
      </c>
      <c r="G34" s="5">
        <v>1</v>
      </c>
      <c r="H34" s="20">
        <v>5.1669999999999998</v>
      </c>
      <c r="I34" s="8">
        <v>0.89649999999999996</v>
      </c>
      <c r="J34" s="8"/>
      <c r="K34" s="8">
        <f t="shared" si="4"/>
        <v>7.4902966675013829</v>
      </c>
      <c r="L34" s="8">
        <v>7.6018999999999997</v>
      </c>
      <c r="M34" s="5">
        <v>20</v>
      </c>
      <c r="N34" s="8"/>
      <c r="O34" s="8"/>
      <c r="P34" s="5" t="s">
        <v>44</v>
      </c>
    </row>
    <row r="35" spans="1:16" x14ac:dyDescent="0.25">
      <c r="A35" s="5">
        <v>28</v>
      </c>
      <c r="B35" s="5" t="s">
        <v>25</v>
      </c>
      <c r="C35" s="5"/>
      <c r="D35" s="5"/>
      <c r="E35" s="5"/>
      <c r="F35" s="5" t="s">
        <v>145</v>
      </c>
      <c r="G35" s="5">
        <v>1</v>
      </c>
      <c r="H35" s="20" t="s">
        <v>112</v>
      </c>
      <c r="I35" s="8" t="s">
        <v>112</v>
      </c>
      <c r="J35" s="8"/>
      <c r="K35" s="8" t="str">
        <f t="shared" si="4"/>
        <v>NA</v>
      </c>
      <c r="L35" s="8" t="s">
        <v>112</v>
      </c>
      <c r="M35" s="5">
        <v>0</v>
      </c>
      <c r="N35" s="8"/>
      <c r="O35" s="8"/>
      <c r="P35" s="5" t="s">
        <v>26</v>
      </c>
    </row>
  </sheetData>
  <conditionalFormatting sqref="I2:I35">
    <cfRule type="cellIs" dxfId="11" priority="3" operator="lessThan">
      <formula>$U$12</formula>
    </cfRule>
    <cfRule type="cellIs" dxfId="10" priority="4" operator="lessThan">
      <formula>$V$12</formula>
    </cfRule>
  </conditionalFormatting>
  <conditionalFormatting sqref="K1:K35">
    <cfRule type="cellIs" dxfId="9" priority="1" operator="lessThan">
      <formula>$U$13</formula>
    </cfRule>
    <cfRule type="cellIs" dxfId="8" priority="2" operator="lessThan">
      <formula>$V$13</formula>
    </cfRule>
  </conditionalFormatting>
  <conditionalFormatting sqref="L1:L35">
    <cfRule type="cellIs" dxfId="7" priority="5" operator="lessThan">
      <formula>$U$14</formula>
    </cfRule>
    <cfRule type="cellIs" dxfId="6" priority="6" operator="lessThan">
      <formula>$V$14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C516-9729-4C1E-B3E2-BA1F062C4DF6}">
  <dimension ref="A1:AI35"/>
  <sheetViews>
    <sheetView tabSelected="1" zoomScale="70" zoomScaleNormal="70" workbookViewId="0">
      <selection activeCell="U17" sqref="U17:AD17"/>
    </sheetView>
  </sheetViews>
  <sheetFormatPr defaultRowHeight="15" x14ac:dyDescent="0.25"/>
  <cols>
    <col min="9" max="10" width="9.140625" style="16"/>
    <col min="11" max="11" width="11.7109375" style="16" customWidth="1"/>
    <col min="12" max="12" width="14.85546875" style="16" customWidth="1"/>
    <col min="14" max="14" width="17.28515625" style="16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  <col min="41" max="41" width="8.570312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19" t="s">
        <v>21</v>
      </c>
      <c r="I1" s="19" t="s">
        <v>22</v>
      </c>
      <c r="J1" s="17" t="s">
        <v>119</v>
      </c>
      <c r="K1" s="19" t="s">
        <v>120</v>
      </c>
      <c r="L1" s="19" t="s">
        <v>121</v>
      </c>
      <c r="M1" s="3" t="s">
        <v>20</v>
      </c>
      <c r="N1" s="19" t="s">
        <v>122</v>
      </c>
      <c r="O1" s="19" t="s">
        <v>123</v>
      </c>
      <c r="P1" s="3" t="s">
        <v>23</v>
      </c>
      <c r="S1" s="1" t="s">
        <v>50</v>
      </c>
      <c r="T1" s="2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2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c_Sulfate_ calib_ppm</v>
      </c>
      <c r="AG1" s="1" t="s">
        <v>124</v>
      </c>
    </row>
    <row r="2" spans="1:35" x14ac:dyDescent="0.25">
      <c r="A2" s="5" t="s">
        <v>24</v>
      </c>
      <c r="B2" s="5" t="s">
        <v>25</v>
      </c>
      <c r="C2" s="5"/>
      <c r="D2" s="5"/>
      <c r="E2" s="5"/>
      <c r="F2" s="5" t="s">
        <v>145</v>
      </c>
      <c r="G2" s="5">
        <v>1</v>
      </c>
      <c r="H2" s="20">
        <v>0</v>
      </c>
      <c r="I2" s="8">
        <v>0</v>
      </c>
      <c r="J2" s="8">
        <v>0</v>
      </c>
      <c r="K2" s="8">
        <v>0</v>
      </c>
      <c r="L2" s="8">
        <v>0</v>
      </c>
      <c r="M2" s="5">
        <v>0</v>
      </c>
      <c r="N2" s="8"/>
      <c r="O2" s="8"/>
      <c r="P2" s="5" t="s">
        <v>26</v>
      </c>
      <c r="T2" s="6" t="str">
        <f t="shared" si="0"/>
        <v>Cal 1</v>
      </c>
      <c r="U2" s="5" t="str">
        <f t="shared" si="0"/>
        <v>Blank</v>
      </c>
      <c r="V2" s="5" t="str">
        <f t="shared" si="1"/>
        <v>20.11.2023</v>
      </c>
      <c r="W2" s="5">
        <f t="shared" si="1"/>
        <v>1</v>
      </c>
      <c r="X2" s="5">
        <f t="shared" si="2"/>
        <v>0</v>
      </c>
      <c r="Y2" s="8">
        <f t="shared" si="3"/>
        <v>0</v>
      </c>
      <c r="Z2" s="8">
        <f t="shared" si="3"/>
        <v>0</v>
      </c>
      <c r="AA2" s="5">
        <f t="shared" si="3"/>
        <v>0</v>
      </c>
      <c r="AG2" s="3" t="s">
        <v>51</v>
      </c>
      <c r="AH2" s="3" t="s">
        <v>52</v>
      </c>
    </row>
    <row r="3" spans="1:35" x14ac:dyDescent="0.25">
      <c r="A3" s="5" t="s">
        <v>27</v>
      </c>
      <c r="B3" s="5" t="s">
        <v>28</v>
      </c>
      <c r="C3" s="5"/>
      <c r="D3" s="5"/>
      <c r="E3" s="5"/>
      <c r="F3" s="5" t="s">
        <v>145</v>
      </c>
      <c r="G3" s="5">
        <v>1</v>
      </c>
      <c r="H3" s="20">
        <v>7.16</v>
      </c>
      <c r="I3" s="8">
        <v>0.1162</v>
      </c>
      <c r="J3" s="8">
        <v>1</v>
      </c>
      <c r="K3" s="8">
        <f t="shared" ref="K3:K35" si="4">IF(H3="NA", "NA", ((I3-($AH$3))/$AG$3))</f>
        <v>0.99309282658055331</v>
      </c>
      <c r="L3" s="8">
        <v>1.0649</v>
      </c>
      <c r="M3" s="5">
        <v>100</v>
      </c>
      <c r="N3" s="8"/>
      <c r="O3" s="8"/>
      <c r="P3" s="5" t="s">
        <v>29</v>
      </c>
      <c r="T3" s="4" t="str">
        <f t="shared" si="0"/>
        <v>Cal 2</v>
      </c>
      <c r="U3" s="5" t="str">
        <f t="shared" si="0"/>
        <v>x 100</v>
      </c>
      <c r="V3" s="5" t="str">
        <f t="shared" si="1"/>
        <v>20.11.2023</v>
      </c>
      <c r="W3" s="5">
        <f t="shared" si="1"/>
        <v>1</v>
      </c>
      <c r="X3" s="5">
        <f t="shared" si="2"/>
        <v>100</v>
      </c>
      <c r="Y3" s="8">
        <f t="shared" si="3"/>
        <v>7.16</v>
      </c>
      <c r="Z3" s="8">
        <f t="shared" si="3"/>
        <v>0.1162</v>
      </c>
      <c r="AA3" s="5">
        <f t="shared" si="3"/>
        <v>1</v>
      </c>
      <c r="AF3" t="s">
        <v>53</v>
      </c>
      <c r="AG3" s="8" cm="1">
        <f t="array" ref="AG3:AH7">LINEST(Z2:Z7,AA2:AA7, TRUE, TRUE)</f>
        <v>0.14227511520737332</v>
      </c>
      <c r="AH3" s="8">
        <v>-2.509239631336424E-2</v>
      </c>
      <c r="AI3" s="9" t="s">
        <v>54</v>
      </c>
    </row>
    <row r="4" spans="1:35" x14ac:dyDescent="0.25">
      <c r="A4" s="5" t="s">
        <v>30</v>
      </c>
      <c r="B4" s="5" t="s">
        <v>31</v>
      </c>
      <c r="C4" s="5"/>
      <c r="D4" s="5"/>
      <c r="E4" s="5"/>
      <c r="F4" s="5" t="s">
        <v>145</v>
      </c>
      <c r="G4" s="5">
        <v>1</v>
      </c>
      <c r="H4" s="20">
        <v>7.1630000000000003</v>
      </c>
      <c r="I4" s="8">
        <v>0.23830000000000001</v>
      </c>
      <c r="J4" s="8">
        <v>2</v>
      </c>
      <c r="K4" s="8">
        <f t="shared" si="4"/>
        <v>1.8512892850549181</v>
      </c>
      <c r="L4" s="8">
        <v>1.9178999999999999</v>
      </c>
      <c r="M4" s="5">
        <v>50</v>
      </c>
      <c r="N4" s="8"/>
      <c r="O4" s="8"/>
      <c r="P4" s="5" t="s">
        <v>32</v>
      </c>
      <c r="T4" s="4" t="str">
        <f t="shared" si="0"/>
        <v>Cal 3</v>
      </c>
      <c r="U4" s="5" t="str">
        <f t="shared" si="0"/>
        <v>x 50</v>
      </c>
      <c r="V4" s="5" t="str">
        <f t="shared" si="1"/>
        <v>20.11.2023</v>
      </c>
      <c r="W4" s="5">
        <f t="shared" si="1"/>
        <v>1</v>
      </c>
      <c r="X4" s="5">
        <f t="shared" si="2"/>
        <v>50</v>
      </c>
      <c r="Y4" s="8">
        <f t="shared" si="3"/>
        <v>7.1630000000000003</v>
      </c>
      <c r="Z4" s="8">
        <f t="shared" si="3"/>
        <v>0.23830000000000001</v>
      </c>
      <c r="AA4" s="5">
        <f t="shared" si="3"/>
        <v>2</v>
      </c>
      <c r="AF4" t="s">
        <v>55</v>
      </c>
      <c r="AG4" s="8">
        <v>1.0749809086932993E-3</v>
      </c>
      <c r="AH4" s="8">
        <v>1.0103295631040302E-2</v>
      </c>
      <c r="AI4" t="s">
        <v>56</v>
      </c>
    </row>
    <row r="5" spans="1:35" x14ac:dyDescent="0.25">
      <c r="A5" s="5" t="s">
        <v>33</v>
      </c>
      <c r="B5" s="5" t="s">
        <v>34</v>
      </c>
      <c r="C5" s="5"/>
      <c r="D5" s="5"/>
      <c r="E5" s="5"/>
      <c r="F5" s="5" t="s">
        <v>145</v>
      </c>
      <c r="G5" s="5">
        <v>1</v>
      </c>
      <c r="H5" s="20">
        <v>7.1669999999999998</v>
      </c>
      <c r="I5" s="8">
        <v>0.6885</v>
      </c>
      <c r="J5" s="8">
        <v>5</v>
      </c>
      <c r="K5" s="8">
        <f t="shared" si="4"/>
        <v>5.0155812228531076</v>
      </c>
      <c r="L5" s="8">
        <v>5.0650000000000004</v>
      </c>
      <c r="M5" s="5">
        <v>20</v>
      </c>
      <c r="N5" s="8"/>
      <c r="O5" s="8"/>
      <c r="P5" s="5" t="s">
        <v>35</v>
      </c>
      <c r="T5" s="4" t="str">
        <f t="shared" si="0"/>
        <v>Cal 4</v>
      </c>
      <c r="U5" s="5" t="str">
        <f t="shared" si="0"/>
        <v>x 20</v>
      </c>
      <c r="V5" s="5" t="str">
        <f t="shared" si="1"/>
        <v>20.11.2023</v>
      </c>
      <c r="W5" s="5">
        <f t="shared" si="1"/>
        <v>1</v>
      </c>
      <c r="X5" s="5">
        <f t="shared" si="2"/>
        <v>20</v>
      </c>
      <c r="Y5" s="8">
        <f t="shared" si="3"/>
        <v>7.1669999999999998</v>
      </c>
      <c r="Z5" s="8">
        <f t="shared" si="3"/>
        <v>0.6885</v>
      </c>
      <c r="AA5" s="5">
        <f t="shared" si="3"/>
        <v>5</v>
      </c>
      <c r="AF5" t="s">
        <v>57</v>
      </c>
      <c r="AG5" s="8">
        <v>0.99977170077258637</v>
      </c>
      <c r="AH5" s="8">
        <v>1.8285211439118428E-2</v>
      </c>
      <c r="AI5" t="s">
        <v>58</v>
      </c>
    </row>
    <row r="6" spans="1:35" x14ac:dyDescent="0.25">
      <c r="A6" s="5" t="s">
        <v>36</v>
      </c>
      <c r="B6" s="5" t="s">
        <v>37</v>
      </c>
      <c r="C6" s="5"/>
      <c r="D6" s="5"/>
      <c r="E6" s="5"/>
      <c r="F6" s="5" t="s">
        <v>145</v>
      </c>
      <c r="G6" s="5">
        <v>1</v>
      </c>
      <c r="H6" s="20">
        <v>7.18</v>
      </c>
      <c r="I6" s="8">
        <v>1.3841000000000001</v>
      </c>
      <c r="J6" s="8">
        <v>10</v>
      </c>
      <c r="K6" s="8">
        <f t="shared" si="4"/>
        <v>9.9047004408282771</v>
      </c>
      <c r="L6" s="8">
        <v>9.9268000000000001</v>
      </c>
      <c r="M6" s="5">
        <v>10</v>
      </c>
      <c r="N6" s="8"/>
      <c r="O6" s="8"/>
      <c r="P6" s="5" t="s">
        <v>38</v>
      </c>
      <c r="T6" s="4" t="str">
        <f t="shared" si="0"/>
        <v>Cal 5</v>
      </c>
      <c r="U6" s="5" t="str">
        <f t="shared" si="0"/>
        <v>x 10</v>
      </c>
      <c r="V6" s="5" t="str">
        <f t="shared" si="1"/>
        <v>20.11.2023</v>
      </c>
      <c r="W6" s="5">
        <f t="shared" si="1"/>
        <v>1</v>
      </c>
      <c r="X6" s="5">
        <f t="shared" si="2"/>
        <v>10</v>
      </c>
      <c r="Y6" s="8">
        <f t="shared" si="3"/>
        <v>7.18</v>
      </c>
      <c r="Z6" s="8">
        <f t="shared" si="3"/>
        <v>1.3841000000000001</v>
      </c>
      <c r="AA6" s="5">
        <f t="shared" si="3"/>
        <v>10</v>
      </c>
      <c r="AF6" t="s">
        <v>59</v>
      </c>
      <c r="AG6" s="8">
        <v>17516.865249157534</v>
      </c>
      <c r="AH6" s="8">
        <v>4</v>
      </c>
      <c r="AI6" t="s">
        <v>60</v>
      </c>
    </row>
    <row r="7" spans="1:35" x14ac:dyDescent="0.25">
      <c r="A7" s="5" t="s">
        <v>39</v>
      </c>
      <c r="B7" s="5" t="s">
        <v>40</v>
      </c>
      <c r="C7" s="5"/>
      <c r="D7" s="5"/>
      <c r="E7" s="5"/>
      <c r="F7" s="5" t="s">
        <v>145</v>
      </c>
      <c r="G7" s="5">
        <v>1</v>
      </c>
      <c r="H7" s="20">
        <v>7.1929999999999996</v>
      </c>
      <c r="I7" s="8">
        <v>2.8288000000000002</v>
      </c>
      <c r="J7" s="8">
        <v>20</v>
      </c>
      <c r="K7" s="8">
        <f t="shared" si="4"/>
        <v>20.058970904038059</v>
      </c>
      <c r="L7" s="8">
        <v>20.025300000000001</v>
      </c>
      <c r="M7" s="5">
        <v>5</v>
      </c>
      <c r="N7" s="8"/>
      <c r="O7" s="8"/>
      <c r="P7" s="5" t="s">
        <v>41</v>
      </c>
      <c r="T7" s="4" t="str">
        <f t="shared" si="0"/>
        <v>Cal 6</v>
      </c>
      <c r="U7" s="5" t="str">
        <f t="shared" si="0"/>
        <v>x 5</v>
      </c>
      <c r="V7" s="5" t="str">
        <f t="shared" si="1"/>
        <v>20.11.2023</v>
      </c>
      <c r="W7" s="5">
        <f t="shared" si="1"/>
        <v>1</v>
      </c>
      <c r="X7" s="5">
        <f t="shared" si="2"/>
        <v>5</v>
      </c>
      <c r="Y7" s="8">
        <f t="shared" si="3"/>
        <v>7.1929999999999996</v>
      </c>
      <c r="Z7" s="8">
        <f t="shared" si="3"/>
        <v>2.8288000000000002</v>
      </c>
      <c r="AA7" s="5">
        <f t="shared" si="3"/>
        <v>20</v>
      </c>
      <c r="AF7" t="s">
        <v>61</v>
      </c>
      <c r="AG7" s="8">
        <v>5.8567456325038414</v>
      </c>
      <c r="AH7" s="8">
        <v>1.3373958294930696E-3</v>
      </c>
      <c r="AI7" t="s">
        <v>62</v>
      </c>
    </row>
    <row r="8" spans="1:35" x14ac:dyDescent="0.25">
      <c r="A8" s="5">
        <v>1</v>
      </c>
      <c r="B8" s="5" t="s">
        <v>42</v>
      </c>
      <c r="C8" s="5"/>
      <c r="D8" s="5"/>
      <c r="E8" s="5"/>
      <c r="F8" s="5" t="s">
        <v>145</v>
      </c>
      <c r="G8" s="5">
        <v>1</v>
      </c>
      <c r="H8" s="20" t="s">
        <v>112</v>
      </c>
      <c r="I8" s="8" t="s">
        <v>112</v>
      </c>
      <c r="J8" s="8"/>
      <c r="K8" s="8" t="str">
        <f>IF(H8="NA", "NA", ((I8-($AH$3))/$AG$3))</f>
        <v>NA</v>
      </c>
      <c r="L8" s="8" t="s">
        <v>112</v>
      </c>
      <c r="M8" s="5">
        <v>0</v>
      </c>
      <c r="N8" s="8"/>
      <c r="O8" s="8"/>
      <c r="P8" s="5" t="s">
        <v>26</v>
      </c>
      <c r="S8" s="1"/>
    </row>
    <row r="9" spans="1:35" x14ac:dyDescent="0.25">
      <c r="A9" s="5">
        <v>2</v>
      </c>
      <c r="B9" s="5" t="s">
        <v>43</v>
      </c>
      <c r="C9" s="5"/>
      <c r="D9" s="5"/>
      <c r="E9" s="5"/>
      <c r="F9" s="5" t="s">
        <v>145</v>
      </c>
      <c r="G9" s="5">
        <v>1</v>
      </c>
      <c r="H9" s="20">
        <v>7.173</v>
      </c>
      <c r="I9" s="8">
        <v>0.78610000000000002</v>
      </c>
      <c r="J9" s="8"/>
      <c r="K9" s="8">
        <f t="shared" si="4"/>
        <v>5.7015760987507162</v>
      </c>
      <c r="L9" s="8">
        <v>5.7468000000000004</v>
      </c>
      <c r="M9" s="5">
        <v>20</v>
      </c>
      <c r="N9" s="8"/>
      <c r="O9" s="8"/>
      <c r="P9" s="5" t="s">
        <v>44</v>
      </c>
    </row>
    <row r="10" spans="1:35" x14ac:dyDescent="0.25">
      <c r="A10" s="5">
        <v>3</v>
      </c>
      <c r="B10" s="5" t="s">
        <v>126</v>
      </c>
      <c r="C10" s="5">
        <v>0</v>
      </c>
      <c r="D10" s="5">
        <v>40</v>
      </c>
      <c r="E10" s="5" t="s">
        <v>45</v>
      </c>
      <c r="F10" s="5" t="s">
        <v>145</v>
      </c>
      <c r="G10" s="5">
        <v>1</v>
      </c>
      <c r="H10" s="20">
        <v>7.1630000000000003</v>
      </c>
      <c r="I10" s="8">
        <v>9.4600000000000004E-2</v>
      </c>
      <c r="J10" s="8"/>
      <c r="K10" s="8">
        <f t="shared" si="4"/>
        <v>0.84127428847206631</v>
      </c>
      <c r="L10" s="8">
        <v>0.91400000000000003</v>
      </c>
      <c r="M10" s="5">
        <v>5</v>
      </c>
      <c r="N10" s="8">
        <f t="shared" ref="N10:N21" si="5">IF(H10="NA", "NA",M10*K10)</f>
        <v>4.2063714423603313</v>
      </c>
      <c r="O10" s="8">
        <f t="shared" ref="O10:O18" si="6">IF(H10="NA", "NA",M10*L10)</f>
        <v>4.57</v>
      </c>
      <c r="P10" s="5" t="s">
        <v>146</v>
      </c>
    </row>
    <row r="11" spans="1:35" x14ac:dyDescent="0.25">
      <c r="A11" s="5">
        <v>4</v>
      </c>
      <c r="B11" s="5" t="s">
        <v>127</v>
      </c>
      <c r="C11" s="5">
        <v>10</v>
      </c>
      <c r="D11" s="5">
        <v>0</v>
      </c>
      <c r="E11" s="5" t="s">
        <v>46</v>
      </c>
      <c r="F11" s="5" t="s">
        <v>145</v>
      </c>
      <c r="G11" s="5">
        <v>1</v>
      </c>
      <c r="H11" s="20">
        <v>7.157</v>
      </c>
      <c r="I11" s="8">
        <v>3.3500000000000002E-2</v>
      </c>
      <c r="J11" s="8"/>
      <c r="K11" s="8">
        <f t="shared" si="4"/>
        <v>0.4118246274337069</v>
      </c>
      <c r="L11" s="8">
        <v>0.4869</v>
      </c>
      <c r="M11" s="5">
        <v>5</v>
      </c>
      <c r="N11" s="8">
        <f t="shared" si="5"/>
        <v>2.0591231371685343</v>
      </c>
      <c r="O11" s="8">
        <f t="shared" si="6"/>
        <v>2.4344999999999999</v>
      </c>
      <c r="P11" s="5" t="s">
        <v>147</v>
      </c>
      <c r="S11" s="1" t="s">
        <v>63</v>
      </c>
      <c r="T11" s="10"/>
      <c r="U11" s="11" t="s">
        <v>64</v>
      </c>
      <c r="V11" s="12" t="s">
        <v>65</v>
      </c>
    </row>
    <row r="12" spans="1:35" x14ac:dyDescent="0.25">
      <c r="A12" s="5">
        <v>5</v>
      </c>
      <c r="B12" s="5" t="s">
        <v>128</v>
      </c>
      <c r="C12" s="5">
        <v>10</v>
      </c>
      <c r="D12" s="5">
        <v>90</v>
      </c>
      <c r="E12" s="5" t="s">
        <v>46</v>
      </c>
      <c r="F12" s="5" t="s">
        <v>145</v>
      </c>
      <c r="G12" s="5">
        <v>1</v>
      </c>
      <c r="H12" s="20">
        <v>7.16</v>
      </c>
      <c r="I12" s="8">
        <v>4.5100000000000001E-2</v>
      </c>
      <c r="J12" s="8"/>
      <c r="K12" s="8">
        <f t="shared" si="4"/>
        <v>0.49335680530678327</v>
      </c>
      <c r="L12" s="8">
        <v>0.56759999999999999</v>
      </c>
      <c r="M12" s="5">
        <v>5</v>
      </c>
      <c r="N12" s="8">
        <f t="shared" si="5"/>
        <v>2.4667840265339165</v>
      </c>
      <c r="O12" s="8">
        <f t="shared" si="6"/>
        <v>2.8380000000000001</v>
      </c>
      <c r="P12" s="5" t="s">
        <v>148</v>
      </c>
      <c r="T12" s="13" t="s">
        <v>97</v>
      </c>
      <c r="U12" s="8" t="e">
        <f xml:space="preserve"> AVERAGE(I8,I22,I26,I35)+3*STDEV(I8,I22,I26,I35)</f>
        <v>#DIV/0!</v>
      </c>
      <c r="V12" s="8" t="e">
        <f xml:space="preserve"> AVERAGE(I8,I22,I26,I35)+10*STDEV(I8,I22,I26,I35)</f>
        <v>#DIV/0!</v>
      </c>
    </row>
    <row r="13" spans="1:35" x14ac:dyDescent="0.25">
      <c r="A13" s="5">
        <v>6</v>
      </c>
      <c r="B13" s="5" t="s">
        <v>129</v>
      </c>
      <c r="C13" s="5">
        <v>10</v>
      </c>
      <c r="D13" s="5">
        <v>10</v>
      </c>
      <c r="E13" s="5" t="s">
        <v>45</v>
      </c>
      <c r="F13" s="5" t="s">
        <v>145</v>
      </c>
      <c r="G13" s="5">
        <v>1</v>
      </c>
      <c r="H13" s="20">
        <v>7.16</v>
      </c>
      <c r="I13" s="8">
        <v>4.6399999999999997E-2</v>
      </c>
      <c r="J13" s="8"/>
      <c r="K13" s="8">
        <f t="shared" si="4"/>
        <v>0.50249403213738664</v>
      </c>
      <c r="L13" s="8">
        <v>0.57650000000000001</v>
      </c>
      <c r="M13" s="5">
        <v>5</v>
      </c>
      <c r="N13" s="8">
        <f t="shared" si="5"/>
        <v>2.5124701606869331</v>
      </c>
      <c r="O13" s="8">
        <f t="shared" si="6"/>
        <v>2.8825000000000003</v>
      </c>
      <c r="P13" s="5" t="s">
        <v>149</v>
      </c>
      <c r="T13" s="13" t="s">
        <v>91</v>
      </c>
      <c r="U13" s="8" t="e">
        <f xml:space="preserve"> AVERAGE(K8,K22,K26,K35)+3*STDEV(K8,K22,K26,K35)</f>
        <v>#DIV/0!</v>
      </c>
      <c r="V13" s="8" t="e">
        <f xml:space="preserve"> AVERAGE(K8,K22,K26,K35)+10*STDEV(K8,K22,K26,K35)</f>
        <v>#DIV/0!</v>
      </c>
    </row>
    <row r="14" spans="1:35" x14ac:dyDescent="0.25">
      <c r="A14" s="5">
        <v>7</v>
      </c>
      <c r="B14" s="5" t="s">
        <v>130</v>
      </c>
      <c r="C14" s="5">
        <v>10</v>
      </c>
      <c r="D14" s="5">
        <v>80</v>
      </c>
      <c r="E14" s="5" t="s">
        <v>45</v>
      </c>
      <c r="F14" s="5" t="s">
        <v>145</v>
      </c>
      <c r="G14" s="5">
        <v>1</v>
      </c>
      <c r="H14" s="20">
        <v>7.1630000000000003</v>
      </c>
      <c r="I14" s="8">
        <v>5.0900000000000001E-2</v>
      </c>
      <c r="J14" s="8"/>
      <c r="K14" s="8">
        <f t="shared" si="4"/>
        <v>0.53412289424332149</v>
      </c>
      <c r="L14" s="8">
        <v>0.60819999999999996</v>
      </c>
      <c r="M14" s="5">
        <v>5</v>
      </c>
      <c r="N14" s="8">
        <f t="shared" si="5"/>
        <v>2.6706144712166076</v>
      </c>
      <c r="O14" s="8">
        <f t="shared" si="6"/>
        <v>3.0409999999999999</v>
      </c>
      <c r="P14" s="5" t="s">
        <v>150</v>
      </c>
      <c r="T14" s="13" t="s">
        <v>92</v>
      </c>
      <c r="U14" s="8" t="e">
        <f xml:space="preserve"> AVERAGE(L8,L22,L26,L35)+3*STDEV(L8,L22,L26,L35)</f>
        <v>#DIV/0!</v>
      </c>
      <c r="V14" s="8" t="e">
        <f xml:space="preserve"> AVERAGE(L8,L22,L26,L35)+10*STDEV(L8,L22,L26,L35)</f>
        <v>#DIV/0!</v>
      </c>
    </row>
    <row r="15" spans="1:35" x14ac:dyDescent="0.25">
      <c r="A15" s="5">
        <v>8</v>
      </c>
      <c r="B15" s="5" t="s">
        <v>131</v>
      </c>
      <c r="C15" s="5">
        <v>10</v>
      </c>
      <c r="D15" s="5">
        <v>20</v>
      </c>
      <c r="E15" s="5" t="s">
        <v>46</v>
      </c>
      <c r="F15" s="5" t="s">
        <v>145</v>
      </c>
      <c r="G15" s="5">
        <v>1</v>
      </c>
      <c r="H15" s="20">
        <v>7.16</v>
      </c>
      <c r="I15" s="8">
        <v>3.39E-2</v>
      </c>
      <c r="J15" s="8"/>
      <c r="K15" s="8">
        <f t="shared" si="4"/>
        <v>0.41463608184312328</v>
      </c>
      <c r="L15" s="8">
        <v>0.48930000000000001</v>
      </c>
      <c r="M15" s="5">
        <v>5</v>
      </c>
      <c r="N15" s="8">
        <f t="shared" si="5"/>
        <v>2.0731804092156163</v>
      </c>
      <c r="O15" s="8">
        <f t="shared" si="6"/>
        <v>2.4464999999999999</v>
      </c>
      <c r="P15" s="5" t="s">
        <v>151</v>
      </c>
    </row>
    <row r="16" spans="1:35" x14ac:dyDescent="0.25">
      <c r="A16" s="5">
        <v>9</v>
      </c>
      <c r="B16" s="5" t="s">
        <v>132</v>
      </c>
      <c r="C16" s="5">
        <v>20</v>
      </c>
      <c r="D16" s="5">
        <v>30</v>
      </c>
      <c r="E16" s="5" t="s">
        <v>45</v>
      </c>
      <c r="F16" s="5" t="s">
        <v>145</v>
      </c>
      <c r="G16" s="5">
        <v>1</v>
      </c>
      <c r="H16" s="20">
        <v>7.1630000000000003</v>
      </c>
      <c r="I16" s="8">
        <v>0.15060000000000001</v>
      </c>
      <c r="J16" s="8"/>
      <c r="K16" s="8">
        <f t="shared" si="4"/>
        <v>1.2348779057903663</v>
      </c>
      <c r="L16" s="8">
        <v>1.3048999999999999</v>
      </c>
      <c r="M16" s="5">
        <v>5</v>
      </c>
      <c r="N16" s="8">
        <f t="shared" si="5"/>
        <v>6.1743895289518314</v>
      </c>
      <c r="O16" s="8">
        <f t="shared" si="6"/>
        <v>6.5244999999999997</v>
      </c>
      <c r="P16" s="5" t="s">
        <v>152</v>
      </c>
      <c r="S16" s="1" t="s">
        <v>66</v>
      </c>
      <c r="T16" s="2"/>
      <c r="U16" s="3" t="s">
        <v>67</v>
      </c>
      <c r="V16" s="3" t="s">
        <v>68</v>
      </c>
      <c r="W16" s="3" t="s">
        <v>69</v>
      </c>
      <c r="X16" s="3" t="s">
        <v>70</v>
      </c>
      <c r="Y16" s="2" t="s">
        <v>71</v>
      </c>
      <c r="Z16" s="3" t="s">
        <v>72</v>
      </c>
      <c r="AA16" s="3" t="s">
        <v>73</v>
      </c>
      <c r="AB16" s="3" t="s">
        <v>74</v>
      </c>
      <c r="AC16" s="3" t="s">
        <v>75</v>
      </c>
      <c r="AD16" s="3" t="s">
        <v>76</v>
      </c>
    </row>
    <row r="17" spans="1:30" x14ac:dyDescent="0.25">
      <c r="A17" s="5">
        <v>10</v>
      </c>
      <c r="B17" s="5" t="s">
        <v>133</v>
      </c>
      <c r="C17" s="5">
        <v>10</v>
      </c>
      <c r="D17" s="5">
        <v>30</v>
      </c>
      <c r="E17" s="5" t="s">
        <v>45</v>
      </c>
      <c r="F17" s="5" t="s">
        <v>145</v>
      </c>
      <c r="G17" s="5">
        <v>1</v>
      </c>
      <c r="H17" s="20">
        <v>7.1630000000000003</v>
      </c>
      <c r="I17" s="8">
        <v>8.2000000000000003E-2</v>
      </c>
      <c r="J17" s="8"/>
      <c r="K17" s="8">
        <f t="shared" si="4"/>
        <v>0.75271347457544879</v>
      </c>
      <c r="L17" s="8">
        <v>0.8256</v>
      </c>
      <c r="M17" s="5">
        <v>5</v>
      </c>
      <c r="N17" s="8">
        <f t="shared" si="5"/>
        <v>3.7635673728772439</v>
      </c>
      <c r="O17" s="8">
        <f t="shared" si="6"/>
        <v>4.1280000000000001</v>
      </c>
      <c r="P17" s="5" t="s">
        <v>153</v>
      </c>
      <c r="T17" s="13" t="s">
        <v>105</v>
      </c>
      <c r="U17" s="20">
        <f>AVERAGE(H3:H24)</f>
        <v>7.1696999999999989</v>
      </c>
      <c r="V17" s="20">
        <f>MEDIAN(H3:H24)</f>
        <v>7.1630000000000003</v>
      </c>
      <c r="W17" s="20">
        <f>STDEV(H3:H24)</f>
        <v>1.7204956446204202E-2</v>
      </c>
      <c r="X17" s="20">
        <f>W17/U17*100</f>
        <v>0.23996759203598764</v>
      </c>
      <c r="Y17" s="20">
        <f>VAR(H3:H24)</f>
        <v>2.9601052631578358E-4</v>
      </c>
      <c r="Z17" s="20">
        <f>MAX(H3:H24)</f>
        <v>7.2329999999999997</v>
      </c>
      <c r="AA17" s="20">
        <f>MIN(H3:H24)</f>
        <v>7.157</v>
      </c>
      <c r="AB17" s="20">
        <f>Z17-AA17</f>
        <v>7.5999999999999623E-2</v>
      </c>
      <c r="AC17" s="20">
        <f>COUNT(H3:H24)</f>
        <v>20</v>
      </c>
      <c r="AD17" s="20">
        <f>W17/SQRT(AC17)</f>
        <v>3.84714521636358E-3</v>
      </c>
    </row>
    <row r="18" spans="1:30" x14ac:dyDescent="0.25">
      <c r="A18" s="5">
        <v>11</v>
      </c>
      <c r="B18" s="5" t="s">
        <v>134</v>
      </c>
      <c r="C18" s="5">
        <v>10</v>
      </c>
      <c r="D18" s="5">
        <v>20</v>
      </c>
      <c r="E18" s="5" t="s">
        <v>45</v>
      </c>
      <c r="F18" s="5" t="s">
        <v>145</v>
      </c>
      <c r="G18" s="5">
        <v>1</v>
      </c>
      <c r="H18" s="20">
        <v>7.1630000000000003</v>
      </c>
      <c r="I18" s="8">
        <v>5.3199999999999997E-2</v>
      </c>
      <c r="J18" s="8"/>
      <c r="K18" s="8">
        <f t="shared" si="4"/>
        <v>0.55028875709746594</v>
      </c>
      <c r="L18" s="8">
        <v>0.62450000000000006</v>
      </c>
      <c r="M18" s="5">
        <v>5</v>
      </c>
      <c r="N18" s="8">
        <f t="shared" si="5"/>
        <v>2.7514437854873295</v>
      </c>
      <c r="O18" s="8">
        <f t="shared" si="6"/>
        <v>3.1225000000000005</v>
      </c>
      <c r="P18" s="5" t="s">
        <v>154</v>
      </c>
      <c r="T18" s="13" t="s">
        <v>95</v>
      </c>
      <c r="U18" s="8">
        <f>AVERAGE(I9,I23,I34)</f>
        <v>0.755</v>
      </c>
      <c r="V18" s="8">
        <f>MEDIAN(I9,I23,I34)</f>
        <v>0.78139999999999998</v>
      </c>
      <c r="W18" s="8">
        <f>STDEV(I9,I23,I34)</f>
        <v>4.9851880606452549E-2</v>
      </c>
      <c r="X18" s="8">
        <f>W18/U18*100</f>
        <v>6.6028980935698742</v>
      </c>
      <c r="Y18" s="8">
        <f>VAR(I9,I23,I34)</f>
        <v>2.4852099999999998E-3</v>
      </c>
      <c r="Z18" s="8">
        <f>MAX(I9,I23,I34)</f>
        <v>0.78610000000000002</v>
      </c>
      <c r="AA18" s="8">
        <f>MIN(I9,I23,I34)</f>
        <v>0.69750000000000001</v>
      </c>
      <c r="AB18" s="8">
        <f>Z18-AA18</f>
        <v>8.8600000000000012E-2</v>
      </c>
      <c r="AC18" s="8">
        <f>COUNT(I9,I23,I34)</f>
        <v>3</v>
      </c>
      <c r="AD18" s="8">
        <f>W18/SQRT(AC18)</f>
        <v>2.8781996687744466E-2</v>
      </c>
    </row>
    <row r="19" spans="1:30" x14ac:dyDescent="0.25">
      <c r="A19" s="5">
        <v>12</v>
      </c>
      <c r="B19" s="5" t="s">
        <v>135</v>
      </c>
      <c r="C19" s="5">
        <v>10</v>
      </c>
      <c r="D19" s="5">
        <v>100</v>
      </c>
      <c r="E19" s="5" t="s">
        <v>45</v>
      </c>
      <c r="F19" s="5" t="s">
        <v>145</v>
      </c>
      <c r="G19" s="5">
        <v>1</v>
      </c>
      <c r="H19" s="20">
        <v>7.17</v>
      </c>
      <c r="I19" s="8">
        <v>9.4899999999999998E-2</v>
      </c>
      <c r="J19" s="8"/>
      <c r="K19" s="8">
        <f>IF(H19="NA", "NA", ((I19-($AH$3))/$AG$3))</f>
        <v>0.84338287927912858</v>
      </c>
      <c r="L19" s="8">
        <v>0.91579999999999995</v>
      </c>
      <c r="M19" s="5">
        <v>5</v>
      </c>
      <c r="N19" s="8">
        <f>IF(H19="NA", "NA",M19*K19)</f>
        <v>4.2169143963956426</v>
      </c>
      <c r="O19" s="8">
        <f>IF(L19="NA", "NA",M19*L19)</f>
        <v>4.5789999999999997</v>
      </c>
      <c r="P19" s="5" t="s">
        <v>155</v>
      </c>
      <c r="T19" s="13" t="s">
        <v>77</v>
      </c>
      <c r="U19" s="8">
        <f>AVERAGE(K9,K23,K34)</f>
        <v>5.4829855184185883</v>
      </c>
      <c r="V19" s="8">
        <f>MEDIAN(K9,K23,K34)</f>
        <v>5.6685415094400726</v>
      </c>
      <c r="W19" s="8">
        <f>STDEV(K9,K23,K34)</f>
        <v>0.35039072387178105</v>
      </c>
      <c r="X19" s="8">
        <f>W19/U19*100</f>
        <v>6.3905097450055157</v>
      </c>
      <c r="Y19" s="8">
        <f>VAR(K9,K23,K34)</f>
        <v>0.1227736593753907</v>
      </c>
      <c r="Z19" s="8">
        <f>MAX(K9,K23,K34)</f>
        <v>5.7015760987507162</v>
      </c>
      <c r="AA19" s="8">
        <f>MIN(K9,K23,K34)</f>
        <v>5.0788389470649768</v>
      </c>
      <c r="AB19" s="8">
        <f>Z19-AA19</f>
        <v>0.6227371516857394</v>
      </c>
      <c r="AC19" s="8">
        <f>COUNT(K9,K23,K34)</f>
        <v>3</v>
      </c>
      <c r="AD19" s="8">
        <f>W19/SQRT(AC19)</f>
        <v>0.20229817874892064</v>
      </c>
    </row>
    <row r="20" spans="1:30" x14ac:dyDescent="0.25">
      <c r="A20" s="5">
        <v>13</v>
      </c>
      <c r="B20" s="5" t="s">
        <v>136</v>
      </c>
      <c r="C20" s="5">
        <v>10</v>
      </c>
      <c r="D20" s="5">
        <v>80</v>
      </c>
      <c r="E20" s="5" t="s">
        <v>46</v>
      </c>
      <c r="F20" s="5" t="s">
        <v>145</v>
      </c>
      <c r="G20" s="5">
        <v>1</v>
      </c>
      <c r="H20" s="20">
        <v>7.1630000000000003</v>
      </c>
      <c r="I20" s="8">
        <v>6.0499999999999998E-2</v>
      </c>
      <c r="J20" s="8"/>
      <c r="K20" s="8">
        <f t="shared" si="4"/>
        <v>0.60159780006931574</v>
      </c>
      <c r="L20" s="8">
        <v>0.67549999999999999</v>
      </c>
      <c r="M20" s="5">
        <v>5</v>
      </c>
      <c r="N20" s="8">
        <f t="shared" si="5"/>
        <v>3.0079890003465786</v>
      </c>
      <c r="O20" s="8">
        <f>IF(H20="NA", "NA",M20*L20)</f>
        <v>3.3774999999999999</v>
      </c>
      <c r="P20" s="5" t="s">
        <v>156</v>
      </c>
      <c r="T20" s="13" t="s">
        <v>78</v>
      </c>
      <c r="U20" s="8">
        <f>AVERAGE(L9,L23,L34)</f>
        <v>5.5296666666666665</v>
      </c>
      <c r="V20" s="8">
        <f>MEDIAN(L9,L23,L34)</f>
        <v>5.7142999999999997</v>
      </c>
      <c r="W20" s="8">
        <f>STDEV(L9,L23,L34)</f>
        <v>0.34831939844535392</v>
      </c>
      <c r="X20" s="8">
        <f>W20/U20*100</f>
        <v>6.2991029919588994</v>
      </c>
      <c r="Y20" s="8">
        <f>VAR(L9,L23,L34)</f>
        <v>0.12132640333333322</v>
      </c>
      <c r="Z20" s="8">
        <f>MAX(L9,L23,L34)</f>
        <v>5.7468000000000004</v>
      </c>
      <c r="AA20" s="8">
        <f>MIN(L9,L23,L34)</f>
        <v>5.1279000000000003</v>
      </c>
      <c r="AB20" s="8">
        <f>Z20-AA20</f>
        <v>0.61890000000000001</v>
      </c>
      <c r="AC20" s="8">
        <f>COUNT(L9,L23,L34)</f>
        <v>3</v>
      </c>
      <c r="AD20" s="8">
        <f>W20/SQRT(AC20)</f>
        <v>0.2011022984563936</v>
      </c>
    </row>
    <row r="21" spans="1:30" x14ac:dyDescent="0.25">
      <c r="A21" s="5">
        <v>14</v>
      </c>
      <c r="B21" s="5" t="s">
        <v>137</v>
      </c>
      <c r="C21" s="5">
        <v>20</v>
      </c>
      <c r="D21" s="5">
        <v>10</v>
      </c>
      <c r="E21" s="5" t="s">
        <v>46</v>
      </c>
      <c r="F21" s="5" t="s">
        <v>145</v>
      </c>
      <c r="G21" s="5">
        <v>1</v>
      </c>
      <c r="H21" s="20">
        <v>7.1630000000000003</v>
      </c>
      <c r="I21" s="8">
        <v>5.8500000000000003E-2</v>
      </c>
      <c r="J21" s="8"/>
      <c r="K21" s="8">
        <f t="shared" si="4"/>
        <v>0.58754052802223355</v>
      </c>
      <c r="L21" s="8">
        <v>0.66110000000000002</v>
      </c>
      <c r="M21" s="5">
        <v>5</v>
      </c>
      <c r="N21" s="8">
        <f t="shared" si="5"/>
        <v>2.9377026401111679</v>
      </c>
      <c r="O21" s="8">
        <f>IF(H21="NA", "NA",M21*L21)</f>
        <v>3.3055000000000003</v>
      </c>
      <c r="P21" s="5" t="s">
        <v>157</v>
      </c>
      <c r="T21" s="13" t="s">
        <v>96</v>
      </c>
      <c r="U21" s="8" t="e">
        <f>AVERAGE(I8,I22,I26,I35)</f>
        <v>#DIV/0!</v>
      </c>
      <c r="V21" s="8" t="e">
        <f>MEDIAN(I8,I22,I26,I35)</f>
        <v>#NUM!</v>
      </c>
      <c r="W21" s="8" t="e">
        <f>STDEV(I8,I22,I26,I35)</f>
        <v>#DIV/0!</v>
      </c>
      <c r="X21" s="8" t="e">
        <f t="shared" ref="X21:X23" si="7">W21/U21*100</f>
        <v>#DIV/0!</v>
      </c>
      <c r="Y21" s="8" t="e">
        <f>VAR(I8,I22,I26,I35)</f>
        <v>#DIV/0!</v>
      </c>
      <c r="Z21" s="8">
        <f>MAX(I8,I22,I26,I35)</f>
        <v>0</v>
      </c>
      <c r="AA21" s="8">
        <f>MIN(I8,I22,I26,I35)</f>
        <v>0</v>
      </c>
      <c r="AB21" s="8">
        <f t="shared" ref="AB21:AB23" si="8">Z21-AA21</f>
        <v>0</v>
      </c>
      <c r="AC21" s="8">
        <f>COUNT(I8,I22,I26,I35)</f>
        <v>0</v>
      </c>
      <c r="AD21" s="8" t="e">
        <f t="shared" ref="AD21:AD23" si="9">W21/SQRT(AC21)</f>
        <v>#DIV/0!</v>
      </c>
    </row>
    <row r="22" spans="1:30" x14ac:dyDescent="0.25">
      <c r="A22" s="5">
        <v>15</v>
      </c>
      <c r="B22" s="5" t="s">
        <v>25</v>
      </c>
      <c r="C22" s="5"/>
      <c r="D22" s="5"/>
      <c r="E22" s="5"/>
      <c r="F22" s="5" t="s">
        <v>145</v>
      </c>
      <c r="G22" s="5">
        <v>1</v>
      </c>
      <c r="H22" s="20" t="s">
        <v>112</v>
      </c>
      <c r="I22" s="8" t="s">
        <v>112</v>
      </c>
      <c r="J22" s="8"/>
      <c r="K22" s="8" t="str">
        <f t="shared" si="4"/>
        <v>NA</v>
      </c>
      <c r="L22" s="8" t="s">
        <v>112</v>
      </c>
      <c r="M22" s="5">
        <v>0</v>
      </c>
      <c r="N22" s="8"/>
      <c r="O22" s="8"/>
      <c r="P22" s="5" t="s">
        <v>26</v>
      </c>
      <c r="T22" s="13" t="s">
        <v>79</v>
      </c>
      <c r="U22" s="8" t="e">
        <f>AVERAGE(K8,K22,K26,K35)</f>
        <v>#DIV/0!</v>
      </c>
      <c r="V22" s="8" t="e">
        <f>MEDIAN(K8,K22,K26,K35)</f>
        <v>#NUM!</v>
      </c>
      <c r="W22" s="8" t="e">
        <f>STDEV(K8,K22,K26,K35)</f>
        <v>#DIV/0!</v>
      </c>
      <c r="X22" s="8" t="e">
        <f t="shared" si="7"/>
        <v>#DIV/0!</v>
      </c>
      <c r="Y22" s="8" t="e">
        <f>VAR(K8,K22,K26,K35)</f>
        <v>#DIV/0!</v>
      </c>
      <c r="Z22" s="8">
        <f>MAX(K8,K22,K26,K35)</f>
        <v>0</v>
      </c>
      <c r="AA22" s="8">
        <f>MIN(K8,K22,K26,K35)</f>
        <v>0</v>
      </c>
      <c r="AB22" s="8">
        <f t="shared" si="8"/>
        <v>0</v>
      </c>
      <c r="AC22" s="8">
        <f>COUNT(K8,K22,K26,K35)</f>
        <v>0</v>
      </c>
      <c r="AD22" s="8" t="e">
        <f t="shared" si="9"/>
        <v>#DIV/0!</v>
      </c>
    </row>
    <row r="23" spans="1:30" x14ac:dyDescent="0.25">
      <c r="A23" s="5">
        <v>16</v>
      </c>
      <c r="B23" s="5" t="s">
        <v>43</v>
      </c>
      <c r="C23" s="5"/>
      <c r="D23" s="5"/>
      <c r="E23" s="5"/>
      <c r="F23" s="5" t="s">
        <v>145</v>
      </c>
      <c r="G23" s="5">
        <v>1</v>
      </c>
      <c r="H23" s="20">
        <v>7.1769999999999996</v>
      </c>
      <c r="I23" s="8">
        <v>0.69750000000000001</v>
      </c>
      <c r="J23" s="8"/>
      <c r="K23" s="8">
        <f t="shared" si="4"/>
        <v>5.0788389470649768</v>
      </c>
      <c r="L23" s="8">
        <v>5.1279000000000003</v>
      </c>
      <c r="M23" s="5">
        <v>20</v>
      </c>
      <c r="N23" s="8"/>
      <c r="O23" s="8"/>
      <c r="P23" s="5" t="s">
        <v>44</v>
      </c>
      <c r="T23" s="13" t="s">
        <v>80</v>
      </c>
      <c r="U23" s="8" t="e">
        <f>AVERAGE(L8,L22,L26,L35)</f>
        <v>#DIV/0!</v>
      </c>
      <c r="V23" s="8" t="e">
        <f>MEDIAN(L8,L22,L26,L35)</f>
        <v>#NUM!</v>
      </c>
      <c r="W23" s="8" t="e">
        <f>STDEV(L8,L22,L26,L35)</f>
        <v>#DIV/0!</v>
      </c>
      <c r="X23" s="8" t="e">
        <f t="shared" si="7"/>
        <v>#DIV/0!</v>
      </c>
      <c r="Y23" s="8" t="e">
        <f>VAR(L8,L22,L26,L35)</f>
        <v>#DIV/0!</v>
      </c>
      <c r="Z23" s="8">
        <f>MAX(L8,L22,L26,L35)</f>
        <v>0</v>
      </c>
      <c r="AA23" s="8">
        <f>MIN(L8,L22,L26,L35)</f>
        <v>0</v>
      </c>
      <c r="AB23" s="8">
        <f t="shared" si="8"/>
        <v>0</v>
      </c>
      <c r="AC23" s="8">
        <f>COUNT(L8,L22,L26,L35)</f>
        <v>0</v>
      </c>
      <c r="AD23" s="8" t="e">
        <f t="shared" si="9"/>
        <v>#DIV/0!</v>
      </c>
    </row>
    <row r="24" spans="1:30" x14ac:dyDescent="0.25">
      <c r="A24" s="21">
        <v>17</v>
      </c>
      <c r="B24" s="21" t="s">
        <v>138</v>
      </c>
      <c r="C24" s="21">
        <v>0</v>
      </c>
      <c r="D24" s="21">
        <v>90</v>
      </c>
      <c r="E24" s="21" t="s">
        <v>46</v>
      </c>
      <c r="F24" s="21" t="s">
        <v>145</v>
      </c>
      <c r="G24" s="21">
        <v>1</v>
      </c>
      <c r="H24" s="22">
        <v>7.2329999999999997</v>
      </c>
      <c r="I24" s="23">
        <v>1.2200000000000001E-2</v>
      </c>
      <c r="J24" s="23"/>
      <c r="K24" s="23">
        <f t="shared" si="4"/>
        <v>0.26211468013228212</v>
      </c>
      <c r="L24" s="23">
        <v>0.33750000000000002</v>
      </c>
      <c r="M24" s="21">
        <v>0</v>
      </c>
      <c r="N24" s="23"/>
      <c r="O24" s="23"/>
      <c r="P24" s="21" t="s">
        <v>158</v>
      </c>
    </row>
    <row r="25" spans="1:30" x14ac:dyDescent="0.25">
      <c r="A25" s="21">
        <v>18</v>
      </c>
      <c r="B25" s="21" t="s">
        <v>25</v>
      </c>
      <c r="C25" s="21"/>
      <c r="D25" s="21"/>
      <c r="E25" s="21"/>
      <c r="F25" s="21" t="s">
        <v>145</v>
      </c>
      <c r="G25" s="21">
        <v>1</v>
      </c>
      <c r="H25" s="22">
        <v>7.16</v>
      </c>
      <c r="I25" s="23">
        <v>4.4200000000000003E-2</v>
      </c>
      <c r="J25" s="23"/>
      <c r="K25" s="23">
        <f t="shared" si="4"/>
        <v>0.48703103288559635</v>
      </c>
      <c r="L25" s="23">
        <v>0.56140000000000001</v>
      </c>
      <c r="M25" s="21">
        <v>0</v>
      </c>
      <c r="N25" s="23"/>
      <c r="O25" s="23"/>
      <c r="P25" s="21" t="s">
        <v>159</v>
      </c>
      <c r="T25" s="14"/>
    </row>
    <row r="26" spans="1:30" x14ac:dyDescent="0.25">
      <c r="A26" s="5">
        <v>19</v>
      </c>
      <c r="B26" s="5" t="s">
        <v>25</v>
      </c>
      <c r="C26" s="5"/>
      <c r="D26" s="5"/>
      <c r="E26" s="5"/>
      <c r="F26" s="5" t="s">
        <v>145</v>
      </c>
      <c r="G26" s="5">
        <v>1</v>
      </c>
      <c r="H26" s="20" t="s">
        <v>112</v>
      </c>
      <c r="I26" s="8" t="s">
        <v>112</v>
      </c>
      <c r="J26" s="8"/>
      <c r="K26" s="8" t="str">
        <f t="shared" si="4"/>
        <v>NA</v>
      </c>
      <c r="L26" s="8" t="s">
        <v>112</v>
      </c>
      <c r="M26" s="5">
        <v>0</v>
      </c>
      <c r="N26" s="8"/>
      <c r="O26" s="8"/>
      <c r="P26" s="5" t="s">
        <v>26</v>
      </c>
      <c r="T26" s="6"/>
      <c r="U26" s="3" t="s">
        <v>81</v>
      </c>
      <c r="V26" s="3" t="s">
        <v>82</v>
      </c>
      <c r="W26" s="3" t="s">
        <v>83</v>
      </c>
      <c r="X26" s="3" t="s">
        <v>84</v>
      </c>
      <c r="Y26" s="3" t="s">
        <v>85</v>
      </c>
      <c r="Z26" s="3" t="s">
        <v>86</v>
      </c>
      <c r="AA26" s="3" t="s">
        <v>87</v>
      </c>
    </row>
    <row r="27" spans="1:30" ht="45" x14ac:dyDescent="0.25">
      <c r="A27" s="5">
        <v>20</v>
      </c>
      <c r="B27" s="5" t="s">
        <v>138</v>
      </c>
      <c r="C27" s="5">
        <v>0</v>
      </c>
      <c r="D27" s="5">
        <v>90</v>
      </c>
      <c r="E27" s="5" t="s">
        <v>46</v>
      </c>
      <c r="F27" s="5" t="s">
        <v>145</v>
      </c>
      <c r="G27" s="5">
        <v>1</v>
      </c>
      <c r="H27" s="20">
        <v>7.15</v>
      </c>
      <c r="I27" s="8">
        <v>6.1899999999999997E-2</v>
      </c>
      <c r="J27" s="8"/>
      <c r="K27" s="8">
        <f t="shared" si="4"/>
        <v>0.61143789050227326</v>
      </c>
      <c r="L27" s="8">
        <v>0.68520000000000003</v>
      </c>
      <c r="M27" s="5">
        <v>5</v>
      </c>
      <c r="N27" s="8">
        <f t="shared" ref="N27:N33" si="10">IF(H27="NA", "NA",M27*K27)</f>
        <v>3.0571894525113663</v>
      </c>
      <c r="O27" s="8">
        <f t="shared" ref="O27:O33" si="11">IF(H27="NA", "NA",M27*L27)</f>
        <v>3.4260000000000002</v>
      </c>
      <c r="P27" s="5" t="s">
        <v>160</v>
      </c>
      <c r="T27" s="18" t="s">
        <v>125</v>
      </c>
      <c r="U27" s="7">
        <f>K5</f>
        <v>5.0155812228531076</v>
      </c>
      <c r="V27" s="7">
        <f>L5</f>
        <v>5.0650000000000004</v>
      </c>
      <c r="W27" s="15">
        <v>101</v>
      </c>
      <c r="X27" s="15">
        <v>1</v>
      </c>
      <c r="Y27" s="7">
        <f>W27/(20)</f>
        <v>5.05</v>
      </c>
      <c r="Z27" s="7">
        <f>V27/Y27 *100</f>
        <v>100.29702970297029</v>
      </c>
      <c r="AA27" s="7">
        <f>U27/Y27 *100</f>
        <v>99.318440056497181</v>
      </c>
    </row>
    <row r="28" spans="1:30" ht="45" x14ac:dyDescent="0.25">
      <c r="A28" s="5">
        <v>21</v>
      </c>
      <c r="B28" s="5" t="s">
        <v>139</v>
      </c>
      <c r="C28" s="5">
        <v>10</v>
      </c>
      <c r="D28" s="5">
        <v>40</v>
      </c>
      <c r="E28" s="5" t="s">
        <v>45</v>
      </c>
      <c r="F28" s="5" t="s">
        <v>145</v>
      </c>
      <c r="G28" s="5">
        <v>1</v>
      </c>
      <c r="H28" s="20">
        <v>7.157</v>
      </c>
      <c r="I28" s="8">
        <v>0.1303</v>
      </c>
      <c r="J28" s="8"/>
      <c r="K28" s="8">
        <f t="shared" si="4"/>
        <v>1.0921965945124825</v>
      </c>
      <c r="L28" s="8">
        <v>1.1631</v>
      </c>
      <c r="M28" s="5">
        <v>5</v>
      </c>
      <c r="N28" s="8">
        <f t="shared" si="10"/>
        <v>5.4609829725624124</v>
      </c>
      <c r="O28" s="8">
        <f t="shared" si="11"/>
        <v>5.8155000000000001</v>
      </c>
      <c r="P28" s="5" t="s">
        <v>161</v>
      </c>
      <c r="T28" s="18" t="s">
        <v>93</v>
      </c>
      <c r="U28" s="7">
        <f>U19</f>
        <v>5.4829855184185883</v>
      </c>
      <c r="V28" s="7">
        <f>U20</f>
        <v>5.5296666666666665</v>
      </c>
      <c r="W28" s="15">
        <v>100</v>
      </c>
      <c r="X28" s="15">
        <v>1</v>
      </c>
      <c r="Y28" s="7">
        <f>W28/(20)</f>
        <v>5</v>
      </c>
      <c r="Z28" s="7">
        <f>V28/Y28 *100</f>
        <v>110.59333333333332</v>
      </c>
      <c r="AA28" s="7">
        <f>U28/Y28 *100</f>
        <v>109.65971036837176</v>
      </c>
    </row>
    <row r="29" spans="1:30" x14ac:dyDescent="0.25">
      <c r="A29" s="5">
        <v>22</v>
      </c>
      <c r="B29" s="5" t="s">
        <v>140</v>
      </c>
      <c r="C29" s="5">
        <v>10</v>
      </c>
      <c r="D29" s="5">
        <v>50</v>
      </c>
      <c r="E29" s="5" t="s">
        <v>45</v>
      </c>
      <c r="F29" s="5" t="s">
        <v>145</v>
      </c>
      <c r="G29" s="5">
        <v>1</v>
      </c>
      <c r="H29" s="20">
        <v>7.15</v>
      </c>
      <c r="I29" s="8">
        <v>8.9899999999999994E-2</v>
      </c>
      <c r="J29" s="8"/>
      <c r="K29" s="8">
        <f t="shared" si="4"/>
        <v>0.80823969916142313</v>
      </c>
      <c r="L29" s="8">
        <v>0.88060000000000005</v>
      </c>
      <c r="M29" s="5">
        <v>5</v>
      </c>
      <c r="N29" s="8">
        <f t="shared" si="10"/>
        <v>4.0411984958071159</v>
      </c>
      <c r="O29" s="8">
        <f t="shared" si="11"/>
        <v>4.4030000000000005</v>
      </c>
      <c r="P29" s="5" t="s">
        <v>162</v>
      </c>
    </row>
    <row r="30" spans="1:30" x14ac:dyDescent="0.25">
      <c r="A30" s="5">
        <v>23</v>
      </c>
      <c r="B30" s="5" t="s">
        <v>141</v>
      </c>
      <c r="C30" s="5">
        <v>0</v>
      </c>
      <c r="D30" s="5">
        <v>50</v>
      </c>
      <c r="E30" s="5" t="s">
        <v>46</v>
      </c>
      <c r="F30" s="5" t="s">
        <v>145</v>
      </c>
      <c r="G30" s="5">
        <v>1</v>
      </c>
      <c r="H30" s="20">
        <v>7.1429999999999998</v>
      </c>
      <c r="I30" s="8">
        <v>0.1067</v>
      </c>
      <c r="J30" s="8"/>
      <c r="K30" s="8">
        <f t="shared" si="4"/>
        <v>0.92632078435691334</v>
      </c>
      <c r="L30" s="8">
        <v>0.99819999999999998</v>
      </c>
      <c r="M30" s="5">
        <v>5</v>
      </c>
      <c r="N30" s="8">
        <f t="shared" si="10"/>
        <v>4.631603921784567</v>
      </c>
      <c r="O30" s="8">
        <f t="shared" si="11"/>
        <v>4.9909999999999997</v>
      </c>
      <c r="P30" s="5" t="s">
        <v>163</v>
      </c>
    </row>
    <row r="31" spans="1:30" x14ac:dyDescent="0.25">
      <c r="A31" s="5">
        <v>24</v>
      </c>
      <c r="B31" s="5" t="s">
        <v>142</v>
      </c>
      <c r="C31" s="5">
        <v>10</v>
      </c>
      <c r="D31" s="5">
        <v>60</v>
      </c>
      <c r="E31" s="5" t="s">
        <v>46</v>
      </c>
      <c r="F31" s="5" t="s">
        <v>145</v>
      </c>
      <c r="G31" s="5">
        <v>1</v>
      </c>
      <c r="H31" s="20">
        <v>7.1369999999999996</v>
      </c>
      <c r="I31" s="8">
        <v>2.29E-2</v>
      </c>
      <c r="J31" s="8"/>
      <c r="K31" s="8">
        <f t="shared" si="4"/>
        <v>0.33732108558417156</v>
      </c>
      <c r="L31" s="8">
        <v>0.41260000000000002</v>
      </c>
      <c r="M31" s="5">
        <v>5</v>
      </c>
      <c r="N31" s="8">
        <f t="shared" si="10"/>
        <v>1.6866054279208578</v>
      </c>
      <c r="O31" s="8">
        <f t="shared" si="11"/>
        <v>2.0630000000000002</v>
      </c>
      <c r="P31" s="5" t="s">
        <v>164</v>
      </c>
      <c r="T31" s="5"/>
      <c r="U31" s="3" t="s">
        <v>98</v>
      </c>
      <c r="V31" s="3" t="s">
        <v>99</v>
      </c>
      <c r="W31" s="3" t="s">
        <v>100</v>
      </c>
      <c r="X31" s="3" t="s">
        <v>101</v>
      </c>
      <c r="Y31" s="3" t="s">
        <v>102</v>
      </c>
      <c r="Z31" s="3" t="s">
        <v>103</v>
      </c>
      <c r="AA31" s="3" t="s">
        <v>104</v>
      </c>
      <c r="AB31" s="3" t="s">
        <v>86</v>
      </c>
      <c r="AC31" s="3" t="s">
        <v>87</v>
      </c>
    </row>
    <row r="32" spans="1:30" x14ac:dyDescent="0.25">
      <c r="A32" s="5">
        <v>25</v>
      </c>
      <c r="B32" s="5" t="s">
        <v>143</v>
      </c>
      <c r="C32" s="5">
        <v>10</v>
      </c>
      <c r="D32" s="5">
        <v>70</v>
      </c>
      <c r="E32" s="5" t="s">
        <v>46</v>
      </c>
      <c r="F32" s="5" t="s">
        <v>145</v>
      </c>
      <c r="G32" s="5">
        <v>1</v>
      </c>
      <c r="H32" s="20">
        <v>7.1429999999999998</v>
      </c>
      <c r="I32" s="8">
        <v>0.1055</v>
      </c>
      <c r="J32" s="8"/>
      <c r="K32" s="8">
        <f t="shared" si="4"/>
        <v>0.91788642112866381</v>
      </c>
      <c r="L32" s="8">
        <v>0.9899</v>
      </c>
      <c r="M32" s="5">
        <v>5</v>
      </c>
      <c r="N32" s="8">
        <f t="shared" si="10"/>
        <v>4.5894321056433194</v>
      </c>
      <c r="O32" s="8">
        <f t="shared" si="11"/>
        <v>4.9495000000000005</v>
      </c>
      <c r="P32" s="5" t="s">
        <v>165</v>
      </c>
      <c r="T32" s="13" t="s">
        <v>94</v>
      </c>
      <c r="U32" s="8">
        <f>I5</f>
        <v>0.6885</v>
      </c>
      <c r="V32" s="8">
        <f>U18</f>
        <v>0.755</v>
      </c>
      <c r="W32" s="8">
        <f>K5</f>
        <v>5.0155812228531076</v>
      </c>
      <c r="X32" s="8">
        <f>L5</f>
        <v>5.0650000000000004</v>
      </c>
      <c r="Y32" s="8">
        <f>U19</f>
        <v>5.4829855184185883</v>
      </c>
      <c r="Z32" s="8">
        <f>U20</f>
        <v>5.5296666666666665</v>
      </c>
      <c r="AA32" s="8">
        <f>U32/V32 *100</f>
        <v>91.192052980132459</v>
      </c>
      <c r="AB32" s="8">
        <f>W32/Y32 *100</f>
        <v>91.47536877499742</v>
      </c>
      <c r="AC32" s="8">
        <f>X32/Z32 *100</f>
        <v>91.596841280366519</v>
      </c>
    </row>
    <row r="33" spans="1:16" x14ac:dyDescent="0.25">
      <c r="A33" s="5">
        <v>26</v>
      </c>
      <c r="B33" s="5" t="s">
        <v>144</v>
      </c>
      <c r="C33" s="5">
        <v>10</v>
      </c>
      <c r="D33" s="5">
        <v>100</v>
      </c>
      <c r="E33" s="5" t="s">
        <v>46</v>
      </c>
      <c r="F33" s="5" t="s">
        <v>145</v>
      </c>
      <c r="G33" s="5">
        <v>1</v>
      </c>
      <c r="H33" s="20">
        <v>7.1429999999999998</v>
      </c>
      <c r="I33" s="8">
        <v>0.19020000000000001</v>
      </c>
      <c r="J33" s="8"/>
      <c r="K33" s="8">
        <f t="shared" si="4"/>
        <v>1.5132118923225926</v>
      </c>
      <c r="L33" s="8">
        <v>1.5822000000000001</v>
      </c>
      <c r="M33" s="5">
        <v>5</v>
      </c>
      <c r="N33" s="8">
        <f t="shared" si="10"/>
        <v>7.5660594616129631</v>
      </c>
      <c r="O33" s="8">
        <f t="shared" si="11"/>
        <v>7.9110000000000005</v>
      </c>
      <c r="P33" s="5" t="s">
        <v>166</v>
      </c>
    </row>
    <row r="34" spans="1:16" x14ac:dyDescent="0.25">
      <c r="A34" s="5">
        <v>27</v>
      </c>
      <c r="B34" s="5" t="s">
        <v>43</v>
      </c>
      <c r="C34" s="5"/>
      <c r="D34" s="5"/>
      <c r="E34" s="5"/>
      <c r="F34" s="5" t="s">
        <v>145</v>
      </c>
      <c r="G34" s="5">
        <v>1</v>
      </c>
      <c r="H34" s="20">
        <v>7.15</v>
      </c>
      <c r="I34" s="8">
        <v>0.78139999999999998</v>
      </c>
      <c r="J34" s="8"/>
      <c r="K34" s="8">
        <f t="shared" si="4"/>
        <v>5.6685415094400726</v>
      </c>
      <c r="L34" s="8">
        <v>5.7142999999999997</v>
      </c>
      <c r="M34" s="5">
        <v>20</v>
      </c>
      <c r="N34" s="8"/>
      <c r="O34" s="8"/>
      <c r="P34" s="5" t="s">
        <v>44</v>
      </c>
    </row>
    <row r="35" spans="1:16" x14ac:dyDescent="0.25">
      <c r="A35" s="5">
        <v>28</v>
      </c>
      <c r="B35" s="5" t="s">
        <v>25</v>
      </c>
      <c r="C35" s="5"/>
      <c r="D35" s="5"/>
      <c r="E35" s="5"/>
      <c r="F35" s="5" t="s">
        <v>145</v>
      </c>
      <c r="G35" s="5">
        <v>1</v>
      </c>
      <c r="H35" s="20" t="s">
        <v>112</v>
      </c>
      <c r="I35" s="8" t="s">
        <v>112</v>
      </c>
      <c r="J35" s="8"/>
      <c r="K35" s="8" t="str">
        <f t="shared" si="4"/>
        <v>NA</v>
      </c>
      <c r="L35" s="8" t="s">
        <v>112</v>
      </c>
      <c r="M35" s="5">
        <v>0</v>
      </c>
      <c r="N35" s="8"/>
      <c r="O35" s="8"/>
      <c r="P35" s="5" t="s">
        <v>26</v>
      </c>
    </row>
  </sheetData>
  <conditionalFormatting sqref="I2:I35">
    <cfRule type="cellIs" dxfId="5" priority="3" operator="lessThan">
      <formula>$U$12</formula>
    </cfRule>
    <cfRule type="cellIs" dxfId="4" priority="4" operator="lessThan">
      <formula>$V$12</formula>
    </cfRule>
  </conditionalFormatting>
  <conditionalFormatting sqref="K1:K35">
    <cfRule type="cellIs" dxfId="3" priority="1" operator="lessThan">
      <formula>$U$13</formula>
    </cfRule>
    <cfRule type="cellIs" dxfId="2" priority="2" operator="lessThan">
      <formula>$V$13</formula>
    </cfRule>
  </conditionalFormatting>
  <conditionalFormatting sqref="L1:L35">
    <cfRule type="cellIs" dxfId="1" priority="5" operator="lessThan">
      <formula>$U$14</formula>
    </cfRule>
    <cfRule type="cellIs" dxfId="0" priority="6" operator="lessThan">
      <formula>$V$14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7" ma:contentTypeDescription="Create a new document." ma:contentTypeScope="" ma:versionID="7010c0a6269079e21613b7d96089c7ae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7ec94fa1e5f2936bee832cd056caf156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Props1.xml><?xml version="1.0" encoding="utf-8"?>
<ds:datastoreItem xmlns:ds="http://schemas.openxmlformats.org/officeDocument/2006/customXml" ds:itemID="{0BF62E27-3307-4364-8032-BD7DAF98B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9DA6F7-5464-48F4-A91B-6EB855B0A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17A07-87C5-4B82-A532-5CCFB3B9F2D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fdb7c1ac-29a4-4544-9ce2-fbe0ce024e61"/>
    <ds:schemaRef ds:uri="b9494818-4157-4856-becf-245aaf201f85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calibration</vt:lpstr>
      <vt:lpstr>IC_201123_Cl</vt:lpstr>
      <vt:lpstr>IC_201123_Nitrite</vt:lpstr>
      <vt:lpstr>IC_201123_Nitrate</vt:lpstr>
      <vt:lpstr>IC_201123_SO4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2023-12-03T15:24:57Z</dcterms:created>
  <dcterms:modified xsi:type="dcterms:W3CDTF">2024-01-19T19:56:30Z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