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3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4.xml" ContentType="application/vnd.openxmlformats-officedocument.themeOverride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5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Lab/IC/"/>
    </mc:Choice>
  </mc:AlternateContent>
  <xr:revisionPtr revIDLastSave="12" documentId="8_{F18CB0BD-D1E7-4EC7-8F0F-45ACF79D9235}" xr6:coauthVersionLast="47" xr6:coauthVersionMax="47" xr10:uidLastSave="{506D06E6-A494-4D97-A731-70292F5DCDDB}"/>
  <bookViews>
    <workbookView xWindow="14550" yWindow="2700" windowWidth="14355" windowHeight="11385" firstSheet="5" activeTab="7" xr2:uid="{756351D9-AD74-40E8-8DCA-70EF970528E2}"/>
  </bookViews>
  <sheets>
    <sheet name="calibration" sheetId="8" r:id="rId1"/>
    <sheet name="IC_231123_F" sheetId="1" r:id="rId2"/>
    <sheet name="IC_231123_Cl" sheetId="2" r:id="rId3"/>
    <sheet name="IC_231123_Nitrite" sheetId="3" r:id="rId4"/>
    <sheet name="IC_231123_Br" sheetId="4" r:id="rId5"/>
    <sheet name="IC_231123_Nitrate" sheetId="5" r:id="rId6"/>
    <sheet name="IC_231123_PO4" sheetId="6" r:id="rId7"/>
    <sheet name="IC_231123_SO4" sheetId="7" r:id="rId8"/>
  </sheets>
  <externalReferences>
    <externalReference r:id="rId9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7" i="7" l="1"/>
  <c r="AA17" i="7"/>
  <c r="Z17" i="7"/>
  <c r="AB17" i="7" s="1"/>
  <c r="Y17" i="7"/>
  <c r="W17" i="7"/>
  <c r="AD17" i="7" s="1"/>
  <c r="V17" i="7"/>
  <c r="U17" i="7"/>
  <c r="AC17" i="5"/>
  <c r="AA17" i="5"/>
  <c r="Z17" i="5"/>
  <c r="AB17" i="5" s="1"/>
  <c r="Y17" i="5"/>
  <c r="W17" i="5"/>
  <c r="AD17" i="5" s="1"/>
  <c r="V17" i="5"/>
  <c r="U17" i="5"/>
  <c r="AC17" i="3"/>
  <c r="AA17" i="3"/>
  <c r="Z17" i="3"/>
  <c r="Y17" i="3"/>
  <c r="W17" i="3"/>
  <c r="X17" i="3" s="1"/>
  <c r="V17" i="3"/>
  <c r="U17" i="3"/>
  <c r="X17" i="7" l="1"/>
  <c r="X17" i="5"/>
  <c r="U12" i="3" l="1"/>
  <c r="U21" i="3" l="1"/>
  <c r="X21" i="3" s="1"/>
  <c r="U21" i="7" l="1"/>
  <c r="X21" i="7"/>
  <c r="Z32" i="7"/>
  <c r="AC32" i="7" s="1"/>
  <c r="X32" i="7"/>
  <c r="U32" i="7"/>
  <c r="Y28" i="7"/>
  <c r="Y27" i="7"/>
  <c r="V27" i="7"/>
  <c r="Z27" i="7" s="1"/>
  <c r="AC23" i="7"/>
  <c r="AA23" i="7"/>
  <c r="Z23" i="7"/>
  <c r="Y23" i="7"/>
  <c r="W23" i="7"/>
  <c r="V23" i="7"/>
  <c r="U23" i="7"/>
  <c r="AC21" i="7"/>
  <c r="AA21" i="7"/>
  <c r="Z21" i="7"/>
  <c r="Y21" i="7"/>
  <c r="W21" i="7"/>
  <c r="AD21" i="7" s="1"/>
  <c r="V21" i="7"/>
  <c r="O21" i="7"/>
  <c r="AC20" i="7"/>
  <c r="AA20" i="7"/>
  <c r="Z20" i="7"/>
  <c r="AB20" i="7" s="1"/>
  <c r="Y20" i="7"/>
  <c r="W20" i="7"/>
  <c r="AD20" i="7" s="1"/>
  <c r="V20" i="7"/>
  <c r="U20" i="7"/>
  <c r="V28" i="7" s="1"/>
  <c r="Z28" i="7" s="1"/>
  <c r="O20" i="7"/>
  <c r="O19" i="7"/>
  <c r="AC18" i="7"/>
  <c r="AA18" i="7"/>
  <c r="Z18" i="7"/>
  <c r="Y18" i="7"/>
  <c r="W18" i="7"/>
  <c r="X18" i="7" s="1"/>
  <c r="V18" i="7"/>
  <c r="U18" i="7"/>
  <c r="V32" i="7" s="1"/>
  <c r="O18" i="7"/>
  <c r="O17" i="7"/>
  <c r="O16" i="7"/>
  <c r="O15" i="7"/>
  <c r="V14" i="7"/>
  <c r="U14" i="7"/>
  <c r="O14" i="7"/>
  <c r="O13" i="7"/>
  <c r="V12" i="7"/>
  <c r="U12" i="7"/>
  <c r="O12" i="7"/>
  <c r="O11" i="7"/>
  <c r="O10" i="7"/>
  <c r="AA7" i="7"/>
  <c r="Z7" i="7"/>
  <c r="Y7" i="7"/>
  <c r="X7" i="7"/>
  <c r="W7" i="7"/>
  <c r="V7" i="7"/>
  <c r="U7" i="7"/>
  <c r="T7" i="7"/>
  <c r="AA6" i="7"/>
  <c r="Z6" i="7"/>
  <c r="Y6" i="7"/>
  <c r="X6" i="7"/>
  <c r="W6" i="7"/>
  <c r="V6" i="7"/>
  <c r="U6" i="7"/>
  <c r="T6" i="7"/>
  <c r="AA5" i="7"/>
  <c r="Z5" i="7"/>
  <c r="Y5" i="7"/>
  <c r="X5" i="7"/>
  <c r="W5" i="7"/>
  <c r="V5" i="7"/>
  <c r="U5" i="7"/>
  <c r="T5" i="7"/>
  <c r="AA4" i="7"/>
  <c r="Z4" i="7"/>
  <c r="Y4" i="7"/>
  <c r="X4" i="7"/>
  <c r="W4" i="7"/>
  <c r="V4" i="7"/>
  <c r="U4" i="7"/>
  <c r="T4" i="7"/>
  <c r="AA3" i="7"/>
  <c r="Z3" i="7"/>
  <c r="Y3" i="7"/>
  <c r="X3" i="7"/>
  <c r="W3" i="7"/>
  <c r="V3" i="7"/>
  <c r="U3" i="7"/>
  <c r="T3" i="7"/>
  <c r="AA2" i="7"/>
  <c r="AG3" i="7" s="1" a="1"/>
  <c r="Z2" i="7"/>
  <c r="Y2" i="7"/>
  <c r="X2" i="7"/>
  <c r="W2" i="7"/>
  <c r="V2" i="7"/>
  <c r="U2" i="7"/>
  <c r="T2" i="7"/>
  <c r="AA1" i="7"/>
  <c r="Z1" i="7"/>
  <c r="Y1" i="7"/>
  <c r="X1" i="7"/>
  <c r="W1" i="7"/>
  <c r="V1" i="7"/>
  <c r="U1" i="7"/>
  <c r="T1" i="7"/>
  <c r="Z27" i="5"/>
  <c r="U28" i="5"/>
  <c r="U27" i="5"/>
  <c r="V32" i="5"/>
  <c r="O19" i="5"/>
  <c r="Z23" i="5"/>
  <c r="O13" i="5"/>
  <c r="O20" i="5"/>
  <c r="O21" i="5"/>
  <c r="X32" i="5"/>
  <c r="O11" i="5"/>
  <c r="O17" i="5"/>
  <c r="U32" i="5"/>
  <c r="Y28" i="5"/>
  <c r="Y27" i="5"/>
  <c r="AC21" i="5"/>
  <c r="AA21" i="5"/>
  <c r="Z21" i="5"/>
  <c r="Y21" i="5"/>
  <c r="W21" i="5"/>
  <c r="V21" i="5"/>
  <c r="U21" i="5"/>
  <c r="V20" i="5"/>
  <c r="AD18" i="5"/>
  <c r="AC18" i="5"/>
  <c r="AA18" i="5"/>
  <c r="Z18" i="5"/>
  <c r="Y18" i="5"/>
  <c r="W18" i="5"/>
  <c r="V18" i="5"/>
  <c r="U18" i="5"/>
  <c r="O18" i="5"/>
  <c r="O16" i="5"/>
  <c r="O15" i="5"/>
  <c r="O14" i="5"/>
  <c r="V12" i="5"/>
  <c r="U12" i="5"/>
  <c r="O12" i="5"/>
  <c r="O10" i="5"/>
  <c r="AC20" i="5"/>
  <c r="AA23" i="5"/>
  <c r="AA7" i="5"/>
  <c r="Z7" i="5"/>
  <c r="Y7" i="5"/>
  <c r="X7" i="5"/>
  <c r="W7" i="5"/>
  <c r="V7" i="5"/>
  <c r="U7" i="5"/>
  <c r="T7" i="5"/>
  <c r="AA6" i="5"/>
  <c r="Z6" i="5"/>
  <c r="Y6" i="5"/>
  <c r="X6" i="5"/>
  <c r="W6" i="5"/>
  <c r="V6" i="5"/>
  <c r="U6" i="5"/>
  <c r="T6" i="5"/>
  <c r="AA5" i="5"/>
  <c r="Z5" i="5"/>
  <c r="Y5" i="5"/>
  <c r="X5" i="5"/>
  <c r="W5" i="5"/>
  <c r="V5" i="5"/>
  <c r="U5" i="5"/>
  <c r="T5" i="5"/>
  <c r="AA4" i="5"/>
  <c r="Z4" i="5"/>
  <c r="Y4" i="5"/>
  <c r="X4" i="5"/>
  <c r="W4" i="5"/>
  <c r="V4" i="5"/>
  <c r="U4" i="5"/>
  <c r="T4" i="5"/>
  <c r="AG3" i="5" a="1"/>
  <c r="AA3" i="5"/>
  <c r="Z3" i="5"/>
  <c r="Y3" i="5"/>
  <c r="X3" i="5"/>
  <c r="W3" i="5"/>
  <c r="V3" i="5"/>
  <c r="U3" i="5"/>
  <c r="T3" i="5"/>
  <c r="AA2" i="5"/>
  <c r="Z2" i="5"/>
  <c r="Y2" i="5"/>
  <c r="X2" i="5"/>
  <c r="W2" i="5"/>
  <c r="V2" i="5"/>
  <c r="U2" i="5"/>
  <c r="T2" i="5"/>
  <c r="AA1" i="5"/>
  <c r="Z1" i="5"/>
  <c r="Y1" i="5"/>
  <c r="X1" i="5"/>
  <c r="W1" i="5"/>
  <c r="V1" i="5"/>
  <c r="U1" i="5"/>
  <c r="T1" i="5"/>
  <c r="O21" i="3"/>
  <c r="O20" i="3"/>
  <c r="O19" i="3"/>
  <c r="O18" i="3"/>
  <c r="O17" i="3"/>
  <c r="O16" i="3"/>
  <c r="O15" i="3"/>
  <c r="O14" i="3"/>
  <c r="O13" i="3"/>
  <c r="O12" i="3"/>
  <c r="O11" i="3"/>
  <c r="O10" i="3"/>
  <c r="N21" i="3"/>
  <c r="N18" i="3"/>
  <c r="N16" i="3"/>
  <c r="N15" i="3"/>
  <c r="N14" i="3"/>
  <c r="N13" i="3"/>
  <c r="N12" i="3"/>
  <c r="N11" i="3"/>
  <c r="N10" i="3"/>
  <c r="K24" i="3"/>
  <c r="K23" i="3"/>
  <c r="K22" i="3"/>
  <c r="K21" i="3"/>
  <c r="K20" i="3"/>
  <c r="N20" i="3" s="1"/>
  <c r="K19" i="3"/>
  <c r="N19" i="3" s="1"/>
  <c r="K18" i="3"/>
  <c r="K17" i="3"/>
  <c r="N17" i="3" s="1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K15" i="2"/>
  <c r="N15" i="2" s="1"/>
  <c r="K14" i="2"/>
  <c r="K13" i="2"/>
  <c r="K12" i="2"/>
  <c r="N12" i="2" s="1"/>
  <c r="K11" i="2"/>
  <c r="K10" i="2"/>
  <c r="N10" i="2" s="1"/>
  <c r="K9" i="2"/>
  <c r="U19" i="2" s="1"/>
  <c r="Y32" i="2" s="1"/>
  <c r="AB32" i="2" s="1"/>
  <c r="K8" i="2"/>
  <c r="K7" i="2"/>
  <c r="K6" i="2"/>
  <c r="K5" i="2"/>
  <c r="K4" i="2"/>
  <c r="K3" i="2"/>
  <c r="K2" i="2"/>
  <c r="O19" i="2"/>
  <c r="N19" i="2"/>
  <c r="N18" i="2"/>
  <c r="N14" i="2"/>
  <c r="N13" i="2"/>
  <c r="N11" i="2"/>
  <c r="K24" i="2"/>
  <c r="K23" i="2"/>
  <c r="K22" i="2"/>
  <c r="K21" i="2"/>
  <c r="N21" i="2" s="1"/>
  <c r="K20" i="2"/>
  <c r="N20" i="2" s="1"/>
  <c r="K19" i="2"/>
  <c r="K18" i="2"/>
  <c r="K17" i="2"/>
  <c r="N17" i="2" s="1"/>
  <c r="K16" i="2"/>
  <c r="N16" i="2" s="1"/>
  <c r="W32" i="2"/>
  <c r="U32" i="3"/>
  <c r="Y28" i="3"/>
  <c r="Y27" i="3"/>
  <c r="AC21" i="3"/>
  <c r="AA21" i="3"/>
  <c r="Z21" i="3"/>
  <c r="AB21" i="3" s="1"/>
  <c r="Y21" i="3"/>
  <c r="W21" i="3"/>
  <c r="AD21" i="3" s="1"/>
  <c r="V21" i="3"/>
  <c r="AC18" i="3"/>
  <c r="AA18" i="3"/>
  <c r="Z18" i="3"/>
  <c r="AB18" i="3" s="1"/>
  <c r="Y18" i="3"/>
  <c r="W18" i="3"/>
  <c r="AD18" i="3" s="1"/>
  <c r="V18" i="3"/>
  <c r="U18" i="3"/>
  <c r="V32" i="3" s="1"/>
  <c r="V14" i="3"/>
  <c r="V12" i="3"/>
  <c r="AC20" i="3"/>
  <c r="AA23" i="3"/>
  <c r="AA7" i="3"/>
  <c r="Z7" i="3"/>
  <c r="Y7" i="3"/>
  <c r="X7" i="3"/>
  <c r="W7" i="3"/>
  <c r="V7" i="3"/>
  <c r="U7" i="3"/>
  <c r="T7" i="3"/>
  <c r="AA6" i="3"/>
  <c r="Z6" i="3"/>
  <c r="Y6" i="3"/>
  <c r="X6" i="3"/>
  <c r="W6" i="3"/>
  <c r="V6" i="3"/>
  <c r="U6" i="3"/>
  <c r="T6" i="3"/>
  <c r="AA5" i="3"/>
  <c r="Z5" i="3"/>
  <c r="Y5" i="3"/>
  <c r="X5" i="3"/>
  <c r="W5" i="3"/>
  <c r="V5" i="3"/>
  <c r="U5" i="3"/>
  <c r="T5" i="3"/>
  <c r="X32" i="3"/>
  <c r="AA4" i="3"/>
  <c r="Z4" i="3"/>
  <c r="Y4" i="3"/>
  <c r="X4" i="3"/>
  <c r="W4" i="3"/>
  <c r="V4" i="3"/>
  <c r="U4" i="3"/>
  <c r="T4" i="3"/>
  <c r="AA3" i="3"/>
  <c r="Z3" i="3"/>
  <c r="Y3" i="3"/>
  <c r="X3" i="3"/>
  <c r="W3" i="3"/>
  <c r="V3" i="3"/>
  <c r="U3" i="3"/>
  <c r="T3" i="3"/>
  <c r="AA2" i="3"/>
  <c r="Z2" i="3"/>
  <c r="AG3" i="3" s="1" a="1"/>
  <c r="AG3" i="3" s="1"/>
  <c r="Y2" i="3"/>
  <c r="X2" i="3"/>
  <c r="W2" i="3"/>
  <c r="V2" i="3"/>
  <c r="U2" i="3"/>
  <c r="T2" i="3"/>
  <c r="AA1" i="3"/>
  <c r="Z1" i="3"/>
  <c r="Y1" i="3"/>
  <c r="X1" i="3"/>
  <c r="W1" i="3"/>
  <c r="V1" i="3"/>
  <c r="U1" i="3"/>
  <c r="T1" i="3"/>
  <c r="AC17" i="2"/>
  <c r="AA17" i="2"/>
  <c r="AB17" i="2" s="1"/>
  <c r="Z17" i="2"/>
  <c r="Y17" i="2"/>
  <c r="W17" i="2"/>
  <c r="V17" i="2"/>
  <c r="U17" i="2"/>
  <c r="V32" i="2"/>
  <c r="AA32" i="2" s="1"/>
  <c r="U32" i="2"/>
  <c r="V12" i="2"/>
  <c r="U12" i="2"/>
  <c r="AC21" i="2"/>
  <c r="AD21" i="2" s="1"/>
  <c r="AA21" i="2"/>
  <c r="Z21" i="2"/>
  <c r="Y21" i="2"/>
  <c r="W21" i="2"/>
  <c r="V21" i="2"/>
  <c r="U21" i="2"/>
  <c r="AC18" i="2"/>
  <c r="AD18" i="2" s="1"/>
  <c r="AA18" i="2"/>
  <c r="Z18" i="2"/>
  <c r="AB18" i="2" s="1"/>
  <c r="Y18" i="2"/>
  <c r="W18" i="2"/>
  <c r="V18" i="2"/>
  <c r="U18" i="2"/>
  <c r="AB21" i="2"/>
  <c r="AD23" i="7" l="1"/>
  <c r="AB23" i="7"/>
  <c r="AD18" i="7"/>
  <c r="AB18" i="7"/>
  <c r="AB21" i="7"/>
  <c r="AG3" i="7"/>
  <c r="K23" i="7" s="1"/>
  <c r="AA32" i="7"/>
  <c r="X23" i="7"/>
  <c r="X20" i="7"/>
  <c r="AB23" i="5"/>
  <c r="AB21" i="5"/>
  <c r="V27" i="5"/>
  <c r="AD21" i="5"/>
  <c r="AB18" i="5"/>
  <c r="AA32" i="5"/>
  <c r="V23" i="5"/>
  <c r="Y20" i="5"/>
  <c r="W23" i="5"/>
  <c r="AC23" i="5"/>
  <c r="U14" i="5"/>
  <c r="Z20" i="5"/>
  <c r="X21" i="5"/>
  <c r="K7" i="5"/>
  <c r="V14" i="5"/>
  <c r="X18" i="5"/>
  <c r="U20" i="5"/>
  <c r="AA20" i="5"/>
  <c r="Y23" i="5"/>
  <c r="K14" i="5"/>
  <c r="N14" i="5" s="1"/>
  <c r="AG3" i="5"/>
  <c r="K20" i="5" s="1"/>
  <c r="N20" i="5" s="1"/>
  <c r="W20" i="5"/>
  <c r="U23" i="5"/>
  <c r="X18" i="3"/>
  <c r="AA32" i="3"/>
  <c r="AD17" i="3"/>
  <c r="AB17" i="3"/>
  <c r="V23" i="3"/>
  <c r="V27" i="3"/>
  <c r="Z27" i="3" s="1"/>
  <c r="U14" i="3"/>
  <c r="Y20" i="3"/>
  <c r="W23" i="3"/>
  <c r="AC23" i="3"/>
  <c r="Z20" i="3"/>
  <c r="U20" i="3"/>
  <c r="AA20" i="3"/>
  <c r="Y23" i="3"/>
  <c r="V20" i="3"/>
  <c r="Z23" i="3"/>
  <c r="AB23" i="3" s="1"/>
  <c r="W20" i="3"/>
  <c r="U23" i="3"/>
  <c r="AD17" i="2"/>
  <c r="X17" i="2"/>
  <c r="X21" i="2"/>
  <c r="X18" i="2"/>
  <c r="K14" i="7" l="1"/>
  <c r="N14" i="7" s="1"/>
  <c r="K12" i="7"/>
  <c r="N12" i="7" s="1"/>
  <c r="K24" i="7"/>
  <c r="K10" i="7"/>
  <c r="N10" i="7" s="1"/>
  <c r="K20" i="7"/>
  <c r="N20" i="7" s="1"/>
  <c r="K11" i="7"/>
  <c r="N11" i="7" s="1"/>
  <c r="K13" i="7"/>
  <c r="N13" i="7" s="1"/>
  <c r="K8" i="7"/>
  <c r="K15" i="7"/>
  <c r="N15" i="7" s="1"/>
  <c r="K19" i="7"/>
  <c r="N19" i="7" s="1"/>
  <c r="K5" i="7"/>
  <c r="K9" i="7"/>
  <c r="K17" i="7"/>
  <c r="N17" i="7" s="1"/>
  <c r="K4" i="7"/>
  <c r="K7" i="7"/>
  <c r="K18" i="7"/>
  <c r="N18" i="7" s="1"/>
  <c r="K6" i="7"/>
  <c r="K21" i="7"/>
  <c r="N21" i="7" s="1"/>
  <c r="K22" i="7"/>
  <c r="K3" i="7"/>
  <c r="K16" i="7"/>
  <c r="N16" i="7" s="1"/>
  <c r="K5" i="5"/>
  <c r="AA27" i="5" s="1"/>
  <c r="K22" i="5"/>
  <c r="Y19" i="5" s="1"/>
  <c r="K15" i="5"/>
  <c r="N15" i="5" s="1"/>
  <c r="K13" i="5"/>
  <c r="N13" i="5" s="1"/>
  <c r="K12" i="5"/>
  <c r="N12" i="5" s="1"/>
  <c r="K8" i="5"/>
  <c r="K9" i="5"/>
  <c r="K10" i="5"/>
  <c r="N10" i="5" s="1"/>
  <c r="K19" i="5"/>
  <c r="N19" i="5" s="1"/>
  <c r="K23" i="5"/>
  <c r="AA22" i="5" s="1"/>
  <c r="K11" i="5"/>
  <c r="N11" i="5" s="1"/>
  <c r="K6" i="5"/>
  <c r="AA19" i="5"/>
  <c r="K3" i="5"/>
  <c r="W32" i="5"/>
  <c r="AD20" i="5"/>
  <c r="X20" i="5"/>
  <c r="V28" i="5"/>
  <c r="Z28" i="5" s="1"/>
  <c r="Z32" i="5"/>
  <c r="AC32" i="5" s="1"/>
  <c r="AB20" i="5"/>
  <c r="AD23" i="5"/>
  <c r="X23" i="5"/>
  <c r="K24" i="5"/>
  <c r="K18" i="5"/>
  <c r="N18" i="5" s="1"/>
  <c r="K17" i="5"/>
  <c r="N17" i="5" s="1"/>
  <c r="K21" i="5"/>
  <c r="N21" i="5" s="1"/>
  <c r="K16" i="5"/>
  <c r="N16" i="5" s="1"/>
  <c r="K4" i="5"/>
  <c r="V28" i="3"/>
  <c r="Z28" i="3" s="1"/>
  <c r="Z32" i="3"/>
  <c r="AC32" i="3" s="1"/>
  <c r="AB20" i="3"/>
  <c r="AD20" i="3"/>
  <c r="X20" i="3"/>
  <c r="Y19" i="3"/>
  <c r="AD23" i="3"/>
  <c r="X23" i="3"/>
  <c r="W32" i="7" l="1"/>
  <c r="U27" i="7"/>
  <c r="AA27" i="7" s="1"/>
  <c r="Y22" i="7"/>
  <c r="AC22" i="7"/>
  <c r="W22" i="7"/>
  <c r="V22" i="7"/>
  <c r="AA22" i="7"/>
  <c r="U22" i="7"/>
  <c r="V13" i="7"/>
  <c r="Z22" i="7"/>
  <c r="U13" i="7"/>
  <c r="Z19" i="7"/>
  <c r="AB19" i="7" s="1"/>
  <c r="Y19" i="7"/>
  <c r="W19" i="7"/>
  <c r="V19" i="7"/>
  <c r="AA19" i="7"/>
  <c r="U19" i="7"/>
  <c r="AC19" i="7"/>
  <c r="U22" i="5"/>
  <c r="AC19" i="5"/>
  <c r="Z19" i="5"/>
  <c r="AB19" i="5" s="1"/>
  <c r="U19" i="5"/>
  <c r="Y32" i="5" s="1"/>
  <c r="AB32" i="5" s="1"/>
  <c r="V19" i="5"/>
  <c r="W19" i="5"/>
  <c r="AC22" i="5"/>
  <c r="U13" i="5"/>
  <c r="V13" i="5"/>
  <c r="Y22" i="5"/>
  <c r="AD19" i="5"/>
  <c r="V22" i="5"/>
  <c r="Z22" i="5"/>
  <c r="AB22" i="5" s="1"/>
  <c r="W22" i="5"/>
  <c r="AC19" i="3"/>
  <c r="V19" i="3"/>
  <c r="AA19" i="3"/>
  <c r="AA22" i="3"/>
  <c r="U22" i="3"/>
  <c r="Z22" i="3"/>
  <c r="V13" i="3"/>
  <c r="Y22" i="3"/>
  <c r="AC22" i="3"/>
  <c r="W22" i="3"/>
  <c r="U13" i="3"/>
  <c r="V22" i="3"/>
  <c r="W19" i="3"/>
  <c r="W32" i="3"/>
  <c r="U27" i="3"/>
  <c r="AA27" i="3" s="1"/>
  <c r="Z19" i="3"/>
  <c r="U19" i="3"/>
  <c r="U28" i="7" l="1"/>
  <c r="AA28" i="7" s="1"/>
  <c r="Y32" i="7"/>
  <c r="AD22" i="7"/>
  <c r="X22" i="7"/>
  <c r="AB22" i="7"/>
  <c r="AD19" i="7"/>
  <c r="X19" i="7"/>
  <c r="AB32" i="7"/>
  <c r="X19" i="5"/>
  <c r="AA28" i="5"/>
  <c r="AD22" i="5"/>
  <c r="X22" i="5"/>
  <c r="AB22" i="3"/>
  <c r="U28" i="3"/>
  <c r="AA28" i="3" s="1"/>
  <c r="Y32" i="3"/>
  <c r="AB32" i="3" s="1"/>
  <c r="AD19" i="3"/>
  <c r="X19" i="3"/>
  <c r="AB19" i="3"/>
  <c r="AD22" i="3"/>
  <c r="X22" i="3"/>
  <c r="Y27" i="2" l="1"/>
  <c r="U27" i="2"/>
  <c r="Y28" i="2"/>
  <c r="U28" i="2"/>
  <c r="V20" i="2"/>
  <c r="U20" i="2"/>
  <c r="AC19" i="2"/>
  <c r="AA19" i="2"/>
  <c r="Z19" i="2"/>
  <c r="Y19" i="2"/>
  <c r="W19" i="2"/>
  <c r="V19" i="2"/>
  <c r="AC22" i="2"/>
  <c r="AA22" i="2"/>
  <c r="Z22" i="2"/>
  <c r="Y22" i="2"/>
  <c r="W22" i="2"/>
  <c r="V22" i="2"/>
  <c r="U22" i="2"/>
  <c r="L2" i="2"/>
  <c r="L3" i="2"/>
  <c r="L4" i="2"/>
  <c r="L5" i="2"/>
  <c r="L6" i="2"/>
  <c r="L7" i="2"/>
  <c r="L8" i="2"/>
  <c r="L9" i="2"/>
  <c r="L10" i="2"/>
  <c r="O10" i="2" s="1"/>
  <c r="L11" i="2"/>
  <c r="O11" i="2" s="1"/>
  <c r="L12" i="2"/>
  <c r="O12" i="2" s="1"/>
  <c r="L13" i="2"/>
  <c r="O13" i="2" s="1"/>
  <c r="L14" i="2"/>
  <c r="O14" i="2" s="1"/>
  <c r="L15" i="2"/>
  <c r="O15" i="2" s="1"/>
  <c r="L16" i="2"/>
  <c r="O16" i="2" s="1"/>
  <c r="L17" i="2"/>
  <c r="O17" i="2" s="1"/>
  <c r="L18" i="2"/>
  <c r="O18" i="2" s="1"/>
  <c r="L20" i="2"/>
  <c r="O20" i="2" s="1"/>
  <c r="L21" i="2"/>
  <c r="O21" i="2" s="1"/>
  <c r="L22" i="2"/>
  <c r="L23" i="2"/>
  <c r="V23" i="2" s="1"/>
  <c r="L24" i="2"/>
  <c r="AC23" i="2" s="1"/>
  <c r="V1" i="2"/>
  <c r="W1" i="2"/>
  <c r="X1" i="2"/>
  <c r="Y1" i="2"/>
  <c r="Z1" i="2"/>
  <c r="AA1" i="2"/>
  <c r="V2" i="2"/>
  <c r="W2" i="2"/>
  <c r="X2" i="2"/>
  <c r="Y2" i="2"/>
  <c r="Z2" i="2"/>
  <c r="AA2" i="2"/>
  <c r="V3" i="2"/>
  <c r="W3" i="2"/>
  <c r="X3" i="2"/>
  <c r="Y3" i="2"/>
  <c r="Z3" i="2"/>
  <c r="AA3" i="2"/>
  <c r="V4" i="2"/>
  <c r="W4" i="2"/>
  <c r="X4" i="2"/>
  <c r="Y4" i="2"/>
  <c r="Z4" i="2"/>
  <c r="AA4" i="2"/>
  <c r="V5" i="2"/>
  <c r="W5" i="2"/>
  <c r="X5" i="2"/>
  <c r="Y5" i="2"/>
  <c r="Z5" i="2"/>
  <c r="AA5" i="2"/>
  <c r="V6" i="2"/>
  <c r="W6" i="2"/>
  <c r="X6" i="2"/>
  <c r="Y6" i="2"/>
  <c r="Z6" i="2"/>
  <c r="AA6" i="2"/>
  <c r="V7" i="2"/>
  <c r="W7" i="2"/>
  <c r="X7" i="2"/>
  <c r="Y7" i="2"/>
  <c r="Z7" i="2"/>
  <c r="AA7" i="2"/>
  <c r="T1" i="2"/>
  <c r="U1" i="2"/>
  <c r="T2" i="2"/>
  <c r="U2" i="2"/>
  <c r="T3" i="2"/>
  <c r="U3" i="2"/>
  <c r="T4" i="2"/>
  <c r="U4" i="2"/>
  <c r="T5" i="2"/>
  <c r="U5" i="2"/>
  <c r="T6" i="2"/>
  <c r="U6" i="2"/>
  <c r="T7" i="2"/>
  <c r="U7" i="2"/>
  <c r="Y23" i="2" l="1"/>
  <c r="V27" i="2"/>
  <c r="Z27" i="2" s="1"/>
  <c r="X32" i="2"/>
  <c r="V28" i="2"/>
  <c r="Z28" i="2" s="1"/>
  <c r="Z32" i="2"/>
  <c r="AC32" i="2" s="1"/>
  <c r="W23" i="2"/>
  <c r="AC20" i="2"/>
  <c r="AA20" i="2"/>
  <c r="W20" i="2"/>
  <c r="U23" i="2"/>
  <c r="U14" i="2"/>
  <c r="Z23" i="2"/>
  <c r="Y20" i="2"/>
  <c r="AA23" i="2"/>
  <c r="Z20" i="2"/>
  <c r="V14" i="2"/>
  <c r="AG3" i="2" a="1"/>
  <c r="AG3" i="2" s="1"/>
  <c r="AA27" i="2"/>
  <c r="V13" i="2" l="1"/>
  <c r="U13" i="2"/>
  <c r="AD22" i="2"/>
  <c r="AA28" i="2"/>
  <c r="X22" i="2"/>
  <c r="AB19" i="2" l="1"/>
  <c r="AB22" i="2"/>
  <c r="X19" i="2"/>
  <c r="AD19" i="2"/>
  <c r="L10" i="6" l="1"/>
  <c r="M18" i="6"/>
  <c r="L24" i="6"/>
  <c r="M24" i="6" s="1"/>
  <c r="L23" i="6"/>
  <c r="M23" i="6" s="1"/>
  <c r="L22" i="6"/>
  <c r="M22" i="6" s="1"/>
  <c r="L21" i="6"/>
  <c r="M21" i="6" s="1"/>
  <c r="L20" i="6"/>
  <c r="M20" i="6" s="1"/>
  <c r="L19" i="6"/>
  <c r="M19" i="6" s="1"/>
  <c r="L18" i="6"/>
  <c r="L17" i="6"/>
  <c r="M17" i="6" s="1"/>
  <c r="L16" i="6"/>
  <c r="M16" i="6" s="1"/>
  <c r="L15" i="6"/>
  <c r="M15" i="6" s="1"/>
  <c r="L14" i="6"/>
  <c r="M14" i="6" s="1"/>
  <c r="L13" i="6"/>
  <c r="M13" i="6" s="1"/>
  <c r="L12" i="6"/>
  <c r="M12" i="6" s="1"/>
  <c r="L11" i="6"/>
  <c r="M11" i="6" s="1"/>
  <c r="M10" i="6"/>
  <c r="L9" i="6"/>
  <c r="M9" i="6" s="1"/>
  <c r="L8" i="6"/>
  <c r="M8" i="6" s="1"/>
  <c r="L7" i="6"/>
  <c r="M7" i="6" s="1"/>
  <c r="L6" i="6"/>
  <c r="M6" i="6" s="1"/>
  <c r="L5" i="6"/>
  <c r="M5" i="6" s="1"/>
  <c r="L4" i="6"/>
  <c r="M4" i="6" s="1"/>
  <c r="L3" i="6"/>
  <c r="M3" i="6" s="1"/>
  <c r="L2" i="6"/>
  <c r="M2" i="6" s="1"/>
  <c r="L24" i="4"/>
  <c r="M24" i="4" s="1"/>
  <c r="L23" i="4"/>
  <c r="M23" i="4" s="1"/>
  <c r="L22" i="4"/>
  <c r="M22" i="4" s="1"/>
  <c r="L21" i="4"/>
  <c r="M21" i="4" s="1"/>
  <c r="L20" i="4"/>
  <c r="M20" i="4" s="1"/>
  <c r="L19" i="4"/>
  <c r="M19" i="4" s="1"/>
  <c r="L18" i="4"/>
  <c r="M18" i="4" s="1"/>
  <c r="L17" i="4"/>
  <c r="M17" i="4" s="1"/>
  <c r="L16" i="4"/>
  <c r="M16" i="4" s="1"/>
  <c r="L15" i="4"/>
  <c r="M15" i="4" s="1"/>
  <c r="L14" i="4"/>
  <c r="M14" i="4" s="1"/>
  <c r="L13" i="4"/>
  <c r="M13" i="4" s="1"/>
  <c r="L12" i="4"/>
  <c r="M12" i="4" s="1"/>
  <c r="L11" i="4"/>
  <c r="M11" i="4" s="1"/>
  <c r="L10" i="4"/>
  <c r="M10" i="4" s="1"/>
  <c r="L9" i="4"/>
  <c r="M9" i="4" s="1"/>
  <c r="L8" i="4"/>
  <c r="M8" i="4" s="1"/>
  <c r="L7" i="4"/>
  <c r="M7" i="4" s="1"/>
  <c r="L6" i="4"/>
  <c r="M6" i="4" s="1"/>
  <c r="L5" i="4"/>
  <c r="M5" i="4" s="1"/>
  <c r="L4" i="4"/>
  <c r="M4" i="4" s="1"/>
  <c r="L3" i="4"/>
  <c r="M3" i="4" s="1"/>
  <c r="L2" i="4"/>
  <c r="M2" i="4" s="1"/>
  <c r="L3" i="1"/>
  <c r="L4" i="1"/>
  <c r="L5" i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L24" i="1"/>
  <c r="L2" i="1"/>
  <c r="M2" i="1" s="1"/>
  <c r="M23" i="1"/>
  <c r="M24" i="1"/>
  <c r="M5" i="1"/>
  <c r="M4" i="1"/>
  <c r="M3" i="1"/>
  <c r="F8" i="8"/>
  <c r="E8" i="8"/>
  <c r="D8" i="8"/>
  <c r="C8" i="8"/>
  <c r="B8" i="8"/>
  <c r="F7" i="8"/>
  <c r="E7" i="8"/>
  <c r="D7" i="8"/>
  <c r="B7" i="8"/>
  <c r="C7" i="8" s="1"/>
  <c r="F6" i="8"/>
  <c r="E6" i="8"/>
  <c r="D6" i="8"/>
  <c r="B6" i="8"/>
  <c r="C6" i="8" s="1"/>
  <c r="F5" i="8"/>
  <c r="E5" i="8"/>
  <c r="D5" i="8"/>
  <c r="B5" i="8"/>
  <c r="C5" i="8" s="1"/>
  <c r="F4" i="8"/>
  <c r="E4" i="8"/>
  <c r="D4" i="8"/>
  <c r="C4" i="8"/>
  <c r="B4" i="8"/>
  <c r="F3" i="8"/>
  <c r="E3" i="8"/>
  <c r="D3" i="8"/>
  <c r="B3" i="8"/>
  <c r="C3" i="8" s="1"/>
  <c r="F2" i="8"/>
  <c r="E2" i="8"/>
  <c r="D2" i="8"/>
  <c r="B2" i="8"/>
  <c r="C2" i="8" s="1"/>
  <c r="AB20" i="2" l="1"/>
  <c r="X23" i="2" l="1"/>
  <c r="AD23" i="2"/>
  <c r="AD20" i="2"/>
  <c r="X20" i="2"/>
  <c r="AB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8" authorId="0" shapeId="0" xr:uid="{5DA903DF-19FB-4D65-A979-F3815DCF7CC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integration area</t>
        </r>
      </text>
    </comment>
    <comment ref="B11" authorId="0" shapeId="0" xr:uid="{8042B00C-406E-483D-A790-5D6FB29529F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integration area</t>
        </r>
      </text>
    </comment>
    <comment ref="U11" authorId="0" shapeId="0" xr:uid="{3B6B1A2F-7B69-43B2-80A3-AFE1B4E47F3C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5908C0D0-CF09-42F2-882A-6040DF8D363E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4" authorId="0" shapeId="0" xr:uid="{55EFDFAE-0802-43C1-937A-939241F12743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9" authorId="0" shapeId="0" xr:uid="{B06753AA-38D3-4F15-B6CF-671CF4D98B86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Fill in manually, beyond calibration range</t>
        </r>
      </text>
    </comment>
    <comment ref="B22" authorId="0" shapeId="0" xr:uid="{BFD6BFA9-B682-499A-95B3-9C7AC9BDBF4F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potential contamination from previous high sample</t>
        </r>
      </text>
    </comment>
    <comment ref="B23" authorId="0" shapeId="0" xr:uid="{2B153E25-06BC-4922-862D-27F4B7B53714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Overestimated peak integration area</t>
        </r>
      </text>
    </comment>
    <comment ref="B24" authorId="0" shapeId="0" xr:uid="{8F5167E0-42DF-46D0-993A-65C4C1D3137F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Overestimated peak integration area
</t>
        </r>
      </text>
    </comment>
    <comment ref="Z26" authorId="0" shapeId="0" xr:uid="{87B1567E-6C37-4FB7-A958-F1CA5A00320D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U28" authorId="0" shapeId="0" xr:uid="{577A53A5-EC22-4298-8AF8-F1978F7E29A6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  <comment ref="AB31" authorId="0" shapeId="0" xr:uid="{F32CC58E-574D-4557-BFF1-1702E3AB3394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 Calib/Measure Conc Calib Check * 100%</t>
        </r>
      </text>
    </comment>
    <comment ref="T32" authorId="0" shapeId="0" xr:uid="{BBA28799-470E-4E92-8D01-82D9F2DCDD17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Compare 20 Calib to mean of 20 Cal checks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4" authorId="0" shapeId="0" xr:uid="{AC623FAF-E561-4870-93DD-7C8CC5C24F76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Overestimated Peak Integration Area</t>
        </r>
      </text>
    </comment>
    <comment ref="B11" authorId="0" shapeId="0" xr:uid="{63958B7B-1974-488D-9A47-0C0B4422468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integration area</t>
        </r>
      </text>
    </comment>
    <comment ref="U11" authorId="0" shapeId="0" xr:uid="{0F4DAABF-6862-4A40-A039-7C4EC2F917C7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56601D35-8D38-4445-A577-8C926616A118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7" authorId="0" shapeId="0" xr:uid="{6BE90357-3D61-4B11-9317-D96BC2BC57C1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Nitrite influenced by previous Cl peak; overestimated</t>
        </r>
      </text>
    </comment>
    <comment ref="B19" authorId="0" shapeId="0" xr:uid="{C5DDF148-14F3-4E0F-9A40-DD24D96C5020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Nitrite peak hard to detect, use diluted 20 100 B - only Cl not in calibration range, use this Nitrite value instead since in range</t>
        </r>
      </text>
    </comment>
    <comment ref="B20" authorId="0" shapeId="0" xr:uid="{B8DAD940-8341-4B24-A075-3ABE218F6F3A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Nitrite influenced by previous Cl peak; overestimated</t>
        </r>
      </text>
    </comment>
    <comment ref="B22" authorId="0" shapeId="0" xr:uid="{B95AAD91-FF20-4B3B-8C14-C6BC3AAAD58D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potential contamination from previous high sample</t>
        </r>
      </text>
    </comment>
    <comment ref="B23" authorId="0" shapeId="0" xr:uid="{A5A22C7A-3D50-4181-979A-02475408B89F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Overestimated peak integration area</t>
        </r>
      </text>
    </comment>
    <comment ref="B24" authorId="0" shapeId="0" xr:uid="{29CBE776-DA05-4824-8511-3E55F6BCA873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Overestimated peak integration area
</t>
        </r>
      </text>
    </comment>
    <comment ref="Z26" authorId="0" shapeId="0" xr:uid="{8D629AB4-3737-4F21-B588-64BC1750778A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U28" authorId="0" shapeId="0" xr:uid="{24A9BA5E-6062-4CA6-A406-0783E4CB1E05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  <comment ref="AB31" authorId="0" shapeId="0" xr:uid="{BBC2174D-7A8C-4BAF-90BF-02D4D506F29E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 Calib/Measure Conc Calib Check * 100%</t>
        </r>
      </text>
    </comment>
    <comment ref="T32" authorId="0" shapeId="0" xr:uid="{3C9DFB55-C2E3-4ED8-8EF8-EEC669C4CBD5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Compare 20 Calib to mean of 20 Cal checks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B8" authorId="0" shapeId="0" xr:uid="{E45B225C-BB22-4BC6-9DDF-CEA9CEAAA1A9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integration area; potential contamination from cal 6
</t>
        </r>
      </text>
    </comment>
    <comment ref="B10" authorId="0" shapeId="0" xr:uid="{5BED60A6-59F1-4B36-89D2-3F7838D8FBB6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Potential peak at 5s but not detected by instrument</t>
        </r>
      </text>
    </comment>
    <comment ref="U11" authorId="0" shapeId="0" xr:uid="{2AAEAC7D-4771-4FA9-A139-D13B829F597F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6212741B-EC06-490B-81C1-E8FFEC2231FA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4" authorId="0" shapeId="0" xr:uid="{E851B555-5758-4CF2-892C-5A3C4366F0A5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Overestimated peak area</t>
        </r>
      </text>
    </comment>
    <comment ref="B19" authorId="0" shapeId="0" xr:uid="{A038E602-2FA4-4DE5-A62A-0958F6BC4E75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Nitrate peak hard to detect, use diluted 20 100 B - only Cl not in calibration range, use this Nitrate value instead since in range</t>
        </r>
      </text>
    </comment>
    <comment ref="B22" authorId="0" shapeId="0" xr:uid="{3CDBA0C4-C7CE-4492-95BE-7960111160F4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potential contamination from previous high sample</t>
        </r>
      </text>
    </comment>
    <comment ref="Z26" authorId="0" shapeId="0" xr:uid="{AFF7ED11-9FA4-4A76-992C-F43A27A84CE6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U28" authorId="0" shapeId="0" xr:uid="{1FCBAD7F-ABC0-4FCB-800D-2FA9C0F316F0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  <comment ref="AB31" authorId="0" shapeId="0" xr:uid="{FA8786DC-153D-4C21-A45E-75D07FB1B9BF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 Calib/Measure Conc Calib Check * 100%</t>
        </r>
      </text>
    </comment>
    <comment ref="T32" authorId="0" shapeId="0" xr:uid="{19DE2CC5-C0C6-4C5E-A285-F49D698FE1DC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Compare 20 Calib to mean of 20 Cal checks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KNOBLAUCH Alexandra</author>
  </authors>
  <commentList>
    <comment ref="U11" authorId="0" shapeId="0" xr:uid="{F20AFCFB-153D-4C99-8B72-7B8BEB507BCB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LOD = Mean of Blanks + 3*Std of Blanks
Exclude Pre calibration and calibration blanks</t>
        </r>
      </text>
    </comment>
    <comment ref="V11" authorId="0" shapeId="0" xr:uid="{6D783F0C-5D39-40AF-AAED-859B3E6B8B44}">
      <text>
        <r>
          <rPr>
            <b/>
            <sz val="9"/>
            <color indexed="81"/>
            <rFont val="Tahoma"/>
            <family val="2"/>
          </rPr>
          <t>KNOBLAUCH Alexandra:</t>
        </r>
        <r>
          <rPr>
            <sz val="9"/>
            <color indexed="81"/>
            <rFont val="Tahoma"/>
            <family val="2"/>
          </rPr>
          <t xml:space="preserve">
LOQ = Mean of Blanks + 10*Std of Blanks
Exclude Pre calibration and calibration blanks</t>
        </r>
      </text>
    </comment>
    <comment ref="B19" authorId="0" shapeId="0" xr:uid="{D4869FCC-5868-40E8-9381-D173BB0B5D07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Sulfate peak hard to detect, use diluted 20 100 B - only Cl not in calibration range, use this Sulphate value instead since in range</t>
        </r>
      </text>
    </comment>
    <comment ref="B21" authorId="0" shapeId="0" xr:uid="{C9199388-4FEF-4471-8922-7EF6B44C9360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Sulfate peak missing although visible in x5 sample</t>
        </r>
      </text>
    </comment>
    <comment ref="Z26" authorId="0" shapeId="0" xr:uid="{8E84848B-C1BB-46B1-914C-B97D37888DF3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Conc/Certificate Diluted Conc * 100%</t>
        </r>
      </text>
    </comment>
    <comment ref="U28" authorId="0" shapeId="0" xr:uid="{49D7C4E2-C981-46EB-8F57-8432C42F281B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Mean of Cal Checks
</t>
        </r>
      </text>
    </comment>
    <comment ref="AB31" authorId="0" shapeId="0" xr:uid="{72EE87EF-6C35-45F4-B862-A02C73ED7B2B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Measured Conc Calib/Measure Conc Calib Check * 100%</t>
        </r>
      </text>
    </comment>
    <comment ref="T32" authorId="0" shapeId="0" xr:uid="{464080CE-2714-49A0-8A4E-E5DB242C06DB}">
      <text>
        <r>
          <rPr>
            <b/>
            <sz val="9"/>
            <color indexed="81"/>
            <rFont val="Tahoma"/>
            <charset val="1"/>
          </rPr>
          <t>KNOBLAUCH Alexandra:</t>
        </r>
        <r>
          <rPr>
            <sz val="9"/>
            <color indexed="81"/>
            <rFont val="Tahoma"/>
            <charset val="1"/>
          </rPr>
          <t xml:space="preserve">
Compare 20 Calib to mean of 20 Cal checks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<sst xmlns="http://schemas.openxmlformats.org/spreadsheetml/2006/main" count="1097" uniqueCount="162">
  <si>
    <t>x100</t>
  </si>
  <si>
    <t>x50</t>
  </si>
  <si>
    <t>x20</t>
  </si>
  <si>
    <t>x10</t>
  </si>
  <si>
    <t>x5</t>
  </si>
  <si>
    <t>x0</t>
  </si>
  <si>
    <t>Fluoride</t>
  </si>
  <si>
    <t>Chloride</t>
  </si>
  <si>
    <t>Nitrite</t>
  </si>
  <si>
    <t>Bromide</t>
  </si>
  <si>
    <t>Nitrate</t>
  </si>
  <si>
    <t>Phosphate</t>
  </si>
  <si>
    <t>Sulfate</t>
  </si>
  <si>
    <t>sample_no</t>
  </si>
  <si>
    <t>sample_id</t>
  </si>
  <si>
    <t>X</t>
  </si>
  <si>
    <t>Y</t>
  </si>
  <si>
    <t>B_T</t>
  </si>
  <si>
    <t>IC_date</t>
  </si>
  <si>
    <t>V_sample_ml</t>
  </si>
  <si>
    <t>dilution_factor</t>
  </si>
  <si>
    <t>ret_time_min</t>
  </si>
  <si>
    <t>peak_area_usmin</t>
  </si>
  <si>
    <t>c_F_ calib_ppm</t>
  </si>
  <si>
    <t>c_F_sample_ppm</t>
  </si>
  <si>
    <t>c_F_og_ppm</t>
  </si>
  <si>
    <t>IC_notes</t>
  </si>
  <si>
    <t>Cal 1</t>
  </si>
  <si>
    <t>Blank</t>
  </si>
  <si>
    <t>23.11.2023</t>
  </si>
  <si>
    <t>n.a.</t>
  </si>
  <si>
    <t>DI Water</t>
  </si>
  <si>
    <t>Cal 2</t>
  </si>
  <si>
    <t>x 100</t>
  </si>
  <si>
    <t>0.1 mL in 10</t>
  </si>
  <si>
    <t>Cal 3</t>
  </si>
  <si>
    <t>x 50</t>
  </si>
  <si>
    <t>0.2 mL in 10</t>
  </si>
  <si>
    <t>Cal 4</t>
  </si>
  <si>
    <t>x 20</t>
  </si>
  <si>
    <t>0.5 mL in 10</t>
  </si>
  <si>
    <t>Cal 5</t>
  </si>
  <si>
    <t>x 10</t>
  </si>
  <si>
    <t>0.5 mL in 5</t>
  </si>
  <si>
    <t>Cal 6</t>
  </si>
  <si>
    <t>x 5</t>
  </si>
  <si>
    <t>1 mL in 5</t>
  </si>
  <si>
    <t xml:space="preserve">Blank </t>
  </si>
  <si>
    <t>Cal Check</t>
  </si>
  <si>
    <t>x20 dil</t>
  </si>
  <si>
    <t>20 10 T</t>
  </si>
  <si>
    <t>T</t>
  </si>
  <si>
    <t>20 10 Top</t>
  </si>
  <si>
    <t>20 40 T</t>
  </si>
  <si>
    <t>20 40 Top</t>
  </si>
  <si>
    <t>20 50 T</t>
  </si>
  <si>
    <t>20 50 Top</t>
  </si>
  <si>
    <t>20 60 T</t>
  </si>
  <si>
    <t>20 60 Top</t>
  </si>
  <si>
    <t>20 70 T</t>
  </si>
  <si>
    <t>20 70 Top</t>
  </si>
  <si>
    <t>20 80 T</t>
  </si>
  <si>
    <t>20 80 Top</t>
  </si>
  <si>
    <t>20 100 T</t>
  </si>
  <si>
    <t>20 100 Top</t>
  </si>
  <si>
    <t>20 30 B</t>
  </si>
  <si>
    <t>B</t>
  </si>
  <si>
    <t>20 30 Bottom</t>
  </si>
  <si>
    <t>20 90 B</t>
  </si>
  <si>
    <t>20 90 Bottom</t>
  </si>
  <si>
    <t>20 100 B</t>
  </si>
  <si>
    <t>20 100 Bottom</t>
  </si>
  <si>
    <t>10 90 T</t>
  </si>
  <si>
    <t>10 90 Top diluted</t>
  </si>
  <si>
    <t>20 100 Bottom diluted</t>
  </si>
  <si>
    <t>Slope</t>
  </si>
  <si>
    <t>y-axis</t>
  </si>
  <si>
    <t>c_Cl_ calib_ppm</t>
  </si>
  <si>
    <t>c_Br_ calib_ppm</t>
  </si>
  <si>
    <t>c_Br_sample_ppm</t>
  </si>
  <si>
    <t>c_Br_og_ppm</t>
  </si>
  <si>
    <t>c_PO4_ calib_ppm</t>
  </si>
  <si>
    <t>c_PO4_sample_ppm</t>
  </si>
  <si>
    <t>c_PO4_og_ppm</t>
  </si>
  <si>
    <t>c_Cl_calc_ppm</t>
  </si>
  <si>
    <t>c_Cl_calc_undil_ppm</t>
  </si>
  <si>
    <t>Calibration</t>
  </si>
  <si>
    <t>m</t>
  </si>
  <si>
    <t>c</t>
  </si>
  <si>
    <t xml:space="preserve">m </t>
  </si>
  <si>
    <t>intercept</t>
  </si>
  <si>
    <t>Std error of X</t>
  </si>
  <si>
    <t>Std error of intercept</t>
  </si>
  <si>
    <t>R^2</t>
  </si>
  <si>
    <t>Std error of Y estimate</t>
  </si>
  <si>
    <t>F-statistic</t>
  </si>
  <si>
    <t>Degrees of freedom</t>
  </si>
  <si>
    <t>Regression Sum of Squares</t>
  </si>
  <si>
    <t>Residual sum of Squares</t>
  </si>
  <si>
    <t>LOD &amp; LOQ</t>
  </si>
  <si>
    <t>LOD</t>
  </si>
  <si>
    <t>LOQ</t>
  </si>
  <si>
    <t>Quality Stats</t>
  </si>
  <si>
    <t>Mean</t>
  </si>
  <si>
    <t>Median</t>
  </si>
  <si>
    <t>Stdev</t>
  </si>
  <si>
    <t>RelStdev</t>
  </si>
  <si>
    <t>Var</t>
  </si>
  <si>
    <t>Max</t>
  </si>
  <si>
    <t>Min</t>
  </si>
  <si>
    <t>Range</t>
  </si>
  <si>
    <t>Number</t>
  </si>
  <si>
    <t>Std Error</t>
  </si>
  <si>
    <t>Calc Conc Cal Checks</t>
  </si>
  <si>
    <t>Measure Conc Cal Checks</t>
  </si>
  <si>
    <t>Calc Conc Blanks</t>
  </si>
  <si>
    <t>Measure Conc Blanks</t>
  </si>
  <si>
    <t>Calc Conc</t>
  </si>
  <si>
    <t>Measure Conc</t>
  </si>
  <si>
    <t>Certificate</t>
  </si>
  <si>
    <t>Certificate Uncertainty</t>
  </si>
  <si>
    <t>Certificate Diluted</t>
  </si>
  <si>
    <t>% Accuracy Measure</t>
  </si>
  <si>
    <t>% Accuracy Calc</t>
  </si>
  <si>
    <t>Linear Model of Cl Calibration</t>
  </si>
  <si>
    <t>c_Cl_measure_ppm</t>
  </si>
  <si>
    <t>c_Cl_measure_undil_ppm</t>
  </si>
  <si>
    <t>Calc Conc ppm</t>
  </si>
  <si>
    <t>Measure conc ppm</t>
  </si>
  <si>
    <t>20 Cal Check (Dionex Seven Anion Standard II LOT 43-23AJ)x20</t>
  </si>
  <si>
    <t>Internal accuracy</t>
  </si>
  <si>
    <t>Peak Area Cal Checks</t>
  </si>
  <si>
    <t>Peak Area Blanks</t>
  </si>
  <si>
    <t>Peak Area</t>
  </si>
  <si>
    <t>Peak Area 20 Calib</t>
  </si>
  <si>
    <t>Peak Area 20 Cal Checks</t>
  </si>
  <si>
    <t>Calc Conc 20 Calib</t>
  </si>
  <si>
    <t>Measure Conc 20 Calib</t>
  </si>
  <si>
    <t>Calc Conc 20 Cal Checks</t>
  </si>
  <si>
    <t>Measure Conc 20 Cal Checks</t>
  </si>
  <si>
    <t>% Accuracy Peak</t>
  </si>
  <si>
    <t>Retention time</t>
  </si>
  <si>
    <t>Linear Model of Nitrite Calibration</t>
  </si>
  <si>
    <t>c_Nitrite_ calib_ppm</t>
  </si>
  <si>
    <t>c_Nitrite_calc_ppm</t>
  </si>
  <si>
    <t>c_Nitrite_measure_ppm</t>
  </si>
  <si>
    <t>c_Nitrite_calc_undil_ppm</t>
  </si>
  <si>
    <t>c_Nitrite_measure_undil_ppm</t>
  </si>
  <si>
    <t>NA</t>
  </si>
  <si>
    <t>c_Nitrate_ calib_ppm</t>
  </si>
  <si>
    <t>c_Nitrate_calc_ppm</t>
  </si>
  <si>
    <t>c_Nitrate_measure_ppm</t>
  </si>
  <si>
    <t>c_Nitrate_calc_undil_ppm</t>
  </si>
  <si>
    <t>c_Nitrate_measure_undil_ppm</t>
  </si>
  <si>
    <t>Linear Model of Nitrate Calibration</t>
  </si>
  <si>
    <t>c_Sulfate_ calib_ppm</t>
  </si>
  <si>
    <t>c_Sulfate_calc_ppm</t>
  </si>
  <si>
    <t>c_Sulfate_measure_ppm</t>
  </si>
  <si>
    <t>c_Sulfate_calc_undil_ppm</t>
  </si>
  <si>
    <t>c_Sulfate_measure_undil_ppm</t>
  </si>
  <si>
    <t>Linear Model of Sulfate Calibration</t>
  </si>
  <si>
    <t>20 Cal Std (Dionex Seven Anion Standard II LOT 18-29JKS)x20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</si>
</sst>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F400]h:mm:ss\ AM/PM"/>
    <numFmt numFmtId="165" formatCode="0.00000"/>
    <numFmt numFmtId="166" formatCode="0.0000"/>
    <numFmt numFmtId="167" formatCode="0.000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164" fontId="4" fillId="4" borderId="1" xfId="0" applyNumberFormat="1" applyFont="1" applyFill="1" applyBorder="1"/>
    <xf numFmtId="0" fontId="4" fillId="4" borderId="1" xfId="0" applyFont="1" applyFill="1" applyBorder="1"/>
    <xf numFmtId="165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2" fontId="0" fillId="0" borderId="0" xfId="0" applyNumberFormat="1"/>
    <xf numFmtId="0" fontId="4" fillId="0" borderId="1" xfId="0" applyFont="1" applyBorder="1"/>
    <xf numFmtId="0" fontId="5" fillId="2" borderId="1" xfId="1" applyFont="1" applyBorder="1"/>
    <xf numFmtId="0" fontId="6" fillId="3" borderId="1" xfId="2" applyFont="1" applyBorder="1"/>
    <xf numFmtId="164" fontId="4" fillId="5" borderId="1" xfId="0" applyNumberFormat="1" applyFont="1" applyFill="1" applyBorder="1"/>
    <xf numFmtId="164" fontId="0" fillId="0" borderId="0" xfId="0" applyNumberFormat="1"/>
    <xf numFmtId="1" fontId="0" fillId="0" borderId="1" xfId="0" applyNumberFormat="1" applyBorder="1"/>
    <xf numFmtId="166" fontId="0" fillId="0" borderId="0" xfId="0" applyNumberFormat="1"/>
    <xf numFmtId="166" fontId="4" fillId="4" borderId="1" xfId="0" applyNumberFormat="1" applyFont="1" applyFill="1" applyBorder="1"/>
    <xf numFmtId="164" fontId="4" fillId="5" borderId="1" xfId="0" applyNumberFormat="1" applyFont="1" applyFill="1" applyBorder="1" applyAlignment="1">
      <alignment wrapText="1"/>
    </xf>
    <xf numFmtId="166" fontId="4" fillId="5" borderId="1" xfId="0" applyNumberFormat="1" applyFont="1" applyFill="1" applyBorder="1"/>
    <xf numFmtId="0" fontId="0" fillId="0" borderId="1" xfId="0" applyNumberFormat="1" applyBorder="1"/>
    <xf numFmtId="164" fontId="0" fillId="0" borderId="1" xfId="0" applyNumberFormat="1" applyFont="1" applyFill="1" applyBorder="1"/>
    <xf numFmtId="0" fontId="0" fillId="0" borderId="1" xfId="0" applyFont="1" applyFill="1" applyBorder="1"/>
    <xf numFmtId="0" fontId="0" fillId="0" borderId="1" xfId="0" applyNumberFormat="1" applyFont="1" applyFill="1" applyBorder="1"/>
    <xf numFmtId="166" fontId="0" fillId="0" borderId="1" xfId="0" applyNumberFormat="1" applyFont="1" applyFill="1" applyBorder="1"/>
    <xf numFmtId="167" fontId="0" fillId="0" borderId="1" xfId="0" applyNumberFormat="1" applyBorder="1"/>
    <xf numFmtId="0" fontId="0" fillId="6" borderId="1" xfId="0" applyFill="1" applyBorder="1"/>
    <xf numFmtId="167" fontId="0" fillId="6" borderId="1" xfId="0" applyNumberFormat="1" applyFill="1" applyBorder="1"/>
    <xf numFmtId="166" fontId="0" fillId="6" borderId="1" xfId="0" applyNumberFormat="1" applyFill="1" applyBorder="1"/>
    <xf numFmtId="0" fontId="0" fillId="0" borderId="1" xfId="0" applyFill="1" applyBorder="1"/>
    <xf numFmtId="167" fontId="0" fillId="0" borderId="1" xfId="0" applyNumberFormat="1" applyFill="1" applyBorder="1"/>
    <xf numFmtId="166" fontId="0" fillId="0" borderId="1" xfId="0" applyNumberFormat="1" applyFill="1" applyBorder="1"/>
  </cellXfs>
  <cellStyles count="3">
    <cellStyle name="Bad" xfId="1" builtinId="27"/>
    <cellStyle name="Neutral" xfId="2" builtinId="28"/>
    <cellStyle name="Normal" xfId="0" builtinId="0"/>
  </cellStyles>
  <dxfs count="3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4E2EE3E-0D9F-4D3A-BEED-D8FFF93EE61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 calib 231123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 calib 101123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717694663167104"/>
                  <c:y val="-3.249489647127442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IC_231123_F!$K$2:$K$7</c:f>
              <c:numCache>
                <c:formatCode>General</c:formatCode>
                <c:ptCount val="6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1</c:v>
                </c:pt>
                <c:pt idx="4">
                  <c:v>2</c:v>
                </c:pt>
                <c:pt idx="5">
                  <c:v>4</c:v>
                </c:pt>
              </c:numCache>
            </c:numRef>
          </c:xVal>
          <c:yVal>
            <c:numRef>
              <c:f>IC_231123_F!$J$2:$J$3</c:f>
              <c:numCache>
                <c:formatCode>General</c:formatCode>
                <c:ptCount val="2"/>
                <c:pt idx="0">
                  <c:v>0</c:v>
                </c:pt>
                <c:pt idx="1">
                  <c:v>4.99E-2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C6-48A1-B128-47A62B63C3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Cl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IC_231123_Cl!$AG$1</c:f>
              <c:strCache>
                <c:ptCount val="1"/>
                <c:pt idx="0">
                  <c:v>Linear Model of Cl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IC_231123_Cl!$AA$2:$AA$7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IC_231123_Cl!$Z$2:$Z$7</c:f>
              <c:numCache>
                <c:formatCode>0.0000</c:formatCode>
                <c:ptCount val="6"/>
                <c:pt idx="0">
                  <c:v>0.1386</c:v>
                </c:pt>
                <c:pt idx="1">
                  <c:v>0.16639999999999999</c:v>
                </c:pt>
                <c:pt idx="2">
                  <c:v>0.46400000000000002</c:v>
                </c:pt>
                <c:pt idx="3">
                  <c:v>0.94720000000000004</c:v>
                </c:pt>
                <c:pt idx="4">
                  <c:v>1.8333999999999999</c:v>
                </c:pt>
                <c:pt idx="5">
                  <c:v>4.0887000000000002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00-4BA0-8830-DD6D6D158BD5}"/>
            </c:ext>
          </c:extLst>
        </c:ser>
        <c:ser>
          <c:idx val="1"/>
          <c:order val="1"/>
          <c:tx>
            <c:strRef>
              <c:f>IC_231123_Cl!$L$1</c:f>
              <c:strCache>
                <c:ptCount val="1"/>
                <c:pt idx="0">
                  <c:v>c_Cl_measure_ppm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IC_231123_Cl!$L$2:$L$7</c:f>
              <c:numCache>
                <c:formatCode>0.0000</c:formatCode>
                <c:ptCount val="6"/>
                <c:pt idx="0">
                  <c:v>0.54600000000000004</c:v>
                </c:pt>
                <c:pt idx="1">
                  <c:v>0.6865</c:v>
                </c:pt>
                <c:pt idx="2">
                  <c:v>2.1907000000000001</c:v>
                </c:pt>
                <c:pt idx="3">
                  <c:v>4.6337999999999999</c:v>
                </c:pt>
                <c:pt idx="4">
                  <c:v>9.1140000000000008</c:v>
                </c:pt>
                <c:pt idx="5">
                  <c:v>20.515499999999999</c:v>
                </c:pt>
              </c:numCache>
            </c:numRef>
          </c:xVal>
          <c:yVal>
            <c:numRef>
              <c:f>IC_231123_Cl!$I$2:$I$7</c:f>
              <c:numCache>
                <c:formatCode>0.0000</c:formatCode>
                <c:ptCount val="6"/>
                <c:pt idx="0">
                  <c:v>0.1386</c:v>
                </c:pt>
                <c:pt idx="1">
                  <c:v>0.16639999999999999</c:v>
                </c:pt>
                <c:pt idx="2">
                  <c:v>0.46400000000000002</c:v>
                </c:pt>
                <c:pt idx="3">
                  <c:v>0.94720000000000004</c:v>
                </c:pt>
                <c:pt idx="4">
                  <c:v>1.8333999999999999</c:v>
                </c:pt>
                <c:pt idx="5">
                  <c:v>4.0887000000000002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00-4BA0-8830-DD6D6D158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Nitrite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IC_231123_Nitrite!$AG$1</c:f>
              <c:strCache>
                <c:ptCount val="1"/>
                <c:pt idx="0">
                  <c:v>Linear Model of Nitrite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IC_231123_Nitrite!$AA$2:$AA$7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IC_231123_Nitrite!$Z$2:$Z$7</c:f>
              <c:numCache>
                <c:formatCode>0.0000</c:formatCode>
                <c:ptCount val="6"/>
                <c:pt idx="0">
                  <c:v>0</c:v>
                </c:pt>
                <c:pt idx="1">
                  <c:v>6.5000000000000002E-2</c:v>
                </c:pt>
                <c:pt idx="2">
                  <c:v>0.1585</c:v>
                </c:pt>
                <c:pt idx="3">
                  <c:v>0.43430000000000002</c:v>
                </c:pt>
                <c:pt idx="4">
                  <c:v>1.0487</c:v>
                </c:pt>
                <c:pt idx="5">
                  <c:v>2.2073999999999998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42-4D40-BB5F-DBA3AA91581E}"/>
            </c:ext>
          </c:extLst>
        </c:ser>
        <c:ser>
          <c:idx val="1"/>
          <c:order val="1"/>
          <c:tx>
            <c:strRef>
              <c:f>IC_231123_Nitrite!$L$1</c:f>
              <c:strCache>
                <c:ptCount val="1"/>
                <c:pt idx="0">
                  <c:v>c_Nitrite_measure_ppm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72197831292895"/>
                  <c:y val="-4.7119498582973207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IC_231123_Nitrite!$L$2:$L$7</c:f>
              <c:numCache>
                <c:formatCode>0.0000</c:formatCode>
                <c:ptCount val="6"/>
                <c:pt idx="0">
                  <c:v>0</c:v>
                </c:pt>
                <c:pt idx="1">
                  <c:v>1.2915000000000001</c:v>
                </c:pt>
                <c:pt idx="2">
                  <c:v>2.1131000000000002</c:v>
                </c:pt>
                <c:pt idx="3">
                  <c:v>4.5369000000000002</c:v>
                </c:pt>
                <c:pt idx="4">
                  <c:v>9.9372000000000007</c:v>
                </c:pt>
                <c:pt idx="5">
                  <c:v>20.121300000000002</c:v>
                </c:pt>
              </c:numCache>
            </c:numRef>
          </c:xVal>
          <c:yVal>
            <c:numRef>
              <c:f>IC_231123_Nitrite!$I$2:$I$7</c:f>
              <c:numCache>
                <c:formatCode>0.0000</c:formatCode>
                <c:ptCount val="6"/>
                <c:pt idx="0">
                  <c:v>0</c:v>
                </c:pt>
                <c:pt idx="1">
                  <c:v>6.5000000000000002E-2</c:v>
                </c:pt>
                <c:pt idx="2">
                  <c:v>0.1585</c:v>
                </c:pt>
                <c:pt idx="3">
                  <c:v>0.43430000000000002</c:v>
                </c:pt>
                <c:pt idx="4">
                  <c:v>1.0487</c:v>
                </c:pt>
                <c:pt idx="5">
                  <c:v>2.2073999999999998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242-4D40-BB5F-DBA3AA915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 calib 231123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Br calib 101123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093263342082239"/>
                  <c:y val="-4.16703120443277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IC_231123_Br!$K$2:$K$7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IC_231123_Br!$J$2:$J$7</c:f>
              <c:numCache>
                <c:formatCode>General</c:formatCode>
                <c:ptCount val="6"/>
                <c:pt idx="0">
                  <c:v>0</c:v>
                </c:pt>
                <c:pt idx="1">
                  <c:v>5.9499999999999997E-2</c:v>
                </c:pt>
                <c:pt idx="2">
                  <c:v>0.16769999999999999</c:v>
                </c:pt>
                <c:pt idx="3">
                  <c:v>0.36969999999999997</c:v>
                </c:pt>
                <c:pt idx="4">
                  <c:v>0.76300000000000001</c:v>
                </c:pt>
                <c:pt idx="5">
                  <c:v>1.5751999999999999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234-4D70-AE2E-03F87B8CB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Nitrate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IC_231123_Nitrate!$AG$1</c:f>
              <c:strCache>
                <c:ptCount val="1"/>
                <c:pt idx="0">
                  <c:v>Linear Model of Nitrate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IC_231123_Nitrate!$AA$2:$AA$7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IC_231123_Nitrate!$Z$2:$Z$7</c:f>
              <c:numCache>
                <c:formatCode>0.0000</c:formatCode>
                <c:ptCount val="6"/>
                <c:pt idx="0">
                  <c:v>0</c:v>
                </c:pt>
                <c:pt idx="1">
                  <c:v>0.19769999999999999</c:v>
                </c:pt>
                <c:pt idx="2">
                  <c:v>0.24929999999999999</c:v>
                </c:pt>
                <c:pt idx="3">
                  <c:v>0.57310000000000005</c:v>
                </c:pt>
                <c:pt idx="4">
                  <c:v>1.1913</c:v>
                </c:pt>
                <c:pt idx="5">
                  <c:v>2.2921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17-4996-B5D0-DD0DC3748128}"/>
            </c:ext>
          </c:extLst>
        </c:ser>
        <c:ser>
          <c:idx val="1"/>
          <c:order val="1"/>
          <c:tx>
            <c:strRef>
              <c:f>IC_231123_Nitrate!$L$1</c:f>
              <c:strCache>
                <c:ptCount val="1"/>
                <c:pt idx="0">
                  <c:v>c_Nitrate_measure_ppm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IC_231123_Nitrate!$L$2:$L$7</c:f>
              <c:numCache>
                <c:formatCode>0.0000</c:formatCode>
                <c:ptCount val="6"/>
                <c:pt idx="0">
                  <c:v>0</c:v>
                </c:pt>
                <c:pt idx="1">
                  <c:v>1.5421</c:v>
                </c:pt>
                <c:pt idx="2">
                  <c:v>1.9944</c:v>
                </c:pt>
                <c:pt idx="3">
                  <c:v>4.835</c:v>
                </c:pt>
                <c:pt idx="4">
                  <c:v>10.257400000000001</c:v>
                </c:pt>
                <c:pt idx="5">
                  <c:v>19.9131</c:v>
                </c:pt>
              </c:numCache>
            </c:numRef>
          </c:xVal>
          <c:yVal>
            <c:numRef>
              <c:f>IC_231123_Nitrate!$I$2:$I$7</c:f>
              <c:numCache>
                <c:formatCode>0.0000</c:formatCode>
                <c:ptCount val="6"/>
                <c:pt idx="0">
                  <c:v>0</c:v>
                </c:pt>
                <c:pt idx="1">
                  <c:v>0.19769999999999999</c:v>
                </c:pt>
                <c:pt idx="2">
                  <c:v>0.24929999999999999</c:v>
                </c:pt>
                <c:pt idx="3">
                  <c:v>0.57310000000000005</c:v>
                </c:pt>
                <c:pt idx="4">
                  <c:v>1.1913</c:v>
                </c:pt>
                <c:pt idx="5">
                  <c:v>2.2921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A17-4996-B5D0-DD0DC374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Phosphate calib 231123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Phosphate calib 101123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093263342082239"/>
                  <c:y val="-4.16703120443277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IC_231123_PO4!$K$2:$K$7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40</c:v>
                </c:pt>
              </c:numCache>
            </c:numRef>
          </c:xVal>
          <c:yVal>
            <c:numRef>
              <c:f>IC_231123_PO4!$J$2:$J$7</c:f>
              <c:numCache>
                <c:formatCode>General</c:formatCode>
                <c:ptCount val="6"/>
                <c:pt idx="0">
                  <c:v>0</c:v>
                </c:pt>
                <c:pt idx="1">
                  <c:v>5.9299999999999999E-2</c:v>
                </c:pt>
                <c:pt idx="2">
                  <c:v>0.15690000000000001</c:v>
                </c:pt>
                <c:pt idx="3">
                  <c:v>0.38469999999999999</c:v>
                </c:pt>
                <c:pt idx="4">
                  <c:v>0.8367</c:v>
                </c:pt>
                <c:pt idx="5">
                  <c:v>1.7988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2F-4FEE-8807-B9EFF79405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(μS*min)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Sulfate calibration calc &amp; measure 23.11.2023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IC_231123_SO4!$AG$1</c:f>
              <c:strCache>
                <c:ptCount val="1"/>
                <c:pt idx="0">
                  <c:v>Linear Model of Sulfate Calibration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0198263290165722E-2"/>
                  <c:y val="0.3405266519441446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2700" cap="rnd">
                <a:solidFill>
                  <a:srgbClr val="4472C4">
                    <a:lumMod val="60000"/>
                    <a:lumOff val="40000"/>
                  </a:srgb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IC_231123_SO4!$AA$2:$AA$7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</c:numCache>
            </c:numRef>
          </c:xVal>
          <c:yVal>
            <c:numRef>
              <c:f>IC_231123_SO4!$Z$2:$Z$7</c:f>
              <c:numCache>
                <c:formatCode>0.0000</c:formatCode>
                <c:ptCount val="6"/>
                <c:pt idx="0">
                  <c:v>0</c:v>
                </c:pt>
                <c:pt idx="1">
                  <c:v>0.11219999999999999</c:v>
                </c:pt>
                <c:pt idx="2">
                  <c:v>0.27379999999999999</c:v>
                </c:pt>
                <c:pt idx="3">
                  <c:v>0.64039999999999997</c:v>
                </c:pt>
                <c:pt idx="4">
                  <c:v>1.3494999999999999</c:v>
                </c:pt>
                <c:pt idx="5">
                  <c:v>2.7833000000000001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AB-4FE9-9D74-DAEF35431E5B}"/>
            </c:ext>
          </c:extLst>
        </c:ser>
        <c:ser>
          <c:idx val="1"/>
          <c:order val="1"/>
          <c:tx>
            <c:strRef>
              <c:f>IC_231123_SO4!$L$1</c:f>
              <c:strCache>
                <c:ptCount val="1"/>
                <c:pt idx="0">
                  <c:v>c_Sulfate_measure_ppm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671484572666223E-2"/>
                  <c:y val="6.4260654790704044E-2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2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IC_231123_SO4!$L$2:$L$7</c:f>
              <c:numCache>
                <c:formatCode>0.0000</c:formatCode>
                <c:ptCount val="6"/>
                <c:pt idx="0">
                  <c:v>0</c:v>
                </c:pt>
                <c:pt idx="1">
                  <c:v>1.04</c:v>
                </c:pt>
                <c:pt idx="2">
                  <c:v>2.1928000000000001</c:v>
                </c:pt>
                <c:pt idx="3">
                  <c:v>4.8075000000000001</c:v>
                </c:pt>
                <c:pt idx="4">
                  <c:v>9.8657000000000004</c:v>
                </c:pt>
                <c:pt idx="5">
                  <c:v>20.094000000000001</c:v>
                </c:pt>
              </c:numCache>
            </c:numRef>
          </c:xVal>
          <c:yVal>
            <c:numRef>
              <c:f>IC_231123_SO4!$I$2:$I$7</c:f>
              <c:numCache>
                <c:formatCode>0.0000</c:formatCode>
                <c:ptCount val="6"/>
                <c:pt idx="0">
                  <c:v>0</c:v>
                </c:pt>
                <c:pt idx="1">
                  <c:v>0.11219999999999999</c:v>
                </c:pt>
                <c:pt idx="2">
                  <c:v>0.27379999999999999</c:v>
                </c:pt>
                <c:pt idx="3">
                  <c:v>0.64039999999999997</c:v>
                </c:pt>
                <c:pt idx="4">
                  <c:v>1.3494999999999999</c:v>
                </c:pt>
                <c:pt idx="5">
                  <c:v>2.7833000000000001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EAB-4FE9-9D74-DAEF35431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313216"/>
        <c:axId val="300313632"/>
      </c:scatterChart>
      <c:valAx>
        <c:axId val="300313216"/>
        <c:scaling>
          <c:orientation val="minMax"/>
          <c:max val="22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Concentration (ppm)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632"/>
        <c:crosses val="autoZero"/>
        <c:crossBetween val="midCat"/>
      </c:valAx>
      <c:valAx>
        <c:axId val="300313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Peak Area (μS 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cross"/>
        <c:minorTickMark val="cross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13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2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28</xdr:row>
      <xdr:rowOff>0</xdr:rowOff>
    </xdr:from>
    <xdr:to>
      <xdr:col>11</xdr:col>
      <xdr:colOff>304800</xdr:colOff>
      <xdr:row>42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BE8E95-0C83-4BE2-9120-99876B5F98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1ECD3EF-B9E9-46B0-9776-86C6B53E3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CA01AA-2B97-493C-A63F-27C2A76D9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25</xdr:row>
      <xdr:rowOff>0</xdr:rowOff>
    </xdr:from>
    <xdr:to>
      <xdr:col>12</xdr:col>
      <xdr:colOff>304800</xdr:colOff>
      <xdr:row>39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014E2D-AA05-411D-BF24-5EE60D341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2159D1-F2A8-413F-8094-52FB54F95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27</xdr:row>
      <xdr:rowOff>0</xdr:rowOff>
    </xdr:from>
    <xdr:to>
      <xdr:col>12</xdr:col>
      <xdr:colOff>304800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6CB82A-C660-4131-B636-61BE983DFC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10</xdr:row>
      <xdr:rowOff>0</xdr:rowOff>
    </xdr:from>
    <xdr:to>
      <xdr:col>41</xdr:col>
      <xdr:colOff>334610</xdr:colOff>
      <xdr:row>50</xdr:row>
      <xdr:rowOff>180294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375B8-DC79-4CF4-BAC2-707D2FB6F9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K_2311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uoride"/>
      <sheetName val="Chloride"/>
      <sheetName val="Nitrite"/>
      <sheetName val="Bromide"/>
      <sheetName val="Nitrate"/>
      <sheetName val="Phosphate"/>
      <sheetName val="Sulphate"/>
    </sheetNames>
    <sheetDataSet>
      <sheetData sheetId="0"/>
      <sheetData sheetId="1"/>
      <sheetData sheetId="2">
        <row r="5">
          <cell r="F5">
            <v>0.54600000000000004</v>
          </cell>
        </row>
        <row r="6">
          <cell r="F6">
            <v>0.6865</v>
          </cell>
        </row>
        <row r="7">
          <cell r="F7">
            <v>2.1907000000000001</v>
          </cell>
        </row>
        <row r="8">
          <cell r="F8">
            <v>4.6337999999999999</v>
          </cell>
        </row>
        <row r="9">
          <cell r="F9">
            <v>9.1140000000000008</v>
          </cell>
        </row>
        <row r="10">
          <cell r="F10">
            <v>20.515499999999999</v>
          </cell>
        </row>
        <row r="11">
          <cell r="F11">
            <v>1.7551000000000001</v>
          </cell>
        </row>
        <row r="12">
          <cell r="F12">
            <v>6.4010999999999996</v>
          </cell>
        </row>
        <row r="13">
          <cell r="F13">
            <v>0.96619999999999995</v>
          </cell>
        </row>
        <row r="14">
          <cell r="F14">
            <v>1.4875</v>
          </cell>
        </row>
        <row r="15">
          <cell r="F15">
            <v>0.81059999999999999</v>
          </cell>
        </row>
        <row r="16">
          <cell r="F16">
            <v>0.6069</v>
          </cell>
        </row>
        <row r="17">
          <cell r="F17">
            <v>3.5508999999999999</v>
          </cell>
        </row>
        <row r="18">
          <cell r="F18">
            <v>1.2531000000000001</v>
          </cell>
        </row>
        <row r="19">
          <cell r="F19">
            <v>1.1879999999999999</v>
          </cell>
        </row>
        <row r="20">
          <cell r="F20">
            <v>10.6317</v>
          </cell>
        </row>
        <row r="21">
          <cell r="F21">
            <v>1.2141999999999999</v>
          </cell>
        </row>
        <row r="23">
          <cell r="F23">
            <v>27.937200000000001</v>
          </cell>
        </row>
        <row r="24">
          <cell r="F24">
            <v>214.24639999999999</v>
          </cell>
        </row>
        <row r="25">
          <cell r="F25">
            <v>8.0890000000000004</v>
          </cell>
        </row>
        <row r="26">
          <cell r="F26">
            <v>1.4539</v>
          </cell>
        </row>
        <row r="27">
          <cell r="F27">
            <v>1.5857000000000001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38A3-F633-4EE7-8CC8-71A33BC8D54D}">
  <dimension ref="A1:G8"/>
  <sheetViews>
    <sheetView workbookViewId="0">
      <selection activeCell="B3" sqref="B3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f t="shared" ref="B2:B8" si="0">G2/100</f>
        <v>0.2</v>
      </c>
      <c r="C2">
        <f>B2*2</f>
        <v>0.4</v>
      </c>
      <c r="D2">
        <f t="shared" ref="D2:D8" si="1">G2/20</f>
        <v>1</v>
      </c>
      <c r="E2">
        <f t="shared" ref="E2:E8" si="2">G2/10</f>
        <v>2</v>
      </c>
      <c r="F2">
        <f t="shared" ref="F2:F8" si="3">G2/5</f>
        <v>4</v>
      </c>
      <c r="G2">
        <v>20</v>
      </c>
    </row>
    <row r="3" spans="1:7" x14ac:dyDescent="0.25">
      <c r="A3" t="s">
        <v>7</v>
      </c>
      <c r="B3">
        <f t="shared" si="0"/>
        <v>1</v>
      </c>
      <c r="C3">
        <f t="shared" ref="C3:C8" si="4">B3*2</f>
        <v>2</v>
      </c>
      <c r="D3">
        <f t="shared" si="1"/>
        <v>5</v>
      </c>
      <c r="E3">
        <f t="shared" si="2"/>
        <v>10</v>
      </c>
      <c r="F3">
        <f t="shared" si="3"/>
        <v>20</v>
      </c>
      <c r="G3">
        <v>100</v>
      </c>
    </row>
    <row r="4" spans="1:7" x14ac:dyDescent="0.25">
      <c r="A4" t="s">
        <v>8</v>
      </c>
      <c r="B4">
        <f t="shared" si="0"/>
        <v>1</v>
      </c>
      <c r="C4">
        <f t="shared" si="4"/>
        <v>2</v>
      </c>
      <c r="D4">
        <f t="shared" si="1"/>
        <v>5</v>
      </c>
      <c r="E4">
        <f t="shared" si="2"/>
        <v>10</v>
      </c>
      <c r="F4">
        <f t="shared" si="3"/>
        <v>20</v>
      </c>
      <c r="G4">
        <v>100</v>
      </c>
    </row>
    <row r="5" spans="1:7" x14ac:dyDescent="0.25">
      <c r="A5" t="s">
        <v>9</v>
      </c>
      <c r="B5">
        <f t="shared" si="0"/>
        <v>1</v>
      </c>
      <c r="C5">
        <f t="shared" si="4"/>
        <v>2</v>
      </c>
      <c r="D5">
        <f t="shared" si="1"/>
        <v>5</v>
      </c>
      <c r="E5">
        <f t="shared" si="2"/>
        <v>10</v>
      </c>
      <c r="F5">
        <f t="shared" si="3"/>
        <v>20</v>
      </c>
      <c r="G5">
        <v>100</v>
      </c>
    </row>
    <row r="6" spans="1:7" x14ac:dyDescent="0.25">
      <c r="A6" t="s">
        <v>10</v>
      </c>
      <c r="B6">
        <f t="shared" si="0"/>
        <v>1</v>
      </c>
      <c r="C6">
        <f t="shared" si="4"/>
        <v>2</v>
      </c>
      <c r="D6">
        <f t="shared" si="1"/>
        <v>5</v>
      </c>
      <c r="E6">
        <f t="shared" si="2"/>
        <v>10</v>
      </c>
      <c r="F6">
        <f t="shared" si="3"/>
        <v>20</v>
      </c>
      <c r="G6">
        <v>100</v>
      </c>
    </row>
    <row r="7" spans="1:7" x14ac:dyDescent="0.25">
      <c r="A7" t="s">
        <v>11</v>
      </c>
      <c r="B7">
        <f t="shared" si="0"/>
        <v>2</v>
      </c>
      <c r="C7">
        <f t="shared" si="4"/>
        <v>4</v>
      </c>
      <c r="D7">
        <f t="shared" si="1"/>
        <v>10</v>
      </c>
      <c r="E7">
        <f t="shared" si="2"/>
        <v>20</v>
      </c>
      <c r="F7">
        <f t="shared" si="3"/>
        <v>40</v>
      </c>
      <c r="G7">
        <v>200</v>
      </c>
    </row>
    <row r="8" spans="1:7" x14ac:dyDescent="0.25">
      <c r="A8" t="s">
        <v>12</v>
      </c>
      <c r="B8">
        <f t="shared" si="0"/>
        <v>1</v>
      </c>
      <c r="C8">
        <f t="shared" si="4"/>
        <v>2</v>
      </c>
      <c r="D8">
        <f t="shared" si="1"/>
        <v>5</v>
      </c>
      <c r="E8">
        <f t="shared" si="2"/>
        <v>10</v>
      </c>
      <c r="F8">
        <f t="shared" si="3"/>
        <v>20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474D-01B3-4ED3-8192-47E907B41812}">
  <dimension ref="A1:N27"/>
  <sheetViews>
    <sheetView zoomScale="70" zoomScaleNormal="70" workbookViewId="0">
      <selection activeCell="M21" sqref="M21"/>
    </sheetView>
  </sheetViews>
  <sheetFormatPr defaultRowHeight="15" x14ac:dyDescent="0.25"/>
  <cols>
    <col min="12" max="12" width="13.42578125" customWidth="1"/>
    <col min="13" max="13" width="20.42578125" customWidth="1"/>
    <col min="14" max="14" width="15.5703125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 t="s">
        <v>30</v>
      </c>
      <c r="J2" t="s">
        <v>30</v>
      </c>
      <c r="K2">
        <v>0</v>
      </c>
      <c r="L2" t="e">
        <f>(J2+$B$27)/$B$26</f>
        <v>#VALUE!</v>
      </c>
      <c r="M2" t="e">
        <f>H2*L2</f>
        <v>#VALUE!</v>
      </c>
      <c r="N2" t="s">
        <v>31</v>
      </c>
    </row>
    <row r="3" spans="1:14" x14ac:dyDescent="0.25">
      <c r="A3" t="s">
        <v>32</v>
      </c>
      <c r="B3" t="s">
        <v>33</v>
      </c>
      <c r="F3" t="s">
        <v>29</v>
      </c>
      <c r="G3">
        <v>1</v>
      </c>
      <c r="H3">
        <v>100</v>
      </c>
      <c r="I3">
        <v>2.9169999999999998</v>
      </c>
      <c r="J3">
        <v>4.99E-2</v>
      </c>
      <c r="K3">
        <v>0.2</v>
      </c>
      <c r="L3">
        <f t="shared" ref="L3:L24" si="0">(J3+$B$27)/$B$26</f>
        <v>0.2</v>
      </c>
      <c r="M3">
        <f t="shared" ref="M3:M22" si="1">H3*L3</f>
        <v>20</v>
      </c>
      <c r="N3" t="s">
        <v>34</v>
      </c>
    </row>
    <row r="4" spans="1:14" x14ac:dyDescent="0.25">
      <c r="A4" t="s">
        <v>35</v>
      </c>
      <c r="B4" t="s">
        <v>36</v>
      </c>
      <c r="F4" t="s">
        <v>29</v>
      </c>
      <c r="G4">
        <v>1</v>
      </c>
      <c r="H4">
        <v>50</v>
      </c>
      <c r="I4">
        <v>2.9169999999999998</v>
      </c>
      <c r="J4">
        <v>0.12659999999999999</v>
      </c>
      <c r="K4">
        <v>0.4</v>
      </c>
      <c r="L4">
        <f t="shared" si="0"/>
        <v>0.50741482965931861</v>
      </c>
      <c r="M4">
        <f t="shared" si="1"/>
        <v>25.370741482965929</v>
      </c>
      <c r="N4" t="s">
        <v>37</v>
      </c>
    </row>
    <row r="5" spans="1:14" x14ac:dyDescent="0.25">
      <c r="A5" t="s">
        <v>38</v>
      </c>
      <c r="B5" t="s">
        <v>39</v>
      </c>
      <c r="F5" t="s">
        <v>29</v>
      </c>
      <c r="G5">
        <v>1</v>
      </c>
      <c r="H5">
        <v>20</v>
      </c>
      <c r="I5" t="s">
        <v>30</v>
      </c>
      <c r="J5" t="s">
        <v>30</v>
      </c>
      <c r="K5">
        <v>1</v>
      </c>
      <c r="L5" t="e">
        <f t="shared" si="0"/>
        <v>#VALUE!</v>
      </c>
      <c r="M5" t="e">
        <f t="shared" si="1"/>
        <v>#VALUE!</v>
      </c>
      <c r="N5" t="s">
        <v>40</v>
      </c>
    </row>
    <row r="6" spans="1:14" x14ac:dyDescent="0.25">
      <c r="A6" t="s">
        <v>41</v>
      </c>
      <c r="B6" t="s">
        <v>42</v>
      </c>
      <c r="F6" t="s">
        <v>29</v>
      </c>
      <c r="G6">
        <v>1</v>
      </c>
      <c r="H6">
        <v>10</v>
      </c>
      <c r="I6" t="s">
        <v>30</v>
      </c>
      <c r="J6" t="s">
        <v>30</v>
      </c>
      <c r="K6">
        <v>2</v>
      </c>
      <c r="L6" t="e">
        <f t="shared" si="0"/>
        <v>#VALUE!</v>
      </c>
      <c r="M6" t="e">
        <f>H6*L6</f>
        <v>#VALUE!</v>
      </c>
      <c r="N6" t="s">
        <v>43</v>
      </c>
    </row>
    <row r="7" spans="1:14" x14ac:dyDescent="0.25">
      <c r="A7" t="s">
        <v>44</v>
      </c>
      <c r="B7" t="s">
        <v>45</v>
      </c>
      <c r="F7" t="s">
        <v>29</v>
      </c>
      <c r="G7">
        <v>1</v>
      </c>
      <c r="H7">
        <v>5</v>
      </c>
      <c r="I7" t="s">
        <v>30</v>
      </c>
      <c r="J7" t="s">
        <v>30</v>
      </c>
      <c r="K7">
        <v>4</v>
      </c>
      <c r="L7" t="e">
        <f t="shared" si="0"/>
        <v>#VALUE!</v>
      </c>
      <c r="M7" t="e">
        <f t="shared" si="1"/>
        <v>#VALUE!</v>
      </c>
      <c r="N7" t="s">
        <v>46</v>
      </c>
    </row>
    <row r="8" spans="1:14" x14ac:dyDescent="0.25">
      <c r="A8">
        <v>1</v>
      </c>
      <c r="B8" t="s">
        <v>47</v>
      </c>
      <c r="F8" t="s">
        <v>29</v>
      </c>
      <c r="G8">
        <v>1</v>
      </c>
      <c r="H8">
        <v>0</v>
      </c>
      <c r="I8">
        <v>2.9430000000000001</v>
      </c>
      <c r="J8">
        <v>4.5600000000000002E-2</v>
      </c>
      <c r="K8">
        <v>0</v>
      </c>
      <c r="L8">
        <f t="shared" si="0"/>
        <v>0.18276553106212426</v>
      </c>
      <c r="M8">
        <f t="shared" si="1"/>
        <v>0</v>
      </c>
      <c r="N8" t="s">
        <v>31</v>
      </c>
    </row>
    <row r="9" spans="1:14" x14ac:dyDescent="0.25">
      <c r="A9">
        <v>2</v>
      </c>
      <c r="B9" t="s">
        <v>48</v>
      </c>
      <c r="F9" t="s">
        <v>29</v>
      </c>
      <c r="G9">
        <v>1</v>
      </c>
      <c r="H9">
        <v>20</v>
      </c>
      <c r="I9">
        <v>2.9129999999999998</v>
      </c>
      <c r="J9">
        <v>0.23230000000000001</v>
      </c>
      <c r="K9">
        <v>1</v>
      </c>
      <c r="L9">
        <f t="shared" si="0"/>
        <v>0.93106212424849699</v>
      </c>
      <c r="M9">
        <f t="shared" si="1"/>
        <v>18.62124248496994</v>
      </c>
      <c r="N9" t="s">
        <v>49</v>
      </c>
    </row>
    <row r="10" spans="1:14" x14ac:dyDescent="0.25">
      <c r="A10">
        <v>3</v>
      </c>
      <c r="B10" t="s">
        <v>50</v>
      </c>
      <c r="C10">
        <v>20</v>
      </c>
      <c r="D10">
        <v>10</v>
      </c>
      <c r="E10" t="s">
        <v>51</v>
      </c>
      <c r="F10" t="s">
        <v>29</v>
      </c>
      <c r="G10">
        <v>1</v>
      </c>
      <c r="H10">
        <v>5</v>
      </c>
      <c r="I10" t="s">
        <v>30</v>
      </c>
      <c r="J10" t="s">
        <v>30</v>
      </c>
      <c r="L10" t="e">
        <f t="shared" si="0"/>
        <v>#VALUE!</v>
      </c>
      <c r="M10" t="e">
        <f t="shared" si="1"/>
        <v>#VALUE!</v>
      </c>
      <c r="N10" t="s">
        <v>52</v>
      </c>
    </row>
    <row r="11" spans="1:14" x14ac:dyDescent="0.25">
      <c r="A11">
        <v>4</v>
      </c>
      <c r="B11" t="s">
        <v>53</v>
      </c>
      <c r="C11">
        <v>20</v>
      </c>
      <c r="D11">
        <v>40</v>
      </c>
      <c r="E11" t="s">
        <v>51</v>
      </c>
      <c r="F11" t="s">
        <v>29</v>
      </c>
      <c r="G11">
        <v>1</v>
      </c>
      <c r="H11">
        <v>5</v>
      </c>
      <c r="I11" t="s">
        <v>30</v>
      </c>
      <c r="J11" t="s">
        <v>30</v>
      </c>
      <c r="L11" t="e">
        <f t="shared" si="0"/>
        <v>#VALUE!</v>
      </c>
      <c r="M11" t="e">
        <f t="shared" si="1"/>
        <v>#VALUE!</v>
      </c>
      <c r="N11" t="s">
        <v>54</v>
      </c>
    </row>
    <row r="12" spans="1:14" x14ac:dyDescent="0.25">
      <c r="A12">
        <v>5</v>
      </c>
      <c r="B12" t="s">
        <v>55</v>
      </c>
      <c r="C12">
        <v>20</v>
      </c>
      <c r="D12">
        <v>50</v>
      </c>
      <c r="E12" t="s">
        <v>51</v>
      </c>
      <c r="F12" t="s">
        <v>29</v>
      </c>
      <c r="G12">
        <v>1</v>
      </c>
      <c r="H12">
        <v>5</v>
      </c>
      <c r="I12" t="s">
        <v>30</v>
      </c>
      <c r="J12" t="s">
        <v>30</v>
      </c>
      <c r="L12" t="e">
        <f t="shared" si="0"/>
        <v>#VALUE!</v>
      </c>
      <c r="M12" t="e">
        <f t="shared" si="1"/>
        <v>#VALUE!</v>
      </c>
      <c r="N12" t="s">
        <v>56</v>
      </c>
    </row>
    <row r="13" spans="1:14" x14ac:dyDescent="0.25">
      <c r="A13">
        <v>6</v>
      </c>
      <c r="B13" t="s">
        <v>57</v>
      </c>
      <c r="C13">
        <v>20</v>
      </c>
      <c r="D13">
        <v>60</v>
      </c>
      <c r="E13" t="s">
        <v>51</v>
      </c>
      <c r="F13" t="s">
        <v>29</v>
      </c>
      <c r="G13">
        <v>1</v>
      </c>
      <c r="H13">
        <v>5</v>
      </c>
      <c r="I13" t="s">
        <v>30</v>
      </c>
      <c r="J13" t="s">
        <v>30</v>
      </c>
      <c r="L13" t="e">
        <f t="shared" si="0"/>
        <v>#VALUE!</v>
      </c>
      <c r="M13" t="e">
        <f t="shared" si="1"/>
        <v>#VALUE!</v>
      </c>
      <c r="N13" t="s">
        <v>58</v>
      </c>
    </row>
    <row r="14" spans="1:14" x14ac:dyDescent="0.25">
      <c r="A14">
        <v>7</v>
      </c>
      <c r="B14" t="s">
        <v>59</v>
      </c>
      <c r="C14">
        <v>20</v>
      </c>
      <c r="D14">
        <v>70</v>
      </c>
      <c r="E14" t="s">
        <v>51</v>
      </c>
      <c r="F14" t="s">
        <v>29</v>
      </c>
      <c r="G14">
        <v>1</v>
      </c>
      <c r="H14">
        <v>5</v>
      </c>
      <c r="I14" t="s">
        <v>30</v>
      </c>
      <c r="J14" t="s">
        <v>30</v>
      </c>
      <c r="L14" t="e">
        <f t="shared" si="0"/>
        <v>#VALUE!</v>
      </c>
      <c r="M14" t="e">
        <f t="shared" si="1"/>
        <v>#VALUE!</v>
      </c>
      <c r="N14" t="s">
        <v>60</v>
      </c>
    </row>
    <row r="15" spans="1:14" x14ac:dyDescent="0.25">
      <c r="A15">
        <v>8</v>
      </c>
      <c r="B15" t="s">
        <v>61</v>
      </c>
      <c r="C15">
        <v>20</v>
      </c>
      <c r="D15">
        <v>80</v>
      </c>
      <c r="E15" t="s">
        <v>51</v>
      </c>
      <c r="F15" t="s">
        <v>29</v>
      </c>
      <c r="G15">
        <v>1</v>
      </c>
      <c r="H15">
        <v>5</v>
      </c>
      <c r="I15" t="s">
        <v>30</v>
      </c>
      <c r="J15" t="s">
        <v>30</v>
      </c>
      <c r="L15" t="e">
        <f t="shared" si="0"/>
        <v>#VALUE!</v>
      </c>
      <c r="M15" t="e">
        <f t="shared" si="1"/>
        <v>#VALUE!</v>
      </c>
      <c r="N15" t="s">
        <v>62</v>
      </c>
    </row>
    <row r="16" spans="1:14" x14ac:dyDescent="0.25">
      <c r="A16">
        <v>9</v>
      </c>
      <c r="B16" t="s">
        <v>63</v>
      </c>
      <c r="C16">
        <v>20</v>
      </c>
      <c r="D16">
        <v>100</v>
      </c>
      <c r="E16" t="s">
        <v>51</v>
      </c>
      <c r="F16" t="s">
        <v>29</v>
      </c>
      <c r="G16">
        <v>1</v>
      </c>
      <c r="H16">
        <v>5</v>
      </c>
      <c r="I16" t="s">
        <v>30</v>
      </c>
      <c r="J16" t="s">
        <v>30</v>
      </c>
      <c r="L16" t="e">
        <f t="shared" si="0"/>
        <v>#VALUE!</v>
      </c>
      <c r="M16" t="e">
        <f t="shared" si="1"/>
        <v>#VALUE!</v>
      </c>
      <c r="N16" t="s">
        <v>64</v>
      </c>
    </row>
    <row r="17" spans="1:14" x14ac:dyDescent="0.25">
      <c r="A17">
        <v>10</v>
      </c>
      <c r="B17" t="s">
        <v>65</v>
      </c>
      <c r="C17">
        <v>20</v>
      </c>
      <c r="D17">
        <v>30</v>
      </c>
      <c r="E17" t="s">
        <v>66</v>
      </c>
      <c r="F17" t="s">
        <v>29</v>
      </c>
      <c r="G17">
        <v>1</v>
      </c>
      <c r="H17">
        <v>5</v>
      </c>
      <c r="I17">
        <v>2.98</v>
      </c>
      <c r="J17">
        <v>5.2499999999999998E-2</v>
      </c>
      <c r="L17">
        <f t="shared" si="0"/>
        <v>0.21042084168336672</v>
      </c>
      <c r="M17">
        <f t="shared" si="1"/>
        <v>1.0521042084168335</v>
      </c>
      <c r="N17" t="s">
        <v>67</v>
      </c>
    </row>
    <row r="18" spans="1:14" x14ac:dyDescent="0.25">
      <c r="A18">
        <v>11</v>
      </c>
      <c r="B18" t="s">
        <v>68</v>
      </c>
      <c r="C18">
        <v>20</v>
      </c>
      <c r="D18">
        <v>90</v>
      </c>
      <c r="E18" t="s">
        <v>66</v>
      </c>
      <c r="F18" t="s">
        <v>29</v>
      </c>
      <c r="G18">
        <v>1</v>
      </c>
      <c r="H18">
        <v>5</v>
      </c>
      <c r="I18" t="s">
        <v>30</v>
      </c>
      <c r="J18" t="s">
        <v>30</v>
      </c>
      <c r="L18" t="e">
        <f t="shared" si="0"/>
        <v>#VALUE!</v>
      </c>
      <c r="M18" t="e">
        <f t="shared" si="1"/>
        <v>#VALUE!</v>
      </c>
      <c r="N18" t="s">
        <v>69</v>
      </c>
    </row>
    <row r="19" spans="1:14" x14ac:dyDescent="0.25">
      <c r="A19">
        <v>12</v>
      </c>
      <c r="B19" t="s">
        <v>70</v>
      </c>
      <c r="C19">
        <v>20</v>
      </c>
      <c r="D19">
        <v>100</v>
      </c>
      <c r="E19" t="s">
        <v>66</v>
      </c>
      <c r="F19" t="s">
        <v>29</v>
      </c>
      <c r="G19">
        <v>1</v>
      </c>
      <c r="H19">
        <v>5</v>
      </c>
      <c r="I19" t="s">
        <v>30</v>
      </c>
      <c r="J19" t="s">
        <v>30</v>
      </c>
      <c r="L19" t="e">
        <f t="shared" si="0"/>
        <v>#VALUE!</v>
      </c>
      <c r="M19" t="e">
        <f t="shared" si="1"/>
        <v>#VALUE!</v>
      </c>
      <c r="N19" t="s">
        <v>71</v>
      </c>
    </row>
    <row r="20" spans="1:14" x14ac:dyDescent="0.25">
      <c r="A20">
        <v>13</v>
      </c>
      <c r="B20" t="s">
        <v>72</v>
      </c>
      <c r="C20">
        <v>10</v>
      </c>
      <c r="D20">
        <v>90</v>
      </c>
      <c r="E20" t="s">
        <v>51</v>
      </c>
      <c r="F20" t="s">
        <v>29</v>
      </c>
      <c r="G20">
        <v>1</v>
      </c>
      <c r="H20">
        <v>25</v>
      </c>
      <c r="I20">
        <v>2.93</v>
      </c>
      <c r="J20">
        <v>5.7200000000000001E-2</v>
      </c>
      <c r="L20">
        <f t="shared" si="0"/>
        <v>0.22925851703406813</v>
      </c>
      <c r="M20">
        <f t="shared" si="1"/>
        <v>5.7314629258517034</v>
      </c>
      <c r="N20" t="s">
        <v>73</v>
      </c>
    </row>
    <row r="21" spans="1:14" x14ac:dyDescent="0.25">
      <c r="A21">
        <v>14</v>
      </c>
      <c r="B21" t="s">
        <v>70</v>
      </c>
      <c r="C21">
        <v>20</v>
      </c>
      <c r="D21">
        <v>100</v>
      </c>
      <c r="E21" t="s">
        <v>66</v>
      </c>
      <c r="F21" t="s">
        <v>29</v>
      </c>
      <c r="G21">
        <v>1</v>
      </c>
      <c r="H21">
        <v>25</v>
      </c>
      <c r="I21">
        <v>2.93</v>
      </c>
      <c r="J21">
        <v>3.6200000000000003E-2</v>
      </c>
      <c r="K21">
        <v>1</v>
      </c>
      <c r="L21">
        <f t="shared" si="0"/>
        <v>0.14509018036072147</v>
      </c>
      <c r="M21">
        <f t="shared" si="1"/>
        <v>3.6272545090180368</v>
      </c>
      <c r="N21" t="s">
        <v>74</v>
      </c>
    </row>
    <row r="22" spans="1:14" x14ac:dyDescent="0.25">
      <c r="A22">
        <v>15</v>
      </c>
      <c r="B22" t="s">
        <v>48</v>
      </c>
      <c r="F22" t="s">
        <v>29</v>
      </c>
      <c r="G22">
        <v>1</v>
      </c>
      <c r="H22">
        <v>20</v>
      </c>
      <c r="I22">
        <v>2.9169999999999998</v>
      </c>
      <c r="J22">
        <v>0.25869999999999999</v>
      </c>
      <c r="K22">
        <v>0</v>
      </c>
      <c r="L22">
        <f t="shared" si="0"/>
        <v>1.0368737474949898</v>
      </c>
      <c r="M22">
        <f t="shared" si="1"/>
        <v>20.737474949899799</v>
      </c>
      <c r="N22" t="s">
        <v>49</v>
      </c>
    </row>
    <row r="23" spans="1:14" x14ac:dyDescent="0.25">
      <c r="A23">
        <v>16</v>
      </c>
      <c r="B23" t="s">
        <v>28</v>
      </c>
      <c r="F23" t="s">
        <v>29</v>
      </c>
      <c r="G23">
        <v>1</v>
      </c>
      <c r="H23">
        <v>0</v>
      </c>
      <c r="I23">
        <v>2.9329999999999998</v>
      </c>
      <c r="J23">
        <v>5.5899999999999998E-2</v>
      </c>
      <c r="L23">
        <f t="shared" si="0"/>
        <v>0.22404809619238478</v>
      </c>
      <c r="M23">
        <f>H23*L23</f>
        <v>0</v>
      </c>
      <c r="N23" t="s">
        <v>31</v>
      </c>
    </row>
    <row r="24" spans="1:14" x14ac:dyDescent="0.25">
      <c r="A24">
        <v>17</v>
      </c>
      <c r="B24" t="s">
        <v>28</v>
      </c>
      <c r="F24" t="s">
        <v>29</v>
      </c>
      <c r="G24">
        <v>1</v>
      </c>
      <c r="H24">
        <v>0</v>
      </c>
      <c r="I24">
        <v>2.9329999999999998</v>
      </c>
      <c r="J24">
        <v>5.6000000000000001E-2</v>
      </c>
      <c r="L24">
        <f t="shared" si="0"/>
        <v>0.22444889779559118</v>
      </c>
      <c r="M24">
        <f t="shared" ref="M24" si="2">H24*L24</f>
        <v>0</v>
      </c>
      <c r="N24" t="s">
        <v>31</v>
      </c>
    </row>
    <row r="26" spans="1:14" x14ac:dyDescent="0.25">
      <c r="A26" t="s">
        <v>75</v>
      </c>
      <c r="B26">
        <v>0.2495</v>
      </c>
    </row>
    <row r="27" spans="1:14" x14ac:dyDescent="0.25">
      <c r="A27" t="s">
        <v>76</v>
      </c>
      <c r="B27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BA4E-52CB-46A8-B76D-F1CBA7C2A5C3}">
  <dimension ref="A1:AI32"/>
  <sheetViews>
    <sheetView zoomScale="55" zoomScaleNormal="55" workbookViewId="0">
      <selection activeCell="P20" sqref="A20:P20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77</v>
      </c>
      <c r="K1" s="19" t="s">
        <v>84</v>
      </c>
      <c r="L1" s="19" t="s">
        <v>125</v>
      </c>
      <c r="M1" s="3" t="s">
        <v>20</v>
      </c>
      <c r="N1" s="19" t="s">
        <v>85</v>
      </c>
      <c r="O1" s="19" t="s">
        <v>126</v>
      </c>
      <c r="P1" s="3" t="s">
        <v>26</v>
      </c>
      <c r="S1" s="1" t="s">
        <v>86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c_Cl_ calib_ppm</v>
      </c>
      <c r="AG1" s="1" t="s">
        <v>124</v>
      </c>
    </row>
    <row r="2" spans="1:35" x14ac:dyDescent="0.25">
      <c r="A2" s="5" t="s">
        <v>27</v>
      </c>
      <c r="B2" s="5" t="s">
        <v>28</v>
      </c>
      <c r="C2" s="5"/>
      <c r="D2" s="5"/>
      <c r="E2" s="5"/>
      <c r="F2" s="5" t="s">
        <v>29</v>
      </c>
      <c r="G2" s="5">
        <v>1</v>
      </c>
      <c r="H2" s="25">
        <v>3.6629999999999998</v>
      </c>
      <c r="I2" s="8">
        <v>0.1386</v>
      </c>
      <c r="J2" s="8">
        <v>0</v>
      </c>
      <c r="K2" s="8">
        <f t="shared" ref="K2:K24" si="4">IF(H2="NA", "NA", ((I2-($AH$3))/$AG$3))</f>
        <v>0.63111053203040035</v>
      </c>
      <c r="L2" s="8">
        <f>[1]Chloride!F5</f>
        <v>0.54600000000000004</v>
      </c>
      <c r="M2" s="5">
        <v>0</v>
      </c>
      <c r="N2" s="8"/>
      <c r="O2" s="8"/>
      <c r="P2" s="5" t="s">
        <v>31</v>
      </c>
      <c r="T2" s="21" t="str">
        <f t="shared" si="0"/>
        <v>Cal 1</v>
      </c>
      <c r="U2" s="22" t="str">
        <f t="shared" si="0"/>
        <v>Blank</v>
      </c>
      <c r="V2" s="22" t="str">
        <f t="shared" si="1"/>
        <v>23.11.2023</v>
      </c>
      <c r="W2" s="22">
        <f t="shared" si="1"/>
        <v>1</v>
      </c>
      <c r="X2" s="23">
        <f t="shared" si="2"/>
        <v>0</v>
      </c>
      <c r="Y2" s="24">
        <f t="shared" si="3"/>
        <v>3.6629999999999998</v>
      </c>
      <c r="Z2" s="24">
        <f t="shared" si="3"/>
        <v>0.1386</v>
      </c>
      <c r="AA2" s="22">
        <f t="shared" si="3"/>
        <v>0</v>
      </c>
      <c r="AG2" s="3" t="s">
        <v>87</v>
      </c>
      <c r="AH2" s="3" t="s">
        <v>88</v>
      </c>
    </row>
    <row r="3" spans="1:35" x14ac:dyDescent="0.25">
      <c r="A3" s="5" t="s">
        <v>32</v>
      </c>
      <c r="B3" s="5" t="s">
        <v>33</v>
      </c>
      <c r="C3" s="5"/>
      <c r="D3" s="5"/>
      <c r="E3" s="5"/>
      <c r="F3" s="5" t="s">
        <v>29</v>
      </c>
      <c r="G3" s="5">
        <v>1</v>
      </c>
      <c r="H3" s="25">
        <v>3.6629999999999998</v>
      </c>
      <c r="I3" s="8">
        <v>0.16639999999999999</v>
      </c>
      <c r="J3" s="8">
        <v>1</v>
      </c>
      <c r="K3" s="8">
        <f t="shared" si="4"/>
        <v>0.77084502352515238</v>
      </c>
      <c r="L3" s="8">
        <f>[1]Chloride!F6</f>
        <v>0.6865</v>
      </c>
      <c r="M3" s="5">
        <v>100</v>
      </c>
      <c r="N3" s="8"/>
      <c r="O3" s="8"/>
      <c r="P3" s="5" t="s">
        <v>34</v>
      </c>
      <c r="T3" s="4" t="str">
        <f t="shared" si="0"/>
        <v>Cal 2</v>
      </c>
      <c r="U3" s="5" t="str">
        <f t="shared" si="0"/>
        <v>x 100</v>
      </c>
      <c r="V3" s="5" t="str">
        <f t="shared" si="1"/>
        <v>23.11.2023</v>
      </c>
      <c r="W3" s="5">
        <f t="shared" si="1"/>
        <v>1</v>
      </c>
      <c r="X3" s="20">
        <f t="shared" si="2"/>
        <v>100</v>
      </c>
      <c r="Y3" s="8">
        <f t="shared" si="3"/>
        <v>3.6629999999999998</v>
      </c>
      <c r="Z3" s="8">
        <f t="shared" si="3"/>
        <v>0.16639999999999999</v>
      </c>
      <c r="AA3" s="5">
        <f t="shared" si="3"/>
        <v>1</v>
      </c>
      <c r="AF3" t="s">
        <v>89</v>
      </c>
      <c r="AG3" s="8" cm="1">
        <f t="array" ref="AG3:AH7">LINEST(Z2:Z7,AA2:AA7, TRUE, TRUE)</f>
        <v>0.19894873271889399</v>
      </c>
      <c r="AH3" s="8">
        <v>1.3041359447004908E-2</v>
      </c>
      <c r="AI3" s="9" t="s">
        <v>90</v>
      </c>
    </row>
    <row r="4" spans="1:35" x14ac:dyDescent="0.25">
      <c r="A4" s="5" t="s">
        <v>35</v>
      </c>
      <c r="B4" s="5" t="s">
        <v>36</v>
      </c>
      <c r="C4" s="5"/>
      <c r="D4" s="5"/>
      <c r="E4" s="5"/>
      <c r="F4" s="5" t="s">
        <v>29</v>
      </c>
      <c r="G4" s="5">
        <v>1</v>
      </c>
      <c r="H4" s="25">
        <v>3.6629999999999998</v>
      </c>
      <c r="I4" s="8">
        <v>0.46400000000000002</v>
      </c>
      <c r="J4" s="8">
        <v>2</v>
      </c>
      <c r="K4" s="8">
        <f t="shared" si="4"/>
        <v>2.2667077813970309</v>
      </c>
      <c r="L4" s="8">
        <f>[1]Chloride!F7</f>
        <v>2.1907000000000001</v>
      </c>
      <c r="M4" s="5">
        <v>50</v>
      </c>
      <c r="N4" s="8"/>
      <c r="O4" s="8"/>
      <c r="P4" s="5" t="s">
        <v>37</v>
      </c>
      <c r="T4" s="4" t="str">
        <f t="shared" si="0"/>
        <v>Cal 3</v>
      </c>
      <c r="U4" s="5" t="str">
        <f t="shared" si="0"/>
        <v>x 50</v>
      </c>
      <c r="V4" s="5" t="str">
        <f t="shared" si="1"/>
        <v>23.11.2023</v>
      </c>
      <c r="W4" s="5">
        <f t="shared" si="1"/>
        <v>1</v>
      </c>
      <c r="X4" s="20">
        <f t="shared" si="2"/>
        <v>50</v>
      </c>
      <c r="Y4" s="8">
        <f t="shared" si="3"/>
        <v>3.6629999999999998</v>
      </c>
      <c r="Z4" s="8">
        <f t="shared" si="3"/>
        <v>0.46400000000000002</v>
      </c>
      <c r="AA4" s="5">
        <f t="shared" si="3"/>
        <v>2</v>
      </c>
      <c r="AF4" t="s">
        <v>91</v>
      </c>
      <c r="AG4" s="8">
        <v>7.3358633841959656E-3</v>
      </c>
      <c r="AH4" s="8">
        <v>6.8946709546263779E-2</v>
      </c>
      <c r="AI4" t="s">
        <v>92</v>
      </c>
    </row>
    <row r="5" spans="1:35" x14ac:dyDescent="0.25">
      <c r="A5" s="5" t="s">
        <v>38</v>
      </c>
      <c r="B5" s="5" t="s">
        <v>39</v>
      </c>
      <c r="C5" s="5"/>
      <c r="D5" s="5"/>
      <c r="E5" s="5"/>
      <c r="F5" s="5" t="s">
        <v>29</v>
      </c>
      <c r="G5" s="5">
        <v>1</v>
      </c>
      <c r="H5" s="25">
        <v>3.6669999999999998</v>
      </c>
      <c r="I5" s="8">
        <v>0.94720000000000004</v>
      </c>
      <c r="J5" s="8">
        <v>5</v>
      </c>
      <c r="K5" s="8">
        <f t="shared" si="4"/>
        <v>4.6954741947158878</v>
      </c>
      <c r="L5" s="8">
        <f>[1]Chloride!F8</f>
        <v>4.6337999999999999</v>
      </c>
      <c r="M5" s="5">
        <v>20</v>
      </c>
      <c r="N5" s="8"/>
      <c r="O5" s="8"/>
      <c r="P5" s="5" t="s">
        <v>40</v>
      </c>
      <c r="T5" s="4" t="str">
        <f t="shared" si="0"/>
        <v>Cal 4</v>
      </c>
      <c r="U5" s="5" t="str">
        <f t="shared" si="0"/>
        <v>x 20</v>
      </c>
      <c r="V5" s="5" t="str">
        <f t="shared" si="1"/>
        <v>23.11.2023</v>
      </c>
      <c r="W5" s="5">
        <f t="shared" si="1"/>
        <v>1</v>
      </c>
      <c r="X5" s="20">
        <f t="shared" si="2"/>
        <v>20</v>
      </c>
      <c r="Y5" s="8">
        <f t="shared" si="3"/>
        <v>3.6669999999999998</v>
      </c>
      <c r="Z5" s="8">
        <f t="shared" si="3"/>
        <v>0.94720000000000004</v>
      </c>
      <c r="AA5" s="5">
        <f t="shared" si="3"/>
        <v>5</v>
      </c>
      <c r="AF5" t="s">
        <v>93</v>
      </c>
      <c r="AG5" s="8">
        <v>0.99459090523045934</v>
      </c>
      <c r="AH5" s="8">
        <v>0.12478157703429567</v>
      </c>
      <c r="AI5" t="s">
        <v>94</v>
      </c>
    </row>
    <row r="6" spans="1:35" x14ac:dyDescent="0.25">
      <c r="A6" s="5" t="s">
        <v>41</v>
      </c>
      <c r="B6" s="5" t="s">
        <v>42</v>
      </c>
      <c r="C6" s="5"/>
      <c r="D6" s="5"/>
      <c r="E6" s="5"/>
      <c r="F6" s="5" t="s">
        <v>29</v>
      </c>
      <c r="G6" s="5">
        <v>1</v>
      </c>
      <c r="H6" s="25">
        <v>3.6669999999999998</v>
      </c>
      <c r="I6" s="8">
        <v>1.8333999999999999</v>
      </c>
      <c r="J6" s="8">
        <v>10</v>
      </c>
      <c r="K6" s="8">
        <f t="shared" si="4"/>
        <v>9.1498880926529118</v>
      </c>
      <c r="L6" s="8">
        <f>[1]Chloride!F9</f>
        <v>9.1140000000000008</v>
      </c>
      <c r="M6" s="5">
        <v>10</v>
      </c>
      <c r="N6" s="8"/>
      <c r="O6" s="8"/>
      <c r="P6" s="5" t="s">
        <v>43</v>
      </c>
      <c r="T6" s="4" t="str">
        <f t="shared" si="0"/>
        <v>Cal 5</v>
      </c>
      <c r="U6" s="5" t="str">
        <f t="shared" si="0"/>
        <v>x 10</v>
      </c>
      <c r="V6" s="5" t="str">
        <f t="shared" si="1"/>
        <v>23.11.2023</v>
      </c>
      <c r="W6" s="5">
        <f t="shared" si="1"/>
        <v>1</v>
      </c>
      <c r="X6" s="20">
        <f t="shared" si="2"/>
        <v>10</v>
      </c>
      <c r="Y6" s="8">
        <f t="shared" si="3"/>
        <v>3.6669999999999998</v>
      </c>
      <c r="Z6" s="8">
        <f t="shared" si="3"/>
        <v>1.8333999999999999</v>
      </c>
      <c r="AA6" s="5">
        <f t="shared" si="3"/>
        <v>10</v>
      </c>
      <c r="AF6" t="s">
        <v>95</v>
      </c>
      <c r="AG6" s="8">
        <v>735.49527054406599</v>
      </c>
      <c r="AH6" s="8">
        <v>4</v>
      </c>
      <c r="AI6" t="s">
        <v>96</v>
      </c>
    </row>
    <row r="7" spans="1:35" x14ac:dyDescent="0.25">
      <c r="A7" s="5" t="s">
        <v>44</v>
      </c>
      <c r="B7" s="5" t="s">
        <v>45</v>
      </c>
      <c r="C7" s="5"/>
      <c r="D7" s="5"/>
      <c r="E7" s="5"/>
      <c r="F7" s="5" t="s">
        <v>29</v>
      </c>
      <c r="G7" s="5">
        <v>1</v>
      </c>
      <c r="H7" s="25">
        <v>3.67</v>
      </c>
      <c r="I7" s="8">
        <v>4.0887000000000002</v>
      </c>
      <c r="J7" s="8">
        <v>20</v>
      </c>
      <c r="K7" s="8">
        <f t="shared" si="4"/>
        <v>20.485974375678612</v>
      </c>
      <c r="L7" s="8">
        <f>[1]Chloride!F10</f>
        <v>20.515499999999999</v>
      </c>
      <c r="M7" s="5">
        <v>5</v>
      </c>
      <c r="N7" s="8"/>
      <c r="O7" s="8"/>
      <c r="P7" s="5" t="s">
        <v>46</v>
      </c>
      <c r="T7" s="4" t="str">
        <f t="shared" si="0"/>
        <v>Cal 6</v>
      </c>
      <c r="U7" s="5" t="str">
        <f t="shared" si="0"/>
        <v>x 5</v>
      </c>
      <c r="V7" s="5" t="str">
        <f t="shared" si="1"/>
        <v>23.11.2023</v>
      </c>
      <c r="W7" s="5">
        <f t="shared" si="1"/>
        <v>1</v>
      </c>
      <c r="X7" s="20">
        <f t="shared" si="2"/>
        <v>5</v>
      </c>
      <c r="Y7" s="8">
        <f t="shared" si="3"/>
        <v>3.67</v>
      </c>
      <c r="Z7" s="8">
        <f t="shared" si="3"/>
        <v>4.0887000000000002</v>
      </c>
      <c r="AA7" s="5">
        <f t="shared" si="3"/>
        <v>20</v>
      </c>
      <c r="AF7" t="s">
        <v>97</v>
      </c>
      <c r="AG7" s="8">
        <v>11.451986427131338</v>
      </c>
      <c r="AH7" s="8">
        <v>6.2281767868663462E-2</v>
      </c>
      <c r="AI7" t="s">
        <v>98</v>
      </c>
    </row>
    <row r="8" spans="1:35" x14ac:dyDescent="0.25">
      <c r="A8" s="5">
        <v>1</v>
      </c>
      <c r="B8" s="5" t="s">
        <v>47</v>
      </c>
      <c r="C8" s="5"/>
      <c r="D8" s="5"/>
      <c r="E8" s="5"/>
      <c r="F8" s="5" t="s">
        <v>29</v>
      </c>
      <c r="G8" s="5">
        <v>1</v>
      </c>
      <c r="H8" s="25">
        <v>3.6629999999999998</v>
      </c>
      <c r="I8" s="8">
        <v>0.37780000000000002</v>
      </c>
      <c r="J8" s="8"/>
      <c r="K8" s="8">
        <f t="shared" si="4"/>
        <v>1.8334303293521523</v>
      </c>
      <c r="L8" s="8">
        <f>[1]Chloride!F11</f>
        <v>1.7551000000000001</v>
      </c>
      <c r="M8" s="5">
        <v>0</v>
      </c>
      <c r="N8" s="8"/>
      <c r="O8" s="8"/>
      <c r="P8" s="5" t="s">
        <v>31</v>
      </c>
      <c r="S8" s="1"/>
    </row>
    <row r="9" spans="1:35" x14ac:dyDescent="0.25">
      <c r="A9" s="5">
        <v>2</v>
      </c>
      <c r="B9" s="5" t="s">
        <v>48</v>
      </c>
      <c r="C9" s="5"/>
      <c r="D9" s="5"/>
      <c r="E9" s="5"/>
      <c r="F9" s="5" t="s">
        <v>29</v>
      </c>
      <c r="G9" s="5">
        <v>1</v>
      </c>
      <c r="H9" s="25">
        <v>3.67</v>
      </c>
      <c r="I9" s="8">
        <v>1.2968</v>
      </c>
      <c r="J9" s="8"/>
      <c r="K9" s="8">
        <f t="shared" si="4"/>
        <v>6.4527108215707552</v>
      </c>
      <c r="L9" s="8">
        <f>[1]Chloride!F12</f>
        <v>6.4010999999999996</v>
      </c>
      <c r="M9" s="5">
        <v>20</v>
      </c>
      <c r="N9" s="8"/>
      <c r="O9" s="8"/>
      <c r="P9" s="5" t="s">
        <v>49</v>
      </c>
    </row>
    <row r="10" spans="1:35" x14ac:dyDescent="0.25">
      <c r="A10" s="5">
        <v>3</v>
      </c>
      <c r="B10" s="5" t="s">
        <v>50</v>
      </c>
      <c r="C10" s="5">
        <v>20</v>
      </c>
      <c r="D10" s="5">
        <v>10</v>
      </c>
      <c r="E10" s="5" t="s">
        <v>51</v>
      </c>
      <c r="F10" s="5" t="s">
        <v>29</v>
      </c>
      <c r="G10" s="5">
        <v>1</v>
      </c>
      <c r="H10" s="25">
        <v>3.6629999999999998</v>
      </c>
      <c r="I10" s="8">
        <v>0.22170000000000001</v>
      </c>
      <c r="J10" s="8"/>
      <c r="K10" s="8">
        <f t="shared" si="4"/>
        <v>1.048806080347447</v>
      </c>
      <c r="L10" s="8">
        <f>[1]Chloride!F13</f>
        <v>0.96619999999999995</v>
      </c>
      <c r="M10" s="5">
        <v>5</v>
      </c>
      <c r="N10" s="8">
        <f t="shared" ref="N10:N21" si="5">IF(H10="NA", "NA",M10*K10)</f>
        <v>5.244030401737235</v>
      </c>
      <c r="O10" s="8">
        <f t="shared" ref="O10:O18" si="6">IF(H10="NA", "NA",M10*L10)</f>
        <v>4.8309999999999995</v>
      </c>
      <c r="P10" s="5" t="s">
        <v>52</v>
      </c>
    </row>
    <row r="11" spans="1:35" x14ac:dyDescent="0.25">
      <c r="A11" s="5">
        <v>4</v>
      </c>
      <c r="B11" s="5" t="s">
        <v>53</v>
      </c>
      <c r="C11" s="5">
        <v>20</v>
      </c>
      <c r="D11" s="5">
        <v>40</v>
      </c>
      <c r="E11" s="5" t="s">
        <v>51</v>
      </c>
      <c r="F11" s="5" t="s">
        <v>29</v>
      </c>
      <c r="G11" s="5">
        <v>1</v>
      </c>
      <c r="H11" s="25">
        <v>3.6629999999999998</v>
      </c>
      <c r="I11" s="8">
        <v>0.32490000000000002</v>
      </c>
      <c r="J11" s="8"/>
      <c r="K11" s="8">
        <f t="shared" si="4"/>
        <v>1.5675326818675341</v>
      </c>
      <c r="L11" s="8">
        <f>[1]Chloride!F14</f>
        <v>1.4875</v>
      </c>
      <c r="M11" s="5">
        <v>5</v>
      </c>
      <c r="N11" s="8">
        <f t="shared" si="5"/>
        <v>7.8376634093376705</v>
      </c>
      <c r="O11" s="8">
        <f t="shared" si="6"/>
        <v>7.4375</v>
      </c>
      <c r="P11" s="5" t="s">
        <v>54</v>
      </c>
      <c r="S11" s="1" t="s">
        <v>99</v>
      </c>
      <c r="T11" s="10"/>
      <c r="U11" s="11" t="s">
        <v>100</v>
      </c>
      <c r="V11" s="12" t="s">
        <v>101</v>
      </c>
    </row>
    <row r="12" spans="1:35" x14ac:dyDescent="0.25">
      <c r="A12" s="5">
        <v>5</v>
      </c>
      <c r="B12" s="5" t="s">
        <v>55</v>
      </c>
      <c r="C12" s="5">
        <v>20</v>
      </c>
      <c r="D12" s="5">
        <v>50</v>
      </c>
      <c r="E12" s="5" t="s">
        <v>51</v>
      </c>
      <c r="F12" s="5" t="s">
        <v>29</v>
      </c>
      <c r="G12" s="5">
        <v>1</v>
      </c>
      <c r="H12" s="25">
        <v>3.6629999999999998</v>
      </c>
      <c r="I12" s="8">
        <v>0.191</v>
      </c>
      <c r="J12" s="8"/>
      <c r="K12" s="8">
        <f t="shared" si="4"/>
        <v>0.89449496923633587</v>
      </c>
      <c r="L12" s="8">
        <f>[1]Chloride!F15</f>
        <v>0.81059999999999999</v>
      </c>
      <c r="M12" s="5">
        <v>5</v>
      </c>
      <c r="N12" s="8">
        <f t="shared" si="5"/>
        <v>4.4724748461816795</v>
      </c>
      <c r="O12" s="8">
        <f t="shared" si="6"/>
        <v>4.0529999999999999</v>
      </c>
      <c r="P12" s="5" t="s">
        <v>56</v>
      </c>
      <c r="T12" s="13" t="s">
        <v>133</v>
      </c>
      <c r="U12" s="8">
        <f xml:space="preserve"> AVERAGE(I8,I23,I24)+3*STDEV(I8,I23,I24)</f>
        <v>0.43639607032417188</v>
      </c>
      <c r="V12" s="8">
        <f xml:space="preserve"> AVERAGE(I8,I23,I24)+10*STDEV(I8,I23,I24)</f>
        <v>0.64553134552501745</v>
      </c>
    </row>
    <row r="13" spans="1:35" x14ac:dyDescent="0.25">
      <c r="A13" s="5">
        <v>6</v>
      </c>
      <c r="B13" s="5" t="s">
        <v>57</v>
      </c>
      <c r="C13" s="5">
        <v>20</v>
      </c>
      <c r="D13" s="5">
        <v>60</v>
      </c>
      <c r="E13" s="5" t="s">
        <v>51</v>
      </c>
      <c r="F13" s="5" t="s">
        <v>29</v>
      </c>
      <c r="G13" s="5">
        <v>1</v>
      </c>
      <c r="H13" s="25">
        <v>3.6669999999999998</v>
      </c>
      <c r="I13" s="8">
        <v>0.1507</v>
      </c>
      <c r="J13" s="8"/>
      <c r="K13" s="8">
        <f t="shared" si="4"/>
        <v>0.69193022077451904</v>
      </c>
      <c r="L13" s="8">
        <f>[1]Chloride!F16</f>
        <v>0.6069</v>
      </c>
      <c r="M13" s="5">
        <v>5</v>
      </c>
      <c r="N13" s="8">
        <f t="shared" si="5"/>
        <v>3.459651103872595</v>
      </c>
      <c r="O13" s="8">
        <f t="shared" si="6"/>
        <v>3.0345</v>
      </c>
      <c r="P13" s="5" t="s">
        <v>58</v>
      </c>
      <c r="T13" s="13" t="s">
        <v>127</v>
      </c>
      <c r="U13" s="8">
        <f xml:space="preserve"> AVERAGE(K8,K23,K24)+3*STDEV(K8,K23,K24)</f>
        <v>2.127958821810386</v>
      </c>
      <c r="V13" s="8">
        <f xml:space="preserve"> AVERAGE(K8,K23,K24)+10*STDEV(K8,K23,K24)</f>
        <v>3.1791606683501414</v>
      </c>
    </row>
    <row r="14" spans="1:35" x14ac:dyDescent="0.25">
      <c r="A14" s="5">
        <v>7</v>
      </c>
      <c r="B14" s="5" t="s">
        <v>59</v>
      </c>
      <c r="C14" s="5">
        <v>20</v>
      </c>
      <c r="D14" s="5">
        <v>70</v>
      </c>
      <c r="E14" s="5" t="s">
        <v>51</v>
      </c>
      <c r="F14" s="5" t="s">
        <v>29</v>
      </c>
      <c r="G14" s="5">
        <v>1</v>
      </c>
      <c r="H14" s="25">
        <v>3.6669999999999998</v>
      </c>
      <c r="I14" s="8">
        <v>0.73299999999999998</v>
      </c>
      <c r="J14" s="8"/>
      <c r="K14" s="8">
        <f t="shared" si="4"/>
        <v>3.6188149113282653</v>
      </c>
      <c r="L14" s="8">
        <f>[1]Chloride!F17</f>
        <v>3.5508999999999999</v>
      </c>
      <c r="M14" s="5">
        <v>5</v>
      </c>
      <c r="N14" s="8">
        <f t="shared" si="5"/>
        <v>18.094074556641328</v>
      </c>
      <c r="O14" s="8">
        <f t="shared" si="6"/>
        <v>17.7545</v>
      </c>
      <c r="P14" s="5" t="s">
        <v>60</v>
      </c>
      <c r="T14" s="13" t="s">
        <v>128</v>
      </c>
      <c r="U14" s="8">
        <f xml:space="preserve"> AVERAGE(L8,L23,L24)+3*STDEV(L8,L23,L24)</f>
        <v>2.05120525299282</v>
      </c>
      <c r="V14" s="8">
        <f xml:space="preserve"> AVERAGE(L8,L23,L24)+10*STDEV(L8,L23,L24)</f>
        <v>3.1081397321982882</v>
      </c>
    </row>
    <row r="15" spans="1:35" x14ac:dyDescent="0.25">
      <c r="A15" s="5">
        <v>8</v>
      </c>
      <c r="B15" s="5" t="s">
        <v>61</v>
      </c>
      <c r="C15" s="5">
        <v>20</v>
      </c>
      <c r="D15" s="5">
        <v>80</v>
      </c>
      <c r="E15" s="5" t="s">
        <v>51</v>
      </c>
      <c r="F15" s="5" t="s">
        <v>29</v>
      </c>
      <c r="G15" s="5">
        <v>1</v>
      </c>
      <c r="H15" s="25">
        <v>3.6629999999999998</v>
      </c>
      <c r="I15" s="8">
        <v>0.27850000000000003</v>
      </c>
      <c r="J15" s="8"/>
      <c r="K15" s="8">
        <f t="shared" si="4"/>
        <v>1.3343067680057896</v>
      </c>
      <c r="L15" s="8">
        <f>[1]Chloride!F18</f>
        <v>1.2531000000000001</v>
      </c>
      <c r="M15" s="5">
        <v>5</v>
      </c>
      <c r="N15" s="8">
        <f t="shared" si="5"/>
        <v>6.6715338400289479</v>
      </c>
      <c r="O15" s="8">
        <f t="shared" si="6"/>
        <v>6.2655000000000003</v>
      </c>
      <c r="P15" s="5" t="s">
        <v>62</v>
      </c>
    </row>
    <row r="16" spans="1:35" x14ac:dyDescent="0.25">
      <c r="A16" s="5">
        <v>9</v>
      </c>
      <c r="B16" s="5" t="s">
        <v>63</v>
      </c>
      <c r="C16" s="5">
        <v>20</v>
      </c>
      <c r="D16" s="5">
        <v>100</v>
      </c>
      <c r="E16" s="5" t="s">
        <v>51</v>
      </c>
      <c r="F16" s="5" t="s">
        <v>29</v>
      </c>
      <c r="G16" s="5">
        <v>1</v>
      </c>
      <c r="H16" s="25">
        <v>3.6669999999999998</v>
      </c>
      <c r="I16" s="8">
        <v>0.2656</v>
      </c>
      <c r="J16" s="8"/>
      <c r="K16" s="8">
        <f t="shared" si="4"/>
        <v>1.2694659428157786</v>
      </c>
      <c r="L16" s="8">
        <f>[1]Chloride!F19</f>
        <v>1.1879999999999999</v>
      </c>
      <c r="M16" s="5">
        <v>5</v>
      </c>
      <c r="N16" s="8">
        <f t="shared" si="5"/>
        <v>6.3473297140788931</v>
      </c>
      <c r="O16" s="8">
        <f t="shared" si="6"/>
        <v>5.9399999999999995</v>
      </c>
      <c r="P16" s="5" t="s">
        <v>64</v>
      </c>
      <c r="S16" s="1" t="s">
        <v>102</v>
      </c>
      <c r="T16" s="2"/>
      <c r="U16" s="3" t="s">
        <v>103</v>
      </c>
      <c r="V16" s="3" t="s">
        <v>104</v>
      </c>
      <c r="W16" s="3" t="s">
        <v>105</v>
      </c>
      <c r="X16" s="3" t="s">
        <v>106</v>
      </c>
      <c r="Y16" s="2" t="s">
        <v>107</v>
      </c>
      <c r="Z16" s="3" t="s">
        <v>108</v>
      </c>
      <c r="AA16" s="3" t="s">
        <v>109</v>
      </c>
      <c r="AB16" s="3" t="s">
        <v>110</v>
      </c>
      <c r="AC16" s="3" t="s">
        <v>111</v>
      </c>
      <c r="AD16" s="3" t="s">
        <v>112</v>
      </c>
    </row>
    <row r="17" spans="1:30" x14ac:dyDescent="0.25">
      <c r="A17" s="5">
        <v>10</v>
      </c>
      <c r="B17" s="5" t="s">
        <v>65</v>
      </c>
      <c r="C17" s="5">
        <v>20</v>
      </c>
      <c r="D17" s="5">
        <v>30</v>
      </c>
      <c r="E17" s="5" t="s">
        <v>66</v>
      </c>
      <c r="F17" s="5" t="s">
        <v>29</v>
      </c>
      <c r="G17" s="5">
        <v>1</v>
      </c>
      <c r="H17" s="25">
        <v>3.67</v>
      </c>
      <c r="I17" s="8">
        <v>2.1337000000000002</v>
      </c>
      <c r="J17" s="8"/>
      <c r="K17" s="8">
        <f t="shared" si="4"/>
        <v>10.659322186029678</v>
      </c>
      <c r="L17" s="8">
        <f>[1]Chloride!F20</f>
        <v>10.6317</v>
      </c>
      <c r="M17" s="5">
        <v>5</v>
      </c>
      <c r="N17" s="8">
        <f t="shared" si="5"/>
        <v>53.29661093014839</v>
      </c>
      <c r="O17" s="8">
        <f t="shared" si="6"/>
        <v>53.158500000000004</v>
      </c>
      <c r="P17" s="5" t="s">
        <v>67</v>
      </c>
      <c r="T17" s="13" t="s">
        <v>141</v>
      </c>
      <c r="U17" s="25">
        <f>AVERAGE(H2:H24)</f>
        <v>3.6794347826086962</v>
      </c>
      <c r="V17" s="25">
        <f>MEDIAN(H2:H24)</f>
        <v>3.6669999999999998</v>
      </c>
      <c r="W17" s="25">
        <f>STDEV(H2:H24)</f>
        <v>5.173518767984496E-2</v>
      </c>
      <c r="X17" s="25">
        <f>W17/U17*100</f>
        <v>1.4060634509511549</v>
      </c>
      <c r="Y17" s="25">
        <f>VAR(H2:H24)</f>
        <v>2.6765296442687815E-3</v>
      </c>
      <c r="Z17" s="25">
        <f>MAX(H2:H24)</f>
        <v>3.91</v>
      </c>
      <c r="AA17" s="25">
        <f>MIN(H2:H24)</f>
        <v>3.6629999999999998</v>
      </c>
      <c r="AB17" s="25">
        <f>Z17-AA17</f>
        <v>0.24700000000000033</v>
      </c>
      <c r="AC17" s="25">
        <f>COUNT(H2:H24)</f>
        <v>23</v>
      </c>
      <c r="AD17" s="25">
        <f>W17/SQRT(AC17)</f>
        <v>1.0787532345195666E-2</v>
      </c>
    </row>
    <row r="18" spans="1:30" x14ac:dyDescent="0.25">
      <c r="A18" s="5">
        <v>11</v>
      </c>
      <c r="B18" s="5" t="s">
        <v>68</v>
      </c>
      <c r="C18" s="5">
        <v>20</v>
      </c>
      <c r="D18" s="5">
        <v>90</v>
      </c>
      <c r="E18" s="5" t="s">
        <v>66</v>
      </c>
      <c r="F18" s="5" t="s">
        <v>29</v>
      </c>
      <c r="G18" s="5">
        <v>1</v>
      </c>
      <c r="H18" s="25">
        <v>3.6669999999999998</v>
      </c>
      <c r="I18" s="8">
        <v>0.27079999999999999</v>
      </c>
      <c r="J18" s="8"/>
      <c r="K18" s="8">
        <f t="shared" si="4"/>
        <v>1.2956033297140774</v>
      </c>
      <c r="L18" s="8">
        <f>[1]Chloride!F21</f>
        <v>1.2141999999999999</v>
      </c>
      <c r="M18" s="5">
        <v>5</v>
      </c>
      <c r="N18" s="8">
        <f t="shared" si="5"/>
        <v>6.4780166485703869</v>
      </c>
      <c r="O18" s="8">
        <f t="shared" si="6"/>
        <v>6.0709999999999997</v>
      </c>
      <c r="P18" s="5" t="s">
        <v>69</v>
      </c>
      <c r="T18" s="13" t="s">
        <v>131</v>
      </c>
      <c r="U18" s="8">
        <f>AVERAGE(I9,I22)</f>
        <v>1.4637500000000001</v>
      </c>
      <c r="V18" s="8">
        <f>MEDIAN(I9,I22)</f>
        <v>1.4637500000000001</v>
      </c>
      <c r="W18" s="8">
        <f>STDEV(I9,I22)</f>
        <v>0.23610295423818659</v>
      </c>
      <c r="X18" s="8">
        <f>W18/U18*100</f>
        <v>16.130005413368853</v>
      </c>
      <c r="Y18" s="8">
        <f>VAR(I9,I22)</f>
        <v>5.5744604999999225E-2</v>
      </c>
      <c r="Z18" s="8">
        <f>MAX(I9,I22)</f>
        <v>1.6307</v>
      </c>
      <c r="AA18" s="8">
        <f>MIN(I9,I22)</f>
        <v>1.2968</v>
      </c>
      <c r="AB18" s="8">
        <f>Z18-AA18</f>
        <v>0.33390000000000009</v>
      </c>
      <c r="AC18" s="8">
        <f>COUNT(I9,I22)</f>
        <v>2</v>
      </c>
      <c r="AD18" s="8">
        <f>W18/SQRT(AC18)</f>
        <v>0.16694999999999882</v>
      </c>
    </row>
    <row r="19" spans="1:30" x14ac:dyDescent="0.25">
      <c r="A19" s="26">
        <v>12</v>
      </c>
      <c r="B19" s="26" t="s">
        <v>70</v>
      </c>
      <c r="C19" s="26">
        <v>20</v>
      </c>
      <c r="D19" s="26">
        <v>100</v>
      </c>
      <c r="E19" s="26" t="s">
        <v>66</v>
      </c>
      <c r="F19" s="26" t="s">
        <v>29</v>
      </c>
      <c r="G19" s="26">
        <v>1</v>
      </c>
      <c r="H19" s="27">
        <v>3.91</v>
      </c>
      <c r="I19" s="28">
        <v>267.64100000000002</v>
      </c>
      <c r="J19" s="28"/>
      <c r="K19" s="28">
        <f t="shared" si="4"/>
        <v>1345.2106730365547</v>
      </c>
      <c r="L19" s="28" t="s">
        <v>148</v>
      </c>
      <c r="M19" s="26">
        <v>5</v>
      </c>
      <c r="N19" s="28">
        <f t="shared" si="5"/>
        <v>6726.0533651827736</v>
      </c>
      <c r="O19" s="28" t="str">
        <f>IF(L19="NA", "NA",M19*L19)</f>
        <v>NA</v>
      </c>
      <c r="P19" s="26" t="s">
        <v>71</v>
      </c>
      <c r="T19" s="13" t="s">
        <v>113</v>
      </c>
      <c r="U19" s="8">
        <f>AVERAGE(K9,K22)</f>
        <v>7.2918717336228731</v>
      </c>
      <c r="V19" s="8">
        <f>MEDIAN(K9,K22)</f>
        <v>7.2918717336228731</v>
      </c>
      <c r="W19" s="8">
        <f>STDEV(K9,K22)</f>
        <v>1.1867527428374725</v>
      </c>
      <c r="X19" s="8">
        <f>W19/U19*100</f>
        <v>16.275008477800661</v>
      </c>
      <c r="Y19" s="8">
        <f>VAR(K9,K22)</f>
        <v>1.4083820726322642</v>
      </c>
      <c r="Z19" s="8">
        <f>MAX(K9,K22)</f>
        <v>8.1310326456749902</v>
      </c>
      <c r="AA19" s="8">
        <f>MIN(K9,K22)</f>
        <v>6.4527108215707552</v>
      </c>
      <c r="AB19" s="8">
        <f>Z19-AA19</f>
        <v>1.678321824104235</v>
      </c>
      <c r="AC19" s="8">
        <f>COUNT(K9,K22)</f>
        <v>2</v>
      </c>
      <c r="AD19" s="8">
        <f>W19/SQRT(AC19)</f>
        <v>0.83916091205211163</v>
      </c>
    </row>
    <row r="20" spans="1:30" x14ac:dyDescent="0.25">
      <c r="A20" s="26">
        <v>13</v>
      </c>
      <c r="B20" s="26" t="s">
        <v>72</v>
      </c>
      <c r="C20" s="26">
        <v>10</v>
      </c>
      <c r="D20" s="26">
        <v>90</v>
      </c>
      <c r="E20" s="26" t="s">
        <v>51</v>
      </c>
      <c r="F20" s="26" t="s">
        <v>29</v>
      </c>
      <c r="G20" s="26">
        <v>1</v>
      </c>
      <c r="H20" s="27">
        <v>3.677</v>
      </c>
      <c r="I20" s="28">
        <v>5.5568</v>
      </c>
      <c r="J20" s="28"/>
      <c r="K20" s="28">
        <f t="shared" si="4"/>
        <v>27.865262395946438</v>
      </c>
      <c r="L20" s="28">
        <f>[1]Chloride!F23</f>
        <v>27.937200000000001</v>
      </c>
      <c r="M20" s="26">
        <v>25</v>
      </c>
      <c r="N20" s="28">
        <f t="shared" si="5"/>
        <v>696.63155989866095</v>
      </c>
      <c r="O20" s="28">
        <f>IF(H20="NA", "NA",M20*L20)</f>
        <v>698.43000000000006</v>
      </c>
      <c r="P20" s="26" t="s">
        <v>73</v>
      </c>
      <c r="T20" s="13" t="s">
        <v>114</v>
      </c>
      <c r="U20" s="8">
        <f>AVERAGE(L9,L22)</f>
        <v>7.24505</v>
      </c>
      <c r="V20" s="8">
        <f>MEDIAN(L9,L22)</f>
        <v>7.24505</v>
      </c>
      <c r="W20" s="8">
        <f>STDEV(L9,L22)</f>
        <v>1.1935255359647707</v>
      </c>
      <c r="X20" s="8">
        <f>W20/U20*100</f>
        <v>16.473668725057394</v>
      </c>
      <c r="Y20" s="8">
        <f>VAR(L9,L22)</f>
        <v>1.4245032049999935</v>
      </c>
      <c r="Z20" s="8">
        <f>MAX(L9,L22)</f>
        <v>8.0890000000000004</v>
      </c>
      <c r="AA20" s="8">
        <f>MIN(L9,L22)</f>
        <v>6.4010999999999996</v>
      </c>
      <c r="AB20" s="8">
        <f>Z20-AA20</f>
        <v>1.6879000000000008</v>
      </c>
      <c r="AC20" s="8">
        <f>COUNT(L9,L22)</f>
        <v>2</v>
      </c>
      <c r="AD20" s="8">
        <f>W20/SQRT(AC20)</f>
        <v>0.84394999999999798</v>
      </c>
    </row>
    <row r="21" spans="1:30" x14ac:dyDescent="0.25">
      <c r="A21" s="5">
        <v>14</v>
      </c>
      <c r="B21" s="5" t="s">
        <v>70</v>
      </c>
      <c r="C21" s="5">
        <v>20</v>
      </c>
      <c r="D21" s="5">
        <v>100</v>
      </c>
      <c r="E21" s="5" t="s">
        <v>66</v>
      </c>
      <c r="F21" s="5" t="s">
        <v>29</v>
      </c>
      <c r="G21" s="5">
        <v>1</v>
      </c>
      <c r="H21" s="25">
        <v>3.7229999999999999</v>
      </c>
      <c r="I21" s="8">
        <v>42.41</v>
      </c>
      <c r="J21" s="8"/>
      <c r="K21" s="8">
        <f t="shared" si="4"/>
        <v>213.10494448063702</v>
      </c>
      <c r="L21" s="8">
        <f>[1]Chloride!F24</f>
        <v>214.24639999999999</v>
      </c>
      <c r="M21" s="5">
        <v>25</v>
      </c>
      <c r="N21" s="8">
        <f t="shared" si="5"/>
        <v>5327.6236120159256</v>
      </c>
      <c r="O21" s="8">
        <f>IF(H21="NA", "NA",M21*L21)</f>
        <v>5356.16</v>
      </c>
      <c r="P21" s="5" t="s">
        <v>74</v>
      </c>
      <c r="T21" s="13" t="s">
        <v>132</v>
      </c>
      <c r="U21" s="8">
        <f>AVERAGE(I8,I23,I24)</f>
        <v>0.34676666666666667</v>
      </c>
      <c r="V21" s="8">
        <f>MEDIAN(I8,I23,I24)</f>
        <v>0.34429999999999999</v>
      </c>
      <c r="W21" s="8">
        <f>STDEV(I8,I23,I24)</f>
        <v>2.9876467885835076E-2</v>
      </c>
      <c r="X21" s="8">
        <f t="shared" ref="X21" si="7">W21/U21*100</f>
        <v>8.6157265843992334</v>
      </c>
      <c r="Y21" s="8">
        <f>VAR(I8,I23,I24)</f>
        <v>8.9260333333333463E-4</v>
      </c>
      <c r="Z21" s="8">
        <f>MAX(I8,I23,I24)</f>
        <v>0.37780000000000002</v>
      </c>
      <c r="AA21" s="8">
        <f>MIN(I8,I23,I24)</f>
        <v>0.31819999999999998</v>
      </c>
      <c r="AB21" s="8">
        <f t="shared" ref="AB21" si="8">Z21-AA21</f>
        <v>5.9600000000000042E-2</v>
      </c>
      <c r="AC21" s="8">
        <f>COUNT(I8,I23,I24)</f>
        <v>3</v>
      </c>
      <c r="AD21" s="8">
        <f t="shared" ref="AD21" si="9">W21/SQRT(AC21)</f>
        <v>1.724918677632209E-2</v>
      </c>
    </row>
    <row r="22" spans="1:30" x14ac:dyDescent="0.25">
      <c r="A22" s="5">
        <v>15</v>
      </c>
      <c r="B22" s="5" t="s">
        <v>48</v>
      </c>
      <c r="C22" s="5"/>
      <c r="D22" s="5"/>
      <c r="E22" s="5"/>
      <c r="F22" s="5" t="s">
        <v>29</v>
      </c>
      <c r="G22" s="5">
        <v>1</v>
      </c>
      <c r="H22" s="25">
        <v>3.6669999999999998</v>
      </c>
      <c r="I22" s="8">
        <v>1.6307</v>
      </c>
      <c r="J22" s="8"/>
      <c r="K22" s="8">
        <f t="shared" si="4"/>
        <v>8.1310326456749902</v>
      </c>
      <c r="L22" s="8">
        <f>[1]Chloride!F25</f>
        <v>8.0890000000000004</v>
      </c>
      <c r="M22" s="5"/>
      <c r="N22" s="8"/>
      <c r="O22" s="8"/>
      <c r="P22" s="5" t="s">
        <v>49</v>
      </c>
      <c r="T22" s="13" t="s">
        <v>115</v>
      </c>
      <c r="U22" s="8">
        <f>AVERAGE(K8,K23,K24)</f>
        <v>1.6774437447219193</v>
      </c>
      <c r="V22" s="8">
        <f>MEDIAN(K8,K23,K24)</f>
        <v>1.6650452406804184</v>
      </c>
      <c r="W22" s="8">
        <f>STDEV(K8,K23,K24)</f>
        <v>0.15017169236282221</v>
      </c>
      <c r="X22" s="8">
        <f t="shared" ref="X22:X23" si="10">W22/U22*100</f>
        <v>8.9524130293691115</v>
      </c>
      <c r="Y22" s="8">
        <f>VAR(K8,K23,K24)</f>
        <v>2.2551537187114116E-2</v>
      </c>
      <c r="Z22" s="8">
        <f>MAX(K8,K23,K24)</f>
        <v>1.8334303293521523</v>
      </c>
      <c r="AA22" s="8">
        <f>MIN(K8,K23,K24)</f>
        <v>1.5338556641331871</v>
      </c>
      <c r="AB22" s="8">
        <f t="shared" ref="AB22:AB23" si="11">Z22-AA22</f>
        <v>0.29957466521896525</v>
      </c>
      <c r="AC22" s="8">
        <f>COUNT(K8,K23,K24)</f>
        <v>3</v>
      </c>
      <c r="AD22" s="8">
        <f t="shared" ref="AD22:AD23" si="12">W22/SQRT(AC22)</f>
        <v>8.6701667010337075E-2</v>
      </c>
    </row>
    <row r="23" spans="1:30" x14ac:dyDescent="0.25">
      <c r="A23" s="5">
        <v>16</v>
      </c>
      <c r="B23" s="5" t="s">
        <v>28</v>
      </c>
      <c r="C23" s="5"/>
      <c r="D23" s="5"/>
      <c r="E23" s="5"/>
      <c r="F23" s="5" t="s">
        <v>29</v>
      </c>
      <c r="G23" s="5">
        <v>1</v>
      </c>
      <c r="H23" s="25">
        <v>3.6669999999999998</v>
      </c>
      <c r="I23" s="8">
        <v>0.31819999999999998</v>
      </c>
      <c r="J23" s="8"/>
      <c r="K23" s="8">
        <f t="shared" si="4"/>
        <v>1.5338556641331871</v>
      </c>
      <c r="L23" s="8">
        <f>[1]Chloride!F26</f>
        <v>1.4539</v>
      </c>
      <c r="M23" s="5"/>
      <c r="N23" s="8"/>
      <c r="O23" s="8"/>
      <c r="P23" s="5" t="s">
        <v>31</v>
      </c>
      <c r="T23" s="13" t="s">
        <v>116</v>
      </c>
      <c r="U23" s="8">
        <f>AVERAGE(L8,L23,L24)</f>
        <v>1.5982333333333336</v>
      </c>
      <c r="V23" s="8">
        <f>MEDIAN(L8,L23,L24)</f>
        <v>1.5857000000000001</v>
      </c>
      <c r="W23" s="8">
        <f>STDEV(L8,L23,L24)</f>
        <v>0.15099063988649544</v>
      </c>
      <c r="X23" s="8">
        <f t="shared" si="10"/>
        <v>9.4473464379311789</v>
      </c>
      <c r="Y23" s="8">
        <f>VAR(L8,L23,L24)</f>
        <v>2.2798173333333352E-2</v>
      </c>
      <c r="Z23" s="8">
        <f>MAX(L8,L23,L24)</f>
        <v>1.7551000000000001</v>
      </c>
      <c r="AA23" s="8">
        <f>MIN(L8,L23,L24)</f>
        <v>1.4539</v>
      </c>
      <c r="AB23" s="8">
        <f t="shared" si="11"/>
        <v>0.30120000000000013</v>
      </c>
      <c r="AC23" s="8">
        <f>COUNT(L8,L23,L24)</f>
        <v>3</v>
      </c>
      <c r="AD23" s="8">
        <f t="shared" si="12"/>
        <v>8.7174486583581998E-2</v>
      </c>
    </row>
    <row r="24" spans="1:30" x14ac:dyDescent="0.25">
      <c r="A24" s="5">
        <v>17</v>
      </c>
      <c r="B24" s="5" t="s">
        <v>28</v>
      </c>
      <c r="C24" s="5"/>
      <c r="D24" s="5"/>
      <c r="E24" s="5"/>
      <c r="F24" s="5" t="s">
        <v>29</v>
      </c>
      <c r="G24" s="5">
        <v>1</v>
      </c>
      <c r="H24" s="25">
        <v>3.6669999999999998</v>
      </c>
      <c r="I24" s="8">
        <v>0.34429999999999999</v>
      </c>
      <c r="J24" s="8"/>
      <c r="K24" s="8">
        <f t="shared" si="4"/>
        <v>1.6650452406804184</v>
      </c>
      <c r="L24" s="8">
        <f>[1]Chloride!F27</f>
        <v>1.5857000000000001</v>
      </c>
      <c r="M24" s="5"/>
      <c r="N24" s="8"/>
      <c r="O24" s="8"/>
      <c r="P24" s="5" t="s">
        <v>31</v>
      </c>
    </row>
    <row r="25" spans="1:30" x14ac:dyDescent="0.25">
      <c r="T25" s="14"/>
    </row>
    <row r="26" spans="1:30" x14ac:dyDescent="0.25">
      <c r="T26" s="6"/>
      <c r="U26" s="3" t="s">
        <v>117</v>
      </c>
      <c r="V26" s="3" t="s">
        <v>118</v>
      </c>
      <c r="W26" s="3" t="s">
        <v>119</v>
      </c>
      <c r="X26" s="3" t="s">
        <v>120</v>
      </c>
      <c r="Y26" s="3" t="s">
        <v>121</v>
      </c>
      <c r="Z26" s="3" t="s">
        <v>122</v>
      </c>
      <c r="AA26" s="3" t="s">
        <v>123</v>
      </c>
    </row>
    <row r="27" spans="1:30" ht="45" x14ac:dyDescent="0.25">
      <c r="T27" s="18" t="s">
        <v>161</v>
      </c>
      <c r="U27" s="7">
        <f>K5</f>
        <v>4.6954741947158878</v>
      </c>
      <c r="V27" s="7">
        <f>L5</f>
        <v>4.6337999999999999</v>
      </c>
      <c r="W27" s="15">
        <v>100</v>
      </c>
      <c r="X27" s="15">
        <v>1</v>
      </c>
      <c r="Y27" s="7">
        <f>W27/(20)</f>
        <v>5</v>
      </c>
      <c r="Z27" s="7">
        <f>V27/Y27 *100</f>
        <v>92.676000000000002</v>
      </c>
      <c r="AA27" s="7">
        <f>U27/Y27 *100</f>
        <v>93.909483894317759</v>
      </c>
    </row>
    <row r="28" spans="1:30" ht="45" x14ac:dyDescent="0.25">
      <c r="T28" s="18" t="s">
        <v>129</v>
      </c>
      <c r="U28" s="7">
        <f>U19</f>
        <v>7.2918717336228731</v>
      </c>
      <c r="V28" s="7">
        <f>U20</f>
        <v>7.24505</v>
      </c>
      <c r="W28" s="15">
        <v>100</v>
      </c>
      <c r="X28" s="15">
        <v>1</v>
      </c>
      <c r="Y28" s="7">
        <f>W28/(20)</f>
        <v>5</v>
      </c>
      <c r="Z28" s="7">
        <f>V28/Y28 *100</f>
        <v>144.90099999999998</v>
      </c>
      <c r="AA28" s="7">
        <f>U28/Y28 *100</f>
        <v>145.83743467245748</v>
      </c>
    </row>
    <row r="31" spans="1:30" x14ac:dyDescent="0.25">
      <c r="T31" s="5"/>
      <c r="U31" s="3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3" t="s">
        <v>122</v>
      </c>
      <c r="AC31" s="3" t="s">
        <v>123</v>
      </c>
    </row>
    <row r="32" spans="1:30" x14ac:dyDescent="0.25">
      <c r="T32" s="13" t="s">
        <v>130</v>
      </c>
      <c r="U32" s="8">
        <f>I5</f>
        <v>0.94720000000000004</v>
      </c>
      <c r="V32" s="8">
        <f>U18</f>
        <v>1.4637500000000001</v>
      </c>
      <c r="W32" s="8">
        <f>K5</f>
        <v>4.6954741947158878</v>
      </c>
      <c r="X32" s="8">
        <f>L5</f>
        <v>4.6337999999999999</v>
      </c>
      <c r="Y32" s="8">
        <f>U19</f>
        <v>7.2918717336228731</v>
      </c>
      <c r="Z32" s="8">
        <f>U20</f>
        <v>7.24505</v>
      </c>
      <c r="AA32" s="8">
        <f>U32/V32 *100</f>
        <v>64.710503842869343</v>
      </c>
      <c r="AB32" s="8">
        <f>W32/Y32 *100</f>
        <v>64.393263708479992</v>
      </c>
      <c r="AC32" s="8">
        <f>X32/Z32 *100</f>
        <v>63.958150737400018</v>
      </c>
    </row>
  </sheetData>
  <conditionalFormatting sqref="K1">
    <cfRule type="cellIs" dxfId="29" priority="5" operator="lessThan">
      <formula>$U$13</formula>
    </cfRule>
    <cfRule type="cellIs" dxfId="28" priority="6" operator="lessThan">
      <formula>$V$13</formula>
    </cfRule>
  </conditionalFormatting>
  <conditionalFormatting sqref="L1:L24">
    <cfRule type="cellIs" dxfId="27" priority="11" operator="lessThan">
      <formula>$U$14</formula>
    </cfRule>
    <cfRule type="cellIs" dxfId="26" priority="12" operator="lessThan">
      <formula>$V$14</formula>
    </cfRule>
  </conditionalFormatting>
  <conditionalFormatting sqref="I2:I24">
    <cfRule type="cellIs" dxfId="25" priority="3" operator="lessThan">
      <formula>$U$12</formula>
    </cfRule>
    <cfRule type="cellIs" dxfId="24" priority="4" operator="lessThan">
      <formula>$V$12</formula>
    </cfRule>
  </conditionalFormatting>
  <conditionalFormatting sqref="K2:K24">
    <cfRule type="cellIs" dxfId="23" priority="1" operator="lessThan">
      <formula>$U$13</formula>
    </cfRule>
    <cfRule type="cellIs" dxfId="22" priority="2" operator="lessThan">
      <formula>$V$13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C36D-5157-4481-B18A-49C2708BE9A7}">
  <dimension ref="A1:AI32"/>
  <sheetViews>
    <sheetView zoomScale="70" zoomScaleNormal="70" workbookViewId="0">
      <selection activeCell="P20" sqref="A20:P20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7" max="27" width="11.140625" customWidth="1"/>
    <col min="28" max="29" width="11.7109375" customWidth="1"/>
    <col min="33" max="33" width="12.855468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143</v>
      </c>
      <c r="K1" s="19" t="s">
        <v>144</v>
      </c>
      <c r="L1" s="19" t="s">
        <v>145</v>
      </c>
      <c r="M1" s="3" t="s">
        <v>20</v>
      </c>
      <c r="N1" s="19" t="s">
        <v>146</v>
      </c>
      <c r="O1" s="19" t="s">
        <v>147</v>
      </c>
      <c r="P1" s="3" t="s">
        <v>26</v>
      </c>
      <c r="S1" s="1" t="s">
        <v>86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c_Nitrite_ calib_ppm</v>
      </c>
      <c r="AG1" s="1" t="s">
        <v>142</v>
      </c>
    </row>
    <row r="2" spans="1:35" x14ac:dyDescent="0.25">
      <c r="A2" s="5" t="s">
        <v>27</v>
      </c>
      <c r="B2" s="5" t="s">
        <v>28</v>
      </c>
      <c r="C2" s="5"/>
      <c r="D2" s="5"/>
      <c r="E2" s="5"/>
      <c r="F2" s="5" t="s">
        <v>29</v>
      </c>
      <c r="G2" s="5">
        <v>1</v>
      </c>
      <c r="H2" s="25">
        <v>0</v>
      </c>
      <c r="I2" s="8">
        <v>0</v>
      </c>
      <c r="J2" s="8">
        <v>0</v>
      </c>
      <c r="K2" s="8">
        <f t="shared" ref="K2:K24" si="4">IF(H2="NA", "NA", ((I2-($AH$3))/$AG$3))</f>
        <v>0.50820255675329518</v>
      </c>
      <c r="L2" s="8">
        <v>0</v>
      </c>
      <c r="M2" s="5">
        <v>0</v>
      </c>
      <c r="N2" s="8"/>
      <c r="O2" s="8"/>
      <c r="P2" s="5" t="s">
        <v>31</v>
      </c>
      <c r="T2" s="21" t="str">
        <f t="shared" si="0"/>
        <v>Cal 1</v>
      </c>
      <c r="U2" s="22" t="str">
        <f t="shared" si="0"/>
        <v>Blank</v>
      </c>
      <c r="V2" s="22" t="str">
        <f t="shared" si="1"/>
        <v>23.11.2023</v>
      </c>
      <c r="W2" s="22">
        <f t="shared" si="1"/>
        <v>1</v>
      </c>
      <c r="X2" s="23">
        <f t="shared" si="2"/>
        <v>0</v>
      </c>
      <c r="Y2" s="24">
        <f t="shared" si="3"/>
        <v>0</v>
      </c>
      <c r="Z2" s="24">
        <f t="shared" si="3"/>
        <v>0</v>
      </c>
      <c r="AA2" s="22">
        <f t="shared" si="3"/>
        <v>0</v>
      </c>
      <c r="AG2" s="3" t="s">
        <v>87</v>
      </c>
      <c r="AH2" s="3" t="s">
        <v>88</v>
      </c>
    </row>
    <row r="3" spans="1:35" x14ac:dyDescent="0.25">
      <c r="A3" s="5" t="s">
        <v>32</v>
      </c>
      <c r="B3" s="5" t="s">
        <v>33</v>
      </c>
      <c r="C3" s="5"/>
      <c r="D3" s="5"/>
      <c r="E3" s="5"/>
      <c r="F3" s="5" t="s">
        <v>29</v>
      </c>
      <c r="G3" s="5">
        <v>1</v>
      </c>
      <c r="H3" s="25">
        <v>4.173</v>
      </c>
      <c r="I3" s="8">
        <v>6.5000000000000002E-2</v>
      </c>
      <c r="J3" s="8">
        <v>1</v>
      </c>
      <c r="K3" s="8">
        <f t="shared" si="4"/>
        <v>1.0886468713413568</v>
      </c>
      <c r="L3" s="8">
        <v>1.2915000000000001</v>
      </c>
      <c r="M3" s="5">
        <v>100</v>
      </c>
      <c r="N3" s="8"/>
      <c r="O3" s="8"/>
      <c r="P3" s="5" t="s">
        <v>34</v>
      </c>
      <c r="T3" s="4" t="str">
        <f t="shared" si="0"/>
        <v>Cal 2</v>
      </c>
      <c r="U3" s="5" t="str">
        <f t="shared" si="0"/>
        <v>x 100</v>
      </c>
      <c r="V3" s="5" t="str">
        <f t="shared" si="1"/>
        <v>23.11.2023</v>
      </c>
      <c r="W3" s="5">
        <f t="shared" si="1"/>
        <v>1</v>
      </c>
      <c r="X3" s="20">
        <f t="shared" si="2"/>
        <v>100</v>
      </c>
      <c r="Y3" s="8">
        <f t="shared" si="3"/>
        <v>4.173</v>
      </c>
      <c r="Z3" s="8">
        <f t="shared" si="3"/>
        <v>6.5000000000000002E-2</v>
      </c>
      <c r="AA3" s="5">
        <f t="shared" si="3"/>
        <v>1</v>
      </c>
      <c r="AF3" t="s">
        <v>89</v>
      </c>
      <c r="AG3" s="8" cm="1">
        <f t="array" ref="AG3:AH7">LINEST(Z2:Z7,AA2:AA7, TRUE, TRUE)</f>
        <v>0.11198317972350226</v>
      </c>
      <c r="AH3" s="8">
        <v>-5.6910138248847608E-2</v>
      </c>
      <c r="AI3" s="9" t="s">
        <v>90</v>
      </c>
    </row>
    <row r="4" spans="1:35" x14ac:dyDescent="0.25">
      <c r="A4" s="5" t="s">
        <v>35</v>
      </c>
      <c r="B4" s="5" t="s">
        <v>36</v>
      </c>
      <c r="C4" s="5"/>
      <c r="D4" s="5"/>
      <c r="E4" s="5"/>
      <c r="F4" s="5" t="s">
        <v>29</v>
      </c>
      <c r="G4" s="5">
        <v>1</v>
      </c>
      <c r="H4" s="25">
        <v>4.173</v>
      </c>
      <c r="I4" s="8">
        <v>0.1585</v>
      </c>
      <c r="J4" s="8">
        <v>2</v>
      </c>
      <c r="K4" s="8">
        <f t="shared" si="4"/>
        <v>1.9235936930949533</v>
      </c>
      <c r="L4" s="8">
        <v>2.1131000000000002</v>
      </c>
      <c r="M4" s="5">
        <v>50</v>
      </c>
      <c r="N4" s="8"/>
      <c r="O4" s="8"/>
      <c r="P4" s="5" t="s">
        <v>37</v>
      </c>
      <c r="T4" s="4" t="str">
        <f t="shared" si="0"/>
        <v>Cal 3</v>
      </c>
      <c r="U4" s="5" t="str">
        <f t="shared" si="0"/>
        <v>x 50</v>
      </c>
      <c r="V4" s="5" t="str">
        <f t="shared" si="1"/>
        <v>23.11.2023</v>
      </c>
      <c r="W4" s="5">
        <f t="shared" si="1"/>
        <v>1</v>
      </c>
      <c r="X4" s="20">
        <f t="shared" si="2"/>
        <v>50</v>
      </c>
      <c r="Y4" s="8">
        <f t="shared" si="3"/>
        <v>4.173</v>
      </c>
      <c r="Z4" s="8">
        <f t="shared" si="3"/>
        <v>0.1585</v>
      </c>
      <c r="AA4" s="5">
        <f t="shared" si="3"/>
        <v>2</v>
      </c>
      <c r="AF4" t="s">
        <v>91</v>
      </c>
      <c r="AG4" s="8">
        <v>2.7794360598958306E-3</v>
      </c>
      <c r="AH4" s="8">
        <v>2.6122756203025066E-2</v>
      </c>
      <c r="AI4" t="s">
        <v>92</v>
      </c>
    </row>
    <row r="5" spans="1:35" x14ac:dyDescent="0.25">
      <c r="A5" s="5" t="s">
        <v>38</v>
      </c>
      <c r="B5" s="5" t="s">
        <v>39</v>
      </c>
      <c r="C5" s="5"/>
      <c r="D5" s="5"/>
      <c r="E5" s="5"/>
      <c r="F5" s="5" t="s">
        <v>29</v>
      </c>
      <c r="G5" s="5">
        <v>1</v>
      </c>
      <c r="H5" s="25">
        <v>4.1769999999999996</v>
      </c>
      <c r="I5" s="8">
        <v>0.43430000000000002</v>
      </c>
      <c r="J5" s="8">
        <v>5</v>
      </c>
      <c r="K5" s="8">
        <f t="shared" si="4"/>
        <v>4.3864635694547598</v>
      </c>
      <c r="L5" s="8">
        <v>4.5369000000000002</v>
      </c>
      <c r="M5" s="5">
        <v>20</v>
      </c>
      <c r="N5" s="8"/>
      <c r="O5" s="8"/>
      <c r="P5" s="5" t="s">
        <v>40</v>
      </c>
      <c r="T5" s="4" t="str">
        <f t="shared" si="0"/>
        <v>Cal 4</v>
      </c>
      <c r="U5" s="5" t="str">
        <f t="shared" si="0"/>
        <v>x 20</v>
      </c>
      <c r="V5" s="5" t="str">
        <f t="shared" si="1"/>
        <v>23.11.2023</v>
      </c>
      <c r="W5" s="5">
        <f t="shared" si="1"/>
        <v>1</v>
      </c>
      <c r="X5" s="20">
        <f t="shared" si="2"/>
        <v>20</v>
      </c>
      <c r="Y5" s="8">
        <f t="shared" si="3"/>
        <v>4.1769999999999996</v>
      </c>
      <c r="Z5" s="8">
        <f t="shared" si="3"/>
        <v>0.43430000000000002</v>
      </c>
      <c r="AA5" s="5">
        <f t="shared" si="3"/>
        <v>5</v>
      </c>
      <c r="AF5" t="s">
        <v>93</v>
      </c>
      <c r="AG5" s="8">
        <v>0.99754190352064742</v>
      </c>
      <c r="AH5" s="8">
        <v>4.7277654538519412E-2</v>
      </c>
      <c r="AI5" t="s">
        <v>94</v>
      </c>
    </row>
    <row r="6" spans="1:35" x14ac:dyDescent="0.25">
      <c r="A6" s="5" t="s">
        <v>41</v>
      </c>
      <c r="B6" s="5" t="s">
        <v>42</v>
      </c>
      <c r="C6" s="5"/>
      <c r="D6" s="5"/>
      <c r="E6" s="5"/>
      <c r="F6" s="5" t="s">
        <v>29</v>
      </c>
      <c r="G6" s="5">
        <v>1</v>
      </c>
      <c r="H6" s="25">
        <v>4.18</v>
      </c>
      <c r="I6" s="8">
        <v>1.0487</v>
      </c>
      <c r="J6" s="8">
        <v>10</v>
      </c>
      <c r="K6" s="8">
        <f t="shared" si="4"/>
        <v>9.8730018291917609</v>
      </c>
      <c r="L6" s="8">
        <v>9.9372000000000007</v>
      </c>
      <c r="M6" s="5">
        <v>10</v>
      </c>
      <c r="N6" s="8"/>
      <c r="O6" s="8"/>
      <c r="P6" s="5" t="s">
        <v>43</v>
      </c>
      <c r="T6" s="4" t="str">
        <f t="shared" si="0"/>
        <v>Cal 5</v>
      </c>
      <c r="U6" s="5" t="str">
        <f t="shared" si="0"/>
        <v>x 10</v>
      </c>
      <c r="V6" s="5" t="str">
        <f t="shared" si="1"/>
        <v>23.11.2023</v>
      </c>
      <c r="W6" s="5">
        <f t="shared" si="1"/>
        <v>1</v>
      </c>
      <c r="X6" s="20">
        <f t="shared" si="2"/>
        <v>10</v>
      </c>
      <c r="Y6" s="8">
        <f t="shared" si="3"/>
        <v>4.18</v>
      </c>
      <c r="Z6" s="8">
        <f t="shared" si="3"/>
        <v>1.0487</v>
      </c>
      <c r="AA6" s="5">
        <f t="shared" si="3"/>
        <v>10</v>
      </c>
      <c r="AF6" t="s">
        <v>95</v>
      </c>
      <c r="AG6" s="8">
        <v>1623.2754277950739</v>
      </c>
      <c r="AH6" s="8">
        <v>4</v>
      </c>
      <c r="AI6" t="s">
        <v>96</v>
      </c>
    </row>
    <row r="7" spans="1:35" x14ac:dyDescent="0.25">
      <c r="A7" s="5" t="s">
        <v>44</v>
      </c>
      <c r="B7" s="5" t="s">
        <v>45</v>
      </c>
      <c r="C7" s="5"/>
      <c r="D7" s="5"/>
      <c r="E7" s="5"/>
      <c r="F7" s="5" t="s">
        <v>29</v>
      </c>
      <c r="G7" s="5">
        <v>1</v>
      </c>
      <c r="H7" s="25">
        <v>4.18</v>
      </c>
      <c r="I7" s="8">
        <v>2.2073999999999998</v>
      </c>
      <c r="J7" s="8">
        <v>20</v>
      </c>
      <c r="K7" s="8">
        <f t="shared" si="4"/>
        <v>20.22009148016387</v>
      </c>
      <c r="L7" s="8">
        <v>20.121300000000002</v>
      </c>
      <c r="M7" s="5">
        <v>5</v>
      </c>
      <c r="N7" s="8"/>
      <c r="O7" s="8"/>
      <c r="P7" s="5" t="s">
        <v>46</v>
      </c>
      <c r="T7" s="4" t="str">
        <f t="shared" si="0"/>
        <v>Cal 6</v>
      </c>
      <c r="U7" s="5" t="str">
        <f t="shared" si="0"/>
        <v>x 5</v>
      </c>
      <c r="V7" s="5" t="str">
        <f t="shared" si="1"/>
        <v>23.11.2023</v>
      </c>
      <c r="W7" s="5">
        <f t="shared" si="1"/>
        <v>1</v>
      </c>
      <c r="X7" s="20">
        <f t="shared" si="2"/>
        <v>5</v>
      </c>
      <c r="Y7" s="8">
        <f t="shared" si="3"/>
        <v>4.18</v>
      </c>
      <c r="Z7" s="8">
        <f t="shared" si="3"/>
        <v>2.2073999999999998</v>
      </c>
      <c r="AA7" s="5">
        <f t="shared" si="3"/>
        <v>20</v>
      </c>
      <c r="AF7" t="s">
        <v>97</v>
      </c>
      <c r="AG7" s="8">
        <v>3.6283072818586786</v>
      </c>
      <c r="AH7" s="8">
        <v>8.9407064746543415E-3</v>
      </c>
      <c r="AI7" t="s">
        <v>98</v>
      </c>
    </row>
    <row r="8" spans="1:35" x14ac:dyDescent="0.25">
      <c r="A8" s="5">
        <v>1</v>
      </c>
      <c r="B8" s="5" t="s">
        <v>47</v>
      </c>
      <c r="C8" s="5"/>
      <c r="D8" s="5"/>
      <c r="E8" s="5"/>
      <c r="F8" s="5" t="s">
        <v>29</v>
      </c>
      <c r="G8" s="5">
        <v>1</v>
      </c>
      <c r="H8" s="25">
        <v>4.173</v>
      </c>
      <c r="I8" s="8">
        <v>1.21E-2</v>
      </c>
      <c r="J8" s="8"/>
      <c r="K8" s="8">
        <f t="shared" si="4"/>
        <v>0.61625449839199586</v>
      </c>
      <c r="L8" s="8">
        <v>0.82630000000000003</v>
      </c>
      <c r="M8" s="5">
        <v>0</v>
      </c>
      <c r="N8" s="8"/>
      <c r="O8" s="8"/>
      <c r="P8" s="5" t="s">
        <v>31</v>
      </c>
      <c r="S8" s="1"/>
    </row>
    <row r="9" spans="1:35" x14ac:dyDescent="0.25">
      <c r="A9" s="5">
        <v>2</v>
      </c>
      <c r="B9" s="5" t="s">
        <v>48</v>
      </c>
      <c r="C9" s="5"/>
      <c r="D9" s="5"/>
      <c r="E9" s="5"/>
      <c r="F9" s="5" t="s">
        <v>29</v>
      </c>
      <c r="G9" s="5">
        <v>1</v>
      </c>
      <c r="H9" s="25">
        <v>4.18</v>
      </c>
      <c r="I9" s="8">
        <v>0.49430000000000002</v>
      </c>
      <c r="J9" s="8"/>
      <c r="K9" s="8">
        <f t="shared" si="4"/>
        <v>4.922258321382202</v>
      </c>
      <c r="L9" s="8">
        <v>5.0648</v>
      </c>
      <c r="M9" s="5">
        <v>20</v>
      </c>
      <c r="N9" s="8"/>
      <c r="O9" s="8"/>
      <c r="P9" s="5" t="s">
        <v>49</v>
      </c>
    </row>
    <row r="10" spans="1:35" x14ac:dyDescent="0.25">
      <c r="A10" s="5">
        <v>3</v>
      </c>
      <c r="B10" s="5" t="s">
        <v>50</v>
      </c>
      <c r="C10" s="5">
        <v>20</v>
      </c>
      <c r="D10" s="5">
        <v>10</v>
      </c>
      <c r="E10" s="5" t="s">
        <v>51</v>
      </c>
      <c r="F10" s="5" t="s">
        <v>29</v>
      </c>
      <c r="G10" s="5">
        <v>1</v>
      </c>
      <c r="H10" s="25" t="s">
        <v>148</v>
      </c>
      <c r="I10" s="8" t="s">
        <v>148</v>
      </c>
      <c r="J10" s="8"/>
      <c r="K10" s="8" t="str">
        <f t="shared" si="4"/>
        <v>NA</v>
      </c>
      <c r="L10" s="8" t="s">
        <v>148</v>
      </c>
      <c r="M10" s="5">
        <v>5</v>
      </c>
      <c r="N10" s="8" t="str">
        <f t="shared" ref="N10:N21" si="5">IF(H10="NA", "NA",M10*K10)</f>
        <v>NA</v>
      </c>
      <c r="O10" s="8" t="str">
        <f t="shared" ref="O10:O21" si="6">IF(H10="NA", "NA",M10*L10)</f>
        <v>NA</v>
      </c>
      <c r="P10" s="5" t="s">
        <v>52</v>
      </c>
    </row>
    <row r="11" spans="1:35" x14ac:dyDescent="0.25">
      <c r="A11" s="5">
        <v>4</v>
      </c>
      <c r="B11" s="5" t="s">
        <v>53</v>
      </c>
      <c r="C11" s="5">
        <v>20</v>
      </c>
      <c r="D11" s="5">
        <v>40</v>
      </c>
      <c r="E11" s="5" t="s">
        <v>51</v>
      </c>
      <c r="F11" s="5" t="s">
        <v>29</v>
      </c>
      <c r="G11" s="5">
        <v>1</v>
      </c>
      <c r="H11" s="25" t="s">
        <v>148</v>
      </c>
      <c r="I11" s="8" t="s">
        <v>148</v>
      </c>
      <c r="J11" s="8"/>
      <c r="K11" s="8" t="str">
        <f t="shared" si="4"/>
        <v>NA</v>
      </c>
      <c r="L11" s="8" t="s">
        <v>148</v>
      </c>
      <c r="M11" s="5">
        <v>5</v>
      </c>
      <c r="N11" s="8" t="str">
        <f t="shared" si="5"/>
        <v>NA</v>
      </c>
      <c r="O11" s="8" t="str">
        <f t="shared" si="6"/>
        <v>NA</v>
      </c>
      <c r="P11" s="5" t="s">
        <v>54</v>
      </c>
      <c r="S11" s="1" t="s">
        <v>99</v>
      </c>
      <c r="T11" s="10"/>
      <c r="U11" s="11" t="s">
        <v>100</v>
      </c>
      <c r="V11" s="12" t="s">
        <v>101</v>
      </c>
    </row>
    <row r="12" spans="1:35" x14ac:dyDescent="0.25">
      <c r="A12" s="5">
        <v>5</v>
      </c>
      <c r="B12" s="5" t="s">
        <v>55</v>
      </c>
      <c r="C12" s="5">
        <v>20</v>
      </c>
      <c r="D12" s="5">
        <v>50</v>
      </c>
      <c r="E12" s="5" t="s">
        <v>51</v>
      </c>
      <c r="F12" s="5" t="s">
        <v>29</v>
      </c>
      <c r="G12" s="5">
        <v>1</v>
      </c>
      <c r="H12" s="25" t="s">
        <v>148</v>
      </c>
      <c r="I12" s="8" t="s">
        <v>148</v>
      </c>
      <c r="J12" s="8"/>
      <c r="K12" s="8" t="str">
        <f t="shared" si="4"/>
        <v>NA</v>
      </c>
      <c r="L12" s="8" t="s">
        <v>148</v>
      </c>
      <c r="M12" s="5">
        <v>5</v>
      </c>
      <c r="N12" s="8" t="str">
        <f t="shared" si="5"/>
        <v>NA</v>
      </c>
      <c r="O12" s="8" t="str">
        <f t="shared" si="6"/>
        <v>NA</v>
      </c>
      <c r="P12" s="5" t="s">
        <v>56</v>
      </c>
      <c r="T12" s="13" t="s">
        <v>133</v>
      </c>
      <c r="U12" s="8">
        <f xml:space="preserve"> AVERAGE(I8,I23,I24)+3*STDEV(I8,I23,I24)</f>
        <v>6.7409859249108472E-2</v>
      </c>
      <c r="V12" s="8">
        <f xml:space="preserve"> AVERAGE(I8,I23,I24)+10*STDEV(I8,I23,I24)</f>
        <v>0.17184953083036156</v>
      </c>
    </row>
    <row r="13" spans="1:35" x14ac:dyDescent="0.25">
      <c r="A13" s="5">
        <v>6</v>
      </c>
      <c r="B13" s="5" t="s">
        <v>57</v>
      </c>
      <c r="C13" s="5">
        <v>20</v>
      </c>
      <c r="D13" s="5">
        <v>60</v>
      </c>
      <c r="E13" s="5" t="s">
        <v>51</v>
      </c>
      <c r="F13" s="5" t="s">
        <v>29</v>
      </c>
      <c r="G13" s="5">
        <v>1</v>
      </c>
      <c r="H13" s="25" t="s">
        <v>148</v>
      </c>
      <c r="I13" s="8" t="s">
        <v>148</v>
      </c>
      <c r="J13" s="8"/>
      <c r="K13" s="8" t="str">
        <f t="shared" si="4"/>
        <v>NA</v>
      </c>
      <c r="L13" s="8" t="s">
        <v>148</v>
      </c>
      <c r="M13" s="5">
        <v>5</v>
      </c>
      <c r="N13" s="8" t="str">
        <f t="shared" si="5"/>
        <v>NA</v>
      </c>
      <c r="O13" s="8" t="str">
        <f t="shared" si="6"/>
        <v>NA</v>
      </c>
      <c r="P13" s="5" t="s">
        <v>58</v>
      </c>
      <c r="T13" s="13" t="s">
        <v>127</v>
      </c>
      <c r="U13" s="8">
        <f xml:space="preserve"> AVERAGE(K8,K23,K24)+3*STDEV(K8,K23,K24)</f>
        <v>1.1101667036506264</v>
      </c>
      <c r="V13" s="8">
        <f xml:space="preserve"> AVERAGE(K8,K23,K24)+10*STDEV(K8,K23,K24)</f>
        <v>2.0428038357549783</v>
      </c>
    </row>
    <row r="14" spans="1:35" x14ac:dyDescent="0.25">
      <c r="A14" s="5">
        <v>7</v>
      </c>
      <c r="B14" s="5" t="s">
        <v>59</v>
      </c>
      <c r="C14" s="5">
        <v>20</v>
      </c>
      <c r="D14" s="5">
        <v>70</v>
      </c>
      <c r="E14" s="5" t="s">
        <v>51</v>
      </c>
      <c r="F14" s="5" t="s">
        <v>29</v>
      </c>
      <c r="G14" s="5">
        <v>1</v>
      </c>
      <c r="H14" s="25" t="s">
        <v>148</v>
      </c>
      <c r="I14" s="8" t="s">
        <v>148</v>
      </c>
      <c r="J14" s="8"/>
      <c r="K14" s="8" t="str">
        <f t="shared" si="4"/>
        <v>NA</v>
      </c>
      <c r="L14" s="8" t="s">
        <v>148</v>
      </c>
      <c r="M14" s="5">
        <v>5</v>
      </c>
      <c r="N14" s="8" t="str">
        <f t="shared" si="5"/>
        <v>NA</v>
      </c>
      <c r="O14" s="8" t="str">
        <f t="shared" si="6"/>
        <v>NA</v>
      </c>
      <c r="P14" s="5" t="s">
        <v>60</v>
      </c>
      <c r="T14" s="13" t="s">
        <v>128</v>
      </c>
      <c r="U14" s="8">
        <f xml:space="preserve"> AVERAGE(L8,L23,L24)+3*STDEV(L8,L23,L24)</f>
        <v>1.3138655839020941</v>
      </c>
      <c r="V14" s="8">
        <f xml:space="preserve"> AVERAGE(L8,L23,L24)+10*STDEV(L8,L23,L24)</f>
        <v>2.2345186130069798</v>
      </c>
    </row>
    <row r="15" spans="1:35" x14ac:dyDescent="0.25">
      <c r="A15" s="5">
        <v>8</v>
      </c>
      <c r="B15" s="5" t="s">
        <v>61</v>
      </c>
      <c r="C15" s="5">
        <v>20</v>
      </c>
      <c r="D15" s="5">
        <v>80</v>
      </c>
      <c r="E15" s="5" t="s">
        <v>51</v>
      </c>
      <c r="F15" s="5" t="s">
        <v>29</v>
      </c>
      <c r="G15" s="5">
        <v>1</v>
      </c>
      <c r="H15" s="25" t="s">
        <v>148</v>
      </c>
      <c r="I15" s="8" t="s">
        <v>148</v>
      </c>
      <c r="J15" s="8"/>
      <c r="K15" s="8" t="str">
        <f t="shared" si="4"/>
        <v>NA</v>
      </c>
      <c r="L15" s="8" t="s">
        <v>148</v>
      </c>
      <c r="M15" s="5">
        <v>5</v>
      </c>
      <c r="N15" s="8" t="str">
        <f t="shared" si="5"/>
        <v>NA</v>
      </c>
      <c r="O15" s="8" t="str">
        <f t="shared" si="6"/>
        <v>NA</v>
      </c>
      <c r="P15" s="5" t="s">
        <v>62</v>
      </c>
    </row>
    <row r="16" spans="1:35" x14ac:dyDescent="0.25">
      <c r="A16" s="5">
        <v>9</v>
      </c>
      <c r="B16" s="5" t="s">
        <v>63</v>
      </c>
      <c r="C16" s="5">
        <v>20</v>
      </c>
      <c r="D16" s="5">
        <v>100</v>
      </c>
      <c r="E16" s="5" t="s">
        <v>51</v>
      </c>
      <c r="F16" s="5" t="s">
        <v>29</v>
      </c>
      <c r="G16" s="5">
        <v>1</v>
      </c>
      <c r="H16" s="25" t="s">
        <v>148</v>
      </c>
      <c r="I16" s="8" t="s">
        <v>148</v>
      </c>
      <c r="J16" s="8"/>
      <c r="K16" s="8" t="str">
        <f t="shared" si="4"/>
        <v>NA</v>
      </c>
      <c r="L16" s="8" t="s">
        <v>148</v>
      </c>
      <c r="M16" s="5">
        <v>5</v>
      </c>
      <c r="N16" s="8" t="str">
        <f t="shared" si="5"/>
        <v>NA</v>
      </c>
      <c r="O16" s="8" t="str">
        <f t="shared" si="6"/>
        <v>NA</v>
      </c>
      <c r="P16" s="5" t="s">
        <v>64</v>
      </c>
      <c r="S16" s="1" t="s">
        <v>102</v>
      </c>
      <c r="T16" s="2"/>
      <c r="U16" s="3" t="s">
        <v>103</v>
      </c>
      <c r="V16" s="3" t="s">
        <v>104</v>
      </c>
      <c r="W16" s="3" t="s">
        <v>105</v>
      </c>
      <c r="X16" s="3" t="s">
        <v>106</v>
      </c>
      <c r="Y16" s="2" t="s">
        <v>107</v>
      </c>
      <c r="Z16" s="3" t="s">
        <v>108</v>
      </c>
      <c r="AA16" s="3" t="s">
        <v>109</v>
      </c>
      <c r="AB16" s="3" t="s">
        <v>110</v>
      </c>
      <c r="AC16" s="3" t="s">
        <v>111</v>
      </c>
      <c r="AD16" s="3" t="s">
        <v>112</v>
      </c>
    </row>
    <row r="17" spans="1:30" x14ac:dyDescent="0.25">
      <c r="A17" s="5">
        <v>10</v>
      </c>
      <c r="B17" s="5" t="s">
        <v>65</v>
      </c>
      <c r="C17" s="5">
        <v>20</v>
      </c>
      <c r="D17" s="5">
        <v>30</v>
      </c>
      <c r="E17" s="5" t="s">
        <v>66</v>
      </c>
      <c r="F17" s="5" t="s">
        <v>29</v>
      </c>
      <c r="G17" s="5">
        <v>1</v>
      </c>
      <c r="H17" s="25">
        <v>4.09</v>
      </c>
      <c r="I17" s="8">
        <v>0.14849999999999999</v>
      </c>
      <c r="J17" s="8"/>
      <c r="K17" s="8">
        <f t="shared" si="4"/>
        <v>1.834294567773713</v>
      </c>
      <c r="L17" s="8">
        <v>2.0253999999999999</v>
      </c>
      <c r="M17" s="5">
        <v>5</v>
      </c>
      <c r="N17" s="8">
        <f t="shared" si="5"/>
        <v>9.1714728388685653</v>
      </c>
      <c r="O17" s="8">
        <f t="shared" si="6"/>
        <v>10.126999999999999</v>
      </c>
      <c r="P17" s="5" t="s">
        <v>67</v>
      </c>
      <c r="T17" s="13" t="s">
        <v>141</v>
      </c>
      <c r="U17" s="25">
        <f>AVERAGE(H3:H24)</f>
        <v>4.1589999999999998</v>
      </c>
      <c r="V17" s="25">
        <f>MEDIAN(H3:H24)</f>
        <v>4.173</v>
      </c>
      <c r="W17" s="25">
        <f>STDEV(H3:H24)</f>
        <v>5.1275400209717097E-2</v>
      </c>
      <c r="X17" s="25">
        <f>W17/U17*100</f>
        <v>1.2328781007385694</v>
      </c>
      <c r="Y17" s="25">
        <f>VAR(H3:H24)</f>
        <v>2.6291666666666564E-3</v>
      </c>
      <c r="Z17" s="25">
        <f>MAX(H3:H24)</f>
        <v>4.26</v>
      </c>
      <c r="AA17" s="25">
        <f>MIN(H3:H24)</f>
        <v>4.0570000000000004</v>
      </c>
      <c r="AB17" s="25">
        <f>Z17-AA17</f>
        <v>0.2029999999999994</v>
      </c>
      <c r="AC17" s="25">
        <f>COUNT(H3:H24)</f>
        <v>13</v>
      </c>
      <c r="AD17" s="25">
        <f>W17/SQRT(AC17)</f>
        <v>1.4221237278928614E-2</v>
      </c>
    </row>
    <row r="18" spans="1:30" x14ac:dyDescent="0.25">
      <c r="A18" s="5">
        <v>11</v>
      </c>
      <c r="B18" s="5" t="s">
        <v>68</v>
      </c>
      <c r="C18" s="5">
        <v>20</v>
      </c>
      <c r="D18" s="5">
        <v>90</v>
      </c>
      <c r="E18" s="5" t="s">
        <v>66</v>
      </c>
      <c r="F18" s="5" t="s">
        <v>29</v>
      </c>
      <c r="G18" s="5">
        <v>1</v>
      </c>
      <c r="H18" s="25" t="s">
        <v>148</v>
      </c>
      <c r="I18" s="8" t="s">
        <v>148</v>
      </c>
      <c r="J18" s="8"/>
      <c r="K18" s="8" t="str">
        <f t="shared" si="4"/>
        <v>NA</v>
      </c>
      <c r="L18" s="8" t="s">
        <v>148</v>
      </c>
      <c r="M18" s="5">
        <v>5</v>
      </c>
      <c r="N18" s="8" t="str">
        <f t="shared" si="5"/>
        <v>NA</v>
      </c>
      <c r="O18" s="8" t="str">
        <f t="shared" si="6"/>
        <v>NA</v>
      </c>
      <c r="P18" s="5" t="s">
        <v>69</v>
      </c>
      <c r="T18" s="13" t="s">
        <v>131</v>
      </c>
      <c r="U18" s="8">
        <f>AVERAGE(I9,I22)</f>
        <v>0.51055000000000006</v>
      </c>
      <c r="V18" s="8">
        <f>MEDIAN(I9,I22)</f>
        <v>0.51055000000000006</v>
      </c>
      <c r="W18" s="8">
        <f>STDEV(I9,I22)</f>
        <v>2.2980970388562814E-2</v>
      </c>
      <c r="X18" s="8">
        <f>W18/U18*100</f>
        <v>4.5012183701033814</v>
      </c>
      <c r="Y18" s="8">
        <f>VAR(I9,I22)</f>
        <v>5.2812500000000092E-4</v>
      </c>
      <c r="Z18" s="8">
        <f>MAX(I9,I22)</f>
        <v>0.52680000000000005</v>
      </c>
      <c r="AA18" s="8">
        <f>MIN(I9,I22)</f>
        <v>0.49430000000000002</v>
      </c>
      <c r="AB18" s="8">
        <f>Z18-AA18</f>
        <v>3.2500000000000029E-2</v>
      </c>
      <c r="AC18" s="8">
        <f>COUNT(I9,I22)</f>
        <v>2</v>
      </c>
      <c r="AD18" s="8">
        <f>W18/SQRT(AC18)</f>
        <v>1.6250000000000011E-2</v>
      </c>
    </row>
    <row r="19" spans="1:30" x14ac:dyDescent="0.25">
      <c r="A19" s="26">
        <v>12</v>
      </c>
      <c r="B19" s="26" t="s">
        <v>70</v>
      </c>
      <c r="C19" s="26">
        <v>20</v>
      </c>
      <c r="D19" s="26">
        <v>100</v>
      </c>
      <c r="E19" s="26" t="s">
        <v>66</v>
      </c>
      <c r="F19" s="26" t="s">
        <v>29</v>
      </c>
      <c r="G19" s="26">
        <v>1</v>
      </c>
      <c r="H19" s="27">
        <v>4.26</v>
      </c>
      <c r="I19" s="28">
        <v>2.202</v>
      </c>
      <c r="J19" s="28"/>
      <c r="K19" s="28">
        <f t="shared" si="4"/>
        <v>20.1718699524904</v>
      </c>
      <c r="L19" s="28">
        <v>20.0733</v>
      </c>
      <c r="M19" s="26">
        <v>5</v>
      </c>
      <c r="N19" s="28">
        <f t="shared" si="5"/>
        <v>100.859349762452</v>
      </c>
      <c r="O19" s="28">
        <f t="shared" si="6"/>
        <v>100.3665</v>
      </c>
      <c r="P19" s="26" t="s">
        <v>71</v>
      </c>
      <c r="T19" s="13" t="s">
        <v>113</v>
      </c>
      <c r="U19" s="8">
        <f>AVERAGE(K9,K22)</f>
        <v>5.067369400029218</v>
      </c>
      <c r="V19" s="8">
        <f>MEDIAN(K9,K22)</f>
        <v>5.067369400029218</v>
      </c>
      <c r="W19" s="8">
        <f>STDEV(K9,K22)</f>
        <v>0.20521805547319821</v>
      </c>
      <c r="X19" s="8">
        <f>W19/U19*100</f>
        <v>4.0497946621380105</v>
      </c>
      <c r="Y19" s="8">
        <f>VAR(K9,K22)</f>
        <v>4.2114450292200664E-2</v>
      </c>
      <c r="Z19" s="8">
        <f>MAX(K9,K22)</f>
        <v>5.2124804786762331</v>
      </c>
      <c r="AA19" s="8">
        <f>MIN(K9,K22)</f>
        <v>4.922258321382202</v>
      </c>
      <c r="AB19" s="8">
        <f>Z19-AA19</f>
        <v>0.29022215729403111</v>
      </c>
      <c r="AC19" s="8">
        <f>COUNT(K9,K22)</f>
        <v>2</v>
      </c>
      <c r="AD19" s="8">
        <f>W19/SQRT(AC19)</f>
        <v>0.14511107864701553</v>
      </c>
    </row>
    <row r="20" spans="1:30" x14ac:dyDescent="0.25">
      <c r="A20" s="26">
        <v>13</v>
      </c>
      <c r="B20" s="26" t="s">
        <v>72</v>
      </c>
      <c r="C20" s="26">
        <v>10</v>
      </c>
      <c r="D20" s="26">
        <v>90</v>
      </c>
      <c r="E20" s="26" t="s">
        <v>51</v>
      </c>
      <c r="F20" s="26" t="s">
        <v>29</v>
      </c>
      <c r="G20" s="26">
        <v>1</v>
      </c>
      <c r="H20" s="27">
        <v>4.0570000000000004</v>
      </c>
      <c r="I20" s="28">
        <v>0.40539999999999998</v>
      </c>
      <c r="J20" s="28"/>
      <c r="K20" s="28">
        <f t="shared" si="4"/>
        <v>4.1283890972763757</v>
      </c>
      <c r="L20" s="28">
        <v>4.2831000000000001</v>
      </c>
      <c r="M20" s="26">
        <v>25</v>
      </c>
      <c r="N20" s="28">
        <f t="shared" si="5"/>
        <v>103.20972743190939</v>
      </c>
      <c r="O20" s="28">
        <f t="shared" si="6"/>
        <v>107.0775</v>
      </c>
      <c r="P20" s="26" t="s">
        <v>73</v>
      </c>
      <c r="T20" s="13" t="s">
        <v>114</v>
      </c>
      <c r="U20" s="8">
        <f>AVERAGE(L9,L22)</f>
        <v>5.2073499999999999</v>
      </c>
      <c r="V20" s="8">
        <f>MEDIAN(L9,L22)</f>
        <v>5.2073499999999999</v>
      </c>
      <c r="W20" s="8">
        <f>STDEV(L9,L22)</f>
        <v>0.20159614331628464</v>
      </c>
      <c r="X20" s="8">
        <f>W20/U20*100</f>
        <v>3.8713768676252731</v>
      </c>
      <c r="Y20" s="8">
        <f>VAR(L9,L22)</f>
        <v>4.0641004999999973E-2</v>
      </c>
      <c r="Z20" s="8">
        <f>MAX(L9,L22)</f>
        <v>5.3498999999999999</v>
      </c>
      <c r="AA20" s="8">
        <f>MIN(L9,L22)</f>
        <v>5.0648</v>
      </c>
      <c r="AB20" s="8">
        <f>Z20-AA20</f>
        <v>0.28509999999999991</v>
      </c>
      <c r="AC20" s="8">
        <f>COUNT(L9,L22)</f>
        <v>2</v>
      </c>
      <c r="AD20" s="8">
        <f>W20/SQRT(AC20)</f>
        <v>0.14254999999999995</v>
      </c>
    </row>
    <row r="21" spans="1:30" x14ac:dyDescent="0.25">
      <c r="A21" s="29">
        <v>14</v>
      </c>
      <c r="B21" s="29" t="s">
        <v>70</v>
      </c>
      <c r="C21" s="29">
        <v>20</v>
      </c>
      <c r="D21" s="29">
        <v>100</v>
      </c>
      <c r="E21" s="29" t="s">
        <v>66</v>
      </c>
      <c r="F21" s="29" t="s">
        <v>29</v>
      </c>
      <c r="G21" s="29">
        <v>1</v>
      </c>
      <c r="H21" s="30">
        <v>4.0999999999999996</v>
      </c>
      <c r="I21" s="31">
        <v>0.75380000000000003</v>
      </c>
      <c r="J21" s="31"/>
      <c r="K21" s="31">
        <f t="shared" si="4"/>
        <v>7.2395706234683868</v>
      </c>
      <c r="L21" s="31">
        <v>7.3451000000000004</v>
      </c>
      <c r="M21" s="29">
        <v>25</v>
      </c>
      <c r="N21" s="31">
        <f t="shared" si="5"/>
        <v>180.98926558670968</v>
      </c>
      <c r="O21" s="31">
        <f t="shared" si="6"/>
        <v>183.6275</v>
      </c>
      <c r="P21" s="29" t="s">
        <v>74</v>
      </c>
      <c r="T21" s="13" t="s">
        <v>132</v>
      </c>
      <c r="U21" s="8">
        <f>AVERAGE(I8,I23,I24)</f>
        <v>2.265E-2</v>
      </c>
      <c r="V21" s="8">
        <f>MEDIAN(I8,I23,I24)</f>
        <v>2.265E-2</v>
      </c>
      <c r="W21" s="8">
        <f>STDEV(I8,I23,I24)</f>
        <v>1.4919953083036156E-2</v>
      </c>
      <c r="X21" s="8">
        <f>W21/U21*100</f>
        <v>65.871757540998473</v>
      </c>
      <c r="Y21" s="8">
        <f>VAR(I8,I23,I24)</f>
        <v>2.2260500000000007E-4</v>
      </c>
      <c r="Z21" s="8">
        <f>MAX(I8,I23,I24)</f>
        <v>3.32E-2</v>
      </c>
      <c r="AA21" s="8">
        <f>MIN(I8,I23,I24)</f>
        <v>1.21E-2</v>
      </c>
      <c r="AB21" s="8">
        <f t="shared" ref="AB21:AB23" si="7">Z21-AA21</f>
        <v>2.1100000000000001E-2</v>
      </c>
      <c r="AC21" s="8">
        <f>COUNT(I8,I23,I24)</f>
        <v>2</v>
      </c>
      <c r="AD21" s="8">
        <f t="shared" ref="AD21:AD23" si="8">W21/SQRT(AC21)</f>
        <v>1.0550000000000002E-2</v>
      </c>
    </row>
    <row r="22" spans="1:30" x14ac:dyDescent="0.25">
      <c r="A22" s="5">
        <v>15</v>
      </c>
      <c r="B22" s="5" t="s">
        <v>48</v>
      </c>
      <c r="C22" s="5"/>
      <c r="D22" s="5"/>
      <c r="E22" s="5"/>
      <c r="F22" s="5" t="s">
        <v>29</v>
      </c>
      <c r="G22" s="5">
        <v>1</v>
      </c>
      <c r="H22" s="25">
        <v>4.1769999999999996</v>
      </c>
      <c r="I22" s="8">
        <v>0.52680000000000005</v>
      </c>
      <c r="J22" s="8"/>
      <c r="K22" s="8">
        <f t="shared" si="4"/>
        <v>5.2124804786762331</v>
      </c>
      <c r="L22" s="8">
        <v>5.3498999999999999</v>
      </c>
      <c r="M22" s="5"/>
      <c r="N22" s="8"/>
      <c r="O22" s="8"/>
      <c r="P22" s="5" t="s">
        <v>49</v>
      </c>
      <c r="T22" s="13" t="s">
        <v>115</v>
      </c>
      <c r="U22" s="8">
        <f>AVERAGE(K8,K23,K24)</f>
        <v>0.71046507560590433</v>
      </c>
      <c r="V22" s="8">
        <f>MEDIAN(K8,K23,K24)</f>
        <v>0.71046507560590433</v>
      </c>
      <c r="W22" s="8">
        <f>STDEV(K8,K23,K24)</f>
        <v>0.13323387601490738</v>
      </c>
      <c r="X22" s="8">
        <f t="shared" ref="X22:X23" si="9">W22/U22*100</f>
        <v>18.753050725439508</v>
      </c>
      <c r="Y22" s="8">
        <f>VAR(K8,K23,K24)</f>
        <v>1.7751265717955711E-2</v>
      </c>
      <c r="Z22" s="8">
        <f>MAX(K8,K23,K24)</f>
        <v>0.8046756528198129</v>
      </c>
      <c r="AA22" s="8">
        <f>MIN(K8,K23,K24)</f>
        <v>0.61625449839199586</v>
      </c>
      <c r="AB22" s="8">
        <f t="shared" si="7"/>
        <v>0.18842115442781704</v>
      </c>
      <c r="AC22" s="8">
        <f>COUNT(K8,K23,K24)</f>
        <v>2</v>
      </c>
      <c r="AD22" s="8">
        <f t="shared" si="8"/>
        <v>9.4210577213908714E-2</v>
      </c>
    </row>
    <row r="23" spans="1:30" x14ac:dyDescent="0.25">
      <c r="A23" s="5">
        <v>16</v>
      </c>
      <c r="B23" s="5" t="s">
        <v>28</v>
      </c>
      <c r="C23" s="5"/>
      <c r="D23" s="5"/>
      <c r="E23" s="5"/>
      <c r="F23" s="5" t="s">
        <v>29</v>
      </c>
      <c r="G23" s="5">
        <v>1</v>
      </c>
      <c r="H23" s="25">
        <v>4.1470000000000002</v>
      </c>
      <c r="I23" s="8">
        <v>3.32E-2</v>
      </c>
      <c r="J23" s="8"/>
      <c r="K23" s="8">
        <f t="shared" si="4"/>
        <v>0.8046756528198129</v>
      </c>
      <c r="L23" s="8">
        <v>1.0123</v>
      </c>
      <c r="M23" s="5"/>
      <c r="N23" s="8"/>
      <c r="O23" s="8"/>
      <c r="P23" s="5" t="s">
        <v>31</v>
      </c>
      <c r="T23" s="13" t="s">
        <v>116</v>
      </c>
      <c r="U23" s="8">
        <f>AVERAGE(L8,L23,L24)</f>
        <v>0.91930000000000001</v>
      </c>
      <c r="V23" s="8">
        <f>MEDIAN(L8,L23,L24)</f>
        <v>0.91930000000000001</v>
      </c>
      <c r="W23" s="8">
        <f>STDEV(L8,L23,L24)</f>
        <v>0.13152186130069798</v>
      </c>
      <c r="X23" s="8">
        <f t="shared" si="9"/>
        <v>14.306740052289566</v>
      </c>
      <c r="Y23" s="8">
        <f>VAR(L8,L23,L24)</f>
        <v>1.7298000000000036E-2</v>
      </c>
      <c r="Z23" s="8">
        <f>MAX(L8,L23,L24)</f>
        <v>1.0123</v>
      </c>
      <c r="AA23" s="8">
        <f>MIN(L8,L23,L24)</f>
        <v>0.82630000000000003</v>
      </c>
      <c r="AB23" s="8">
        <f t="shared" si="7"/>
        <v>0.18599999999999994</v>
      </c>
      <c r="AC23" s="8">
        <f>COUNT(L8,L23,L24)</f>
        <v>2</v>
      </c>
      <c r="AD23" s="8">
        <f t="shared" si="8"/>
        <v>9.3000000000000096E-2</v>
      </c>
    </row>
    <row r="24" spans="1:30" x14ac:dyDescent="0.25">
      <c r="A24" s="5">
        <v>17</v>
      </c>
      <c r="B24" s="5" t="s">
        <v>28</v>
      </c>
      <c r="C24" s="5"/>
      <c r="D24" s="5"/>
      <c r="E24" s="5"/>
      <c r="F24" s="5" t="s">
        <v>29</v>
      </c>
      <c r="G24" s="5">
        <v>1</v>
      </c>
      <c r="H24" s="25" t="s">
        <v>148</v>
      </c>
      <c r="I24" s="8" t="s">
        <v>148</v>
      </c>
      <c r="J24" s="8"/>
      <c r="K24" s="8" t="str">
        <f t="shared" si="4"/>
        <v>NA</v>
      </c>
      <c r="L24" s="8" t="s">
        <v>148</v>
      </c>
      <c r="M24" s="5"/>
      <c r="N24" s="8"/>
      <c r="O24" s="8"/>
      <c r="P24" s="5" t="s">
        <v>31</v>
      </c>
    </row>
    <row r="25" spans="1:30" x14ac:dyDescent="0.25">
      <c r="T25" s="14"/>
    </row>
    <row r="26" spans="1:30" x14ac:dyDescent="0.25">
      <c r="T26" s="6"/>
      <c r="U26" s="3" t="s">
        <v>117</v>
      </c>
      <c r="V26" s="3" t="s">
        <v>118</v>
      </c>
      <c r="W26" s="3" t="s">
        <v>119</v>
      </c>
      <c r="X26" s="3" t="s">
        <v>120</v>
      </c>
      <c r="Y26" s="3" t="s">
        <v>121</v>
      </c>
      <c r="Z26" s="3" t="s">
        <v>122</v>
      </c>
      <c r="AA26" s="3" t="s">
        <v>123</v>
      </c>
    </row>
    <row r="27" spans="1:30" ht="45" x14ac:dyDescent="0.25">
      <c r="T27" s="18" t="s">
        <v>161</v>
      </c>
      <c r="U27" s="7">
        <f>K5</f>
        <v>4.3864635694547598</v>
      </c>
      <c r="V27" s="7">
        <f>L5</f>
        <v>4.5369000000000002</v>
      </c>
      <c r="W27" s="15">
        <v>102</v>
      </c>
      <c r="X27" s="15">
        <v>1</v>
      </c>
      <c r="Y27" s="7">
        <f>W27/(20)</f>
        <v>5.0999999999999996</v>
      </c>
      <c r="Z27" s="7">
        <f>V27/Y27 *100</f>
        <v>88.958823529411774</v>
      </c>
      <c r="AA27" s="7">
        <f>U27/Y27 *100</f>
        <v>86.009089597152155</v>
      </c>
    </row>
    <row r="28" spans="1:30" ht="45" x14ac:dyDescent="0.25">
      <c r="T28" s="18" t="s">
        <v>129</v>
      </c>
      <c r="U28" s="7">
        <f>U19</f>
        <v>5.067369400029218</v>
      </c>
      <c r="V28" s="7">
        <f>U20</f>
        <v>5.2073499999999999</v>
      </c>
      <c r="W28" s="15">
        <v>100</v>
      </c>
      <c r="X28" s="15">
        <v>1</v>
      </c>
      <c r="Y28" s="7">
        <f>W28/(20)</f>
        <v>5</v>
      </c>
      <c r="Z28" s="7">
        <f>V28/Y28 *100</f>
        <v>104.14699999999999</v>
      </c>
      <c r="AA28" s="7">
        <f>U28/Y28 *100</f>
        <v>101.34738800058436</v>
      </c>
    </row>
    <row r="31" spans="1:30" x14ac:dyDescent="0.25">
      <c r="T31" s="5"/>
      <c r="U31" s="3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3" t="s">
        <v>122</v>
      </c>
      <c r="AC31" s="3" t="s">
        <v>123</v>
      </c>
    </row>
    <row r="32" spans="1:30" x14ac:dyDescent="0.25">
      <c r="T32" s="13" t="s">
        <v>130</v>
      </c>
      <c r="U32" s="8">
        <f>I5</f>
        <v>0.43430000000000002</v>
      </c>
      <c r="V32" s="8">
        <f>U18</f>
        <v>0.51055000000000006</v>
      </c>
      <c r="W32" s="8">
        <f>K5</f>
        <v>4.3864635694547598</v>
      </c>
      <c r="X32" s="8">
        <f>L5</f>
        <v>4.5369000000000002</v>
      </c>
      <c r="Y32" s="8">
        <f>U19</f>
        <v>5.067369400029218</v>
      </c>
      <c r="Z32" s="8">
        <f>U20</f>
        <v>5.2073499999999999</v>
      </c>
      <c r="AA32" s="8">
        <f>U32/V32 *100</f>
        <v>85.065125844677297</v>
      </c>
      <c r="AB32" s="8">
        <f>W32/Y32 *100</f>
        <v>86.562932819333597</v>
      </c>
      <c r="AC32" s="8">
        <f>X32/Z32 *100</f>
        <v>87.124929186630439</v>
      </c>
    </row>
  </sheetData>
  <conditionalFormatting sqref="K1:K24">
    <cfRule type="cellIs" dxfId="21" priority="4" operator="lessThan">
      <formula>$U$13</formula>
    </cfRule>
    <cfRule type="cellIs" dxfId="20" priority="5" operator="lessThan">
      <formula>$V$13</formula>
    </cfRule>
  </conditionalFormatting>
  <conditionalFormatting sqref="L1:L24">
    <cfRule type="cellIs" dxfId="19" priority="6" operator="lessThan">
      <formula>$U$14</formula>
    </cfRule>
    <cfRule type="cellIs" dxfId="18" priority="7" operator="lessThan">
      <formula>$V$14</formula>
    </cfRule>
  </conditionalFormatting>
  <conditionalFormatting sqref="I2:I24">
    <cfRule type="cellIs" dxfId="17" priority="2" operator="lessThan">
      <formula>$U$12</formula>
    </cfRule>
    <cfRule type="cellIs" dxfId="16" priority="3" operator="lessThan">
      <formula>$V$12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24A4-C512-4E68-B9D0-599720D36A13}">
  <dimension ref="A1:N27"/>
  <sheetViews>
    <sheetView zoomScale="70" zoomScaleNormal="70" workbookViewId="0">
      <selection activeCell="M9" sqref="M9"/>
    </sheetView>
  </sheetViews>
  <sheetFormatPr defaultRowHeight="15" x14ac:dyDescent="0.25"/>
  <cols>
    <col min="13" max="13" width="21.7109375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78</v>
      </c>
      <c r="L1" t="s">
        <v>79</v>
      </c>
      <c r="M1" t="s">
        <v>80</v>
      </c>
      <c r="N1" t="s">
        <v>26</v>
      </c>
    </row>
    <row r="2" spans="1:14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 t="s">
        <v>30</v>
      </c>
      <c r="J2" t="s">
        <v>30</v>
      </c>
      <c r="K2">
        <v>0</v>
      </c>
      <c r="L2" t="e">
        <f>(J2+$B$27)/$B$26</f>
        <v>#VALUE!</v>
      </c>
      <c r="M2" t="e">
        <f>H2*L2</f>
        <v>#VALUE!</v>
      </c>
      <c r="N2" t="s">
        <v>31</v>
      </c>
    </row>
    <row r="3" spans="1:14" x14ac:dyDescent="0.25">
      <c r="A3" t="s">
        <v>32</v>
      </c>
      <c r="B3" t="s">
        <v>33</v>
      </c>
      <c r="F3" t="s">
        <v>29</v>
      </c>
      <c r="G3">
        <v>1</v>
      </c>
      <c r="H3">
        <v>5</v>
      </c>
      <c r="I3">
        <v>4.7430000000000003</v>
      </c>
      <c r="J3">
        <v>5.9499999999999997E-2</v>
      </c>
      <c r="K3">
        <v>1</v>
      </c>
      <c r="L3">
        <f t="shared" ref="L3:L24" si="0">(J3+$B$27)/$B$26</f>
        <v>0.87690355329949232</v>
      </c>
      <c r="M3">
        <f t="shared" ref="M3:M22" si="1">H3*L3</f>
        <v>4.3845177664974617</v>
      </c>
      <c r="N3" t="s">
        <v>34</v>
      </c>
    </row>
    <row r="4" spans="1:14" x14ac:dyDescent="0.25">
      <c r="A4" t="s">
        <v>35</v>
      </c>
      <c r="B4" t="s">
        <v>36</v>
      </c>
      <c r="F4" t="s">
        <v>29</v>
      </c>
      <c r="G4">
        <v>1</v>
      </c>
      <c r="H4">
        <v>10</v>
      </c>
      <c r="I4">
        <v>4.7430000000000003</v>
      </c>
      <c r="J4">
        <v>0.16769999999999999</v>
      </c>
      <c r="K4">
        <v>2</v>
      </c>
      <c r="L4">
        <f t="shared" si="0"/>
        <v>2.25</v>
      </c>
      <c r="M4">
        <f t="shared" si="1"/>
        <v>22.5</v>
      </c>
      <c r="N4" t="s">
        <v>37</v>
      </c>
    </row>
    <row r="5" spans="1:14" x14ac:dyDescent="0.25">
      <c r="A5" t="s">
        <v>38</v>
      </c>
      <c r="B5" t="s">
        <v>39</v>
      </c>
      <c r="F5" t="s">
        <v>29</v>
      </c>
      <c r="G5">
        <v>1</v>
      </c>
      <c r="H5">
        <v>20</v>
      </c>
      <c r="I5">
        <v>4.7430000000000003</v>
      </c>
      <c r="J5">
        <v>0.36969999999999997</v>
      </c>
      <c r="K5">
        <v>5</v>
      </c>
      <c r="L5">
        <f t="shared" si="0"/>
        <v>4.813451776649746</v>
      </c>
      <c r="M5">
        <f t="shared" si="1"/>
        <v>96.26903553299492</v>
      </c>
      <c r="N5" t="s">
        <v>40</v>
      </c>
    </row>
    <row r="6" spans="1:14" x14ac:dyDescent="0.25">
      <c r="A6" t="s">
        <v>41</v>
      </c>
      <c r="B6" t="s">
        <v>42</v>
      </c>
      <c r="F6" t="s">
        <v>29</v>
      </c>
      <c r="G6">
        <v>1</v>
      </c>
      <c r="H6">
        <v>50</v>
      </c>
      <c r="I6">
        <v>4.7430000000000003</v>
      </c>
      <c r="J6">
        <v>0.76300000000000001</v>
      </c>
      <c r="K6">
        <v>10</v>
      </c>
      <c r="L6">
        <f t="shared" si="0"/>
        <v>9.804568527918784</v>
      </c>
      <c r="M6">
        <f>H6*L6</f>
        <v>490.22842639593921</v>
      </c>
      <c r="N6" t="s">
        <v>43</v>
      </c>
    </row>
    <row r="7" spans="1:14" x14ac:dyDescent="0.25">
      <c r="A7" t="s">
        <v>44</v>
      </c>
      <c r="B7" t="s">
        <v>45</v>
      </c>
      <c r="F7" t="s">
        <v>29</v>
      </c>
      <c r="G7">
        <v>1</v>
      </c>
      <c r="H7">
        <v>100</v>
      </c>
      <c r="I7">
        <v>4.74</v>
      </c>
      <c r="J7">
        <v>1.5751999999999999</v>
      </c>
      <c r="K7">
        <v>20</v>
      </c>
      <c r="L7">
        <f t="shared" si="0"/>
        <v>20.111675126903556</v>
      </c>
      <c r="M7">
        <f t="shared" si="1"/>
        <v>2011.1675126903556</v>
      </c>
      <c r="N7" t="s">
        <v>46</v>
      </c>
    </row>
    <row r="8" spans="1:14" x14ac:dyDescent="0.25">
      <c r="A8">
        <v>1</v>
      </c>
      <c r="B8" t="s">
        <v>47</v>
      </c>
      <c r="F8" t="s">
        <v>29</v>
      </c>
      <c r="G8">
        <v>1</v>
      </c>
      <c r="H8">
        <v>0</v>
      </c>
      <c r="I8">
        <v>4.7469999999999999</v>
      </c>
      <c r="J8">
        <v>8.6E-3</v>
      </c>
      <c r="L8">
        <f t="shared" si="0"/>
        <v>0.23096446700507617</v>
      </c>
      <c r="M8">
        <f t="shared" si="1"/>
        <v>0</v>
      </c>
      <c r="N8" t="s">
        <v>31</v>
      </c>
    </row>
    <row r="9" spans="1:14" x14ac:dyDescent="0.25">
      <c r="A9">
        <v>2</v>
      </c>
      <c r="B9" t="s">
        <v>48</v>
      </c>
      <c r="F9" t="s">
        <v>29</v>
      </c>
      <c r="G9">
        <v>1</v>
      </c>
      <c r="H9">
        <v>20</v>
      </c>
      <c r="I9">
        <v>4.7469999999999999</v>
      </c>
      <c r="J9">
        <v>0.42749999999999999</v>
      </c>
      <c r="L9">
        <f t="shared" si="0"/>
        <v>5.5469543147208125</v>
      </c>
      <c r="M9">
        <f t="shared" si="1"/>
        <v>110.93908629441626</v>
      </c>
      <c r="N9" t="s">
        <v>49</v>
      </c>
    </row>
    <row r="10" spans="1:14" x14ac:dyDescent="0.25">
      <c r="A10">
        <v>3</v>
      </c>
      <c r="B10" t="s">
        <v>50</v>
      </c>
      <c r="C10">
        <v>20</v>
      </c>
      <c r="D10">
        <v>10</v>
      </c>
      <c r="E10" t="s">
        <v>51</v>
      </c>
      <c r="F10" t="s">
        <v>29</v>
      </c>
      <c r="G10">
        <v>1</v>
      </c>
      <c r="H10">
        <v>5</v>
      </c>
      <c r="I10" t="s">
        <v>30</v>
      </c>
      <c r="J10" t="s">
        <v>30</v>
      </c>
      <c r="L10" t="e">
        <f t="shared" si="0"/>
        <v>#VALUE!</v>
      </c>
      <c r="M10" t="e">
        <f t="shared" si="1"/>
        <v>#VALUE!</v>
      </c>
      <c r="N10" t="s">
        <v>52</v>
      </c>
    </row>
    <row r="11" spans="1:14" x14ac:dyDescent="0.25">
      <c r="A11">
        <v>4</v>
      </c>
      <c r="B11" t="s">
        <v>53</v>
      </c>
      <c r="C11">
        <v>20</v>
      </c>
      <c r="D11">
        <v>40</v>
      </c>
      <c r="E11" t="s">
        <v>51</v>
      </c>
      <c r="F11" t="s">
        <v>29</v>
      </c>
      <c r="G11">
        <v>1</v>
      </c>
      <c r="H11">
        <v>5</v>
      </c>
      <c r="I11" t="s">
        <v>30</v>
      </c>
      <c r="J11" t="s">
        <v>30</v>
      </c>
      <c r="L11" t="e">
        <f t="shared" si="0"/>
        <v>#VALUE!</v>
      </c>
      <c r="M11" t="e">
        <f t="shared" si="1"/>
        <v>#VALUE!</v>
      </c>
      <c r="N11" t="s">
        <v>54</v>
      </c>
    </row>
    <row r="12" spans="1:14" x14ac:dyDescent="0.25">
      <c r="A12">
        <v>5</v>
      </c>
      <c r="B12" t="s">
        <v>55</v>
      </c>
      <c r="C12">
        <v>20</v>
      </c>
      <c r="D12">
        <v>50</v>
      </c>
      <c r="E12" t="s">
        <v>51</v>
      </c>
      <c r="F12" t="s">
        <v>29</v>
      </c>
      <c r="G12">
        <v>1</v>
      </c>
      <c r="H12">
        <v>5</v>
      </c>
      <c r="I12" t="s">
        <v>30</v>
      </c>
      <c r="J12" t="s">
        <v>30</v>
      </c>
      <c r="L12" t="e">
        <f t="shared" si="0"/>
        <v>#VALUE!</v>
      </c>
      <c r="M12" t="e">
        <f t="shared" si="1"/>
        <v>#VALUE!</v>
      </c>
      <c r="N12" t="s">
        <v>56</v>
      </c>
    </row>
    <row r="13" spans="1:14" x14ac:dyDescent="0.25">
      <c r="A13">
        <v>6</v>
      </c>
      <c r="B13" t="s">
        <v>57</v>
      </c>
      <c r="C13">
        <v>20</v>
      </c>
      <c r="D13">
        <v>60</v>
      </c>
      <c r="E13" t="s">
        <v>51</v>
      </c>
      <c r="F13" t="s">
        <v>29</v>
      </c>
      <c r="G13">
        <v>1</v>
      </c>
      <c r="H13">
        <v>5</v>
      </c>
      <c r="I13" t="s">
        <v>30</v>
      </c>
      <c r="J13" t="s">
        <v>30</v>
      </c>
      <c r="L13" t="e">
        <f t="shared" si="0"/>
        <v>#VALUE!</v>
      </c>
      <c r="M13" t="e">
        <f t="shared" si="1"/>
        <v>#VALUE!</v>
      </c>
      <c r="N13" t="s">
        <v>58</v>
      </c>
    </row>
    <row r="14" spans="1:14" x14ac:dyDescent="0.25">
      <c r="A14">
        <v>7</v>
      </c>
      <c r="B14" t="s">
        <v>59</v>
      </c>
      <c r="C14">
        <v>20</v>
      </c>
      <c r="D14">
        <v>70</v>
      </c>
      <c r="E14" t="s">
        <v>51</v>
      </c>
      <c r="F14" t="s">
        <v>29</v>
      </c>
      <c r="G14">
        <v>1</v>
      </c>
      <c r="H14">
        <v>5</v>
      </c>
      <c r="I14" t="s">
        <v>30</v>
      </c>
      <c r="J14" t="s">
        <v>30</v>
      </c>
      <c r="L14" t="e">
        <f t="shared" si="0"/>
        <v>#VALUE!</v>
      </c>
      <c r="M14" t="e">
        <f t="shared" si="1"/>
        <v>#VALUE!</v>
      </c>
      <c r="N14" t="s">
        <v>60</v>
      </c>
    </row>
    <row r="15" spans="1:14" x14ac:dyDescent="0.25">
      <c r="A15">
        <v>8</v>
      </c>
      <c r="B15" t="s">
        <v>61</v>
      </c>
      <c r="C15">
        <v>20</v>
      </c>
      <c r="D15">
        <v>80</v>
      </c>
      <c r="E15" t="s">
        <v>51</v>
      </c>
      <c r="F15" t="s">
        <v>29</v>
      </c>
      <c r="G15">
        <v>1</v>
      </c>
      <c r="H15">
        <v>5</v>
      </c>
      <c r="I15" t="s">
        <v>30</v>
      </c>
      <c r="J15" t="s">
        <v>30</v>
      </c>
      <c r="L15" t="e">
        <f t="shared" si="0"/>
        <v>#VALUE!</v>
      </c>
      <c r="M15" t="e">
        <f t="shared" si="1"/>
        <v>#VALUE!</v>
      </c>
      <c r="N15" t="s">
        <v>62</v>
      </c>
    </row>
    <row r="16" spans="1:14" x14ac:dyDescent="0.25">
      <c r="A16">
        <v>9</v>
      </c>
      <c r="B16" t="s">
        <v>63</v>
      </c>
      <c r="C16">
        <v>20</v>
      </c>
      <c r="D16">
        <v>100</v>
      </c>
      <c r="E16" t="s">
        <v>51</v>
      </c>
      <c r="F16" t="s">
        <v>29</v>
      </c>
      <c r="G16">
        <v>1</v>
      </c>
      <c r="H16">
        <v>5</v>
      </c>
      <c r="I16" t="s">
        <v>30</v>
      </c>
      <c r="J16" t="s">
        <v>30</v>
      </c>
      <c r="L16" t="e">
        <f t="shared" si="0"/>
        <v>#VALUE!</v>
      </c>
      <c r="M16" t="e">
        <f t="shared" si="1"/>
        <v>#VALUE!</v>
      </c>
      <c r="N16" t="s">
        <v>64</v>
      </c>
    </row>
    <row r="17" spans="1:14" x14ac:dyDescent="0.25">
      <c r="A17">
        <v>10</v>
      </c>
      <c r="B17" t="s">
        <v>65</v>
      </c>
      <c r="C17">
        <v>20</v>
      </c>
      <c r="D17">
        <v>30</v>
      </c>
      <c r="E17" t="s">
        <v>66</v>
      </c>
      <c r="F17" t="s">
        <v>29</v>
      </c>
      <c r="G17">
        <v>1</v>
      </c>
      <c r="H17">
        <v>5</v>
      </c>
      <c r="I17" t="s">
        <v>30</v>
      </c>
      <c r="J17" t="s">
        <v>30</v>
      </c>
      <c r="L17" t="e">
        <f t="shared" si="0"/>
        <v>#VALUE!</v>
      </c>
      <c r="M17" t="e">
        <f t="shared" si="1"/>
        <v>#VALUE!</v>
      </c>
      <c r="N17" t="s">
        <v>67</v>
      </c>
    </row>
    <row r="18" spans="1:14" x14ac:dyDescent="0.25">
      <c r="A18">
        <v>11</v>
      </c>
      <c r="B18" t="s">
        <v>68</v>
      </c>
      <c r="C18">
        <v>20</v>
      </c>
      <c r="D18">
        <v>90</v>
      </c>
      <c r="E18" t="s">
        <v>66</v>
      </c>
      <c r="F18" t="s">
        <v>29</v>
      </c>
      <c r="G18">
        <v>1</v>
      </c>
      <c r="H18">
        <v>5</v>
      </c>
      <c r="I18" t="s">
        <v>30</v>
      </c>
      <c r="J18" t="s">
        <v>30</v>
      </c>
      <c r="L18" t="e">
        <f t="shared" si="0"/>
        <v>#VALUE!</v>
      </c>
      <c r="M18" t="e">
        <f t="shared" si="1"/>
        <v>#VALUE!</v>
      </c>
      <c r="N18" t="s">
        <v>69</v>
      </c>
    </row>
    <row r="19" spans="1:14" x14ac:dyDescent="0.25">
      <c r="A19">
        <v>12</v>
      </c>
      <c r="B19" t="s">
        <v>70</v>
      </c>
      <c r="C19">
        <v>20</v>
      </c>
      <c r="D19">
        <v>100</v>
      </c>
      <c r="E19" t="s">
        <v>66</v>
      </c>
      <c r="F19" t="s">
        <v>29</v>
      </c>
      <c r="G19">
        <v>1</v>
      </c>
      <c r="H19">
        <v>5</v>
      </c>
      <c r="I19" t="s">
        <v>30</v>
      </c>
      <c r="J19" t="s">
        <v>30</v>
      </c>
      <c r="L19" t="e">
        <f t="shared" si="0"/>
        <v>#VALUE!</v>
      </c>
      <c r="M19" t="e">
        <f t="shared" si="1"/>
        <v>#VALUE!</v>
      </c>
      <c r="N19" t="s">
        <v>71</v>
      </c>
    </row>
    <row r="20" spans="1:14" x14ac:dyDescent="0.25">
      <c r="A20">
        <v>13</v>
      </c>
      <c r="B20" t="s">
        <v>72</v>
      </c>
      <c r="C20">
        <v>10</v>
      </c>
      <c r="D20">
        <v>90</v>
      </c>
      <c r="E20" t="s">
        <v>51</v>
      </c>
      <c r="F20" t="s">
        <v>29</v>
      </c>
      <c r="G20">
        <v>1</v>
      </c>
      <c r="H20">
        <v>25</v>
      </c>
      <c r="I20" t="s">
        <v>30</v>
      </c>
      <c r="J20" t="s">
        <v>30</v>
      </c>
      <c r="L20" t="e">
        <f t="shared" si="0"/>
        <v>#VALUE!</v>
      </c>
      <c r="M20" t="e">
        <f t="shared" si="1"/>
        <v>#VALUE!</v>
      </c>
      <c r="N20" t="s">
        <v>73</v>
      </c>
    </row>
    <row r="21" spans="1:14" x14ac:dyDescent="0.25">
      <c r="A21">
        <v>14</v>
      </c>
      <c r="B21" t="s">
        <v>70</v>
      </c>
      <c r="C21">
        <v>20</v>
      </c>
      <c r="D21">
        <v>100</v>
      </c>
      <c r="E21" t="s">
        <v>66</v>
      </c>
      <c r="F21" t="s">
        <v>29</v>
      </c>
      <c r="G21">
        <v>1</v>
      </c>
      <c r="H21">
        <v>25</v>
      </c>
      <c r="I21" t="s">
        <v>30</v>
      </c>
      <c r="J21" t="s">
        <v>30</v>
      </c>
      <c r="L21" t="e">
        <f t="shared" si="0"/>
        <v>#VALUE!</v>
      </c>
      <c r="M21" t="e">
        <f t="shared" si="1"/>
        <v>#VALUE!</v>
      </c>
      <c r="N21" t="s">
        <v>74</v>
      </c>
    </row>
    <row r="22" spans="1:14" x14ac:dyDescent="0.25">
      <c r="A22">
        <v>15</v>
      </c>
      <c r="B22" t="s">
        <v>48</v>
      </c>
      <c r="F22" t="s">
        <v>29</v>
      </c>
      <c r="G22">
        <v>1</v>
      </c>
      <c r="H22">
        <v>20</v>
      </c>
      <c r="I22">
        <v>4.7430000000000003</v>
      </c>
      <c r="J22">
        <v>0.42670000000000002</v>
      </c>
      <c r="L22">
        <f t="shared" si="0"/>
        <v>5.5368020304568537</v>
      </c>
      <c r="M22">
        <f t="shared" si="1"/>
        <v>110.73604060913708</v>
      </c>
      <c r="N22" t="s">
        <v>49</v>
      </c>
    </row>
    <row r="23" spans="1:14" x14ac:dyDescent="0.25">
      <c r="A23">
        <v>16</v>
      </c>
      <c r="B23" t="s">
        <v>28</v>
      </c>
      <c r="F23" t="s">
        <v>29</v>
      </c>
      <c r="G23">
        <v>1</v>
      </c>
      <c r="H23">
        <v>0</v>
      </c>
      <c r="I23" t="s">
        <v>30</v>
      </c>
      <c r="J23" t="s">
        <v>30</v>
      </c>
      <c r="L23" t="e">
        <f t="shared" si="0"/>
        <v>#VALUE!</v>
      </c>
      <c r="M23" t="e">
        <f>H23*L23</f>
        <v>#VALUE!</v>
      </c>
      <c r="N23" t="s">
        <v>31</v>
      </c>
    </row>
    <row r="24" spans="1:14" x14ac:dyDescent="0.25">
      <c r="A24">
        <v>17</v>
      </c>
      <c r="B24" t="s">
        <v>28</v>
      </c>
      <c r="F24" t="s">
        <v>29</v>
      </c>
      <c r="G24">
        <v>1</v>
      </c>
      <c r="H24">
        <v>0</v>
      </c>
      <c r="I24" t="s">
        <v>30</v>
      </c>
      <c r="J24" t="s">
        <v>30</v>
      </c>
      <c r="L24" t="e">
        <f t="shared" si="0"/>
        <v>#VALUE!</v>
      </c>
      <c r="M24" t="e">
        <f t="shared" ref="M24" si="2">H24*L24</f>
        <v>#VALUE!</v>
      </c>
      <c r="N24" t="s">
        <v>31</v>
      </c>
    </row>
    <row r="26" spans="1:14" x14ac:dyDescent="0.25">
      <c r="A26" t="s">
        <v>75</v>
      </c>
      <c r="B26">
        <v>7.8799999999999995E-2</v>
      </c>
    </row>
    <row r="27" spans="1:14" x14ac:dyDescent="0.25">
      <c r="A27" t="s">
        <v>76</v>
      </c>
      <c r="B27">
        <v>9.5999999999999992E-3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B03D-25F3-4824-9343-AFD99BFEDC49}">
  <dimension ref="A1:AI32"/>
  <sheetViews>
    <sheetView zoomScale="70" zoomScaleNormal="70" workbookViewId="0">
      <selection activeCell="P20" sqref="A20:P20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149</v>
      </c>
      <c r="K1" s="19" t="s">
        <v>150</v>
      </c>
      <c r="L1" s="19" t="s">
        <v>151</v>
      </c>
      <c r="M1" s="3" t="s">
        <v>20</v>
      </c>
      <c r="N1" s="19" t="s">
        <v>152</v>
      </c>
      <c r="O1" s="19" t="s">
        <v>153</v>
      </c>
      <c r="P1" s="3" t="s">
        <v>26</v>
      </c>
      <c r="S1" s="1" t="s">
        <v>86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c_Nitrate_ calib_ppm</v>
      </c>
      <c r="AG1" s="1" t="s">
        <v>154</v>
      </c>
    </row>
    <row r="2" spans="1:35" x14ac:dyDescent="0.25">
      <c r="A2" s="5" t="s">
        <v>27</v>
      </c>
      <c r="B2" s="5" t="s">
        <v>28</v>
      </c>
      <c r="C2" s="5"/>
      <c r="D2" s="5"/>
      <c r="E2" s="5"/>
      <c r="F2" s="5" t="s">
        <v>29</v>
      </c>
      <c r="G2" s="5">
        <v>1</v>
      </c>
      <c r="H2" s="25">
        <v>0</v>
      </c>
      <c r="I2" s="8">
        <v>0</v>
      </c>
      <c r="J2" s="8">
        <v>0</v>
      </c>
      <c r="K2" s="8">
        <v>0</v>
      </c>
      <c r="L2" s="8">
        <v>0</v>
      </c>
      <c r="M2" s="5">
        <v>0</v>
      </c>
      <c r="N2" s="8"/>
      <c r="O2" s="8"/>
      <c r="P2" s="5" t="s">
        <v>31</v>
      </c>
      <c r="T2" s="21" t="str">
        <f t="shared" si="0"/>
        <v>Cal 1</v>
      </c>
      <c r="U2" s="22" t="str">
        <f t="shared" si="0"/>
        <v>Blank</v>
      </c>
      <c r="V2" s="22" t="str">
        <f t="shared" si="1"/>
        <v>23.11.2023</v>
      </c>
      <c r="W2" s="22">
        <f t="shared" si="1"/>
        <v>1</v>
      </c>
      <c r="X2" s="23">
        <f t="shared" si="2"/>
        <v>0</v>
      </c>
      <c r="Y2" s="24">
        <f t="shared" si="3"/>
        <v>0</v>
      </c>
      <c r="Z2" s="24">
        <f t="shared" si="3"/>
        <v>0</v>
      </c>
      <c r="AA2" s="22">
        <f t="shared" si="3"/>
        <v>0</v>
      </c>
      <c r="AG2" s="3" t="s">
        <v>87</v>
      </c>
      <c r="AH2" s="3" t="s">
        <v>88</v>
      </c>
    </row>
    <row r="3" spans="1:35" x14ac:dyDescent="0.25">
      <c r="A3" s="5" t="s">
        <v>32</v>
      </c>
      <c r="B3" s="5" t="s">
        <v>33</v>
      </c>
      <c r="C3" s="5"/>
      <c r="D3" s="5"/>
      <c r="E3" s="5"/>
      <c r="F3" s="5" t="s">
        <v>29</v>
      </c>
      <c r="G3" s="5">
        <v>1</v>
      </c>
      <c r="H3" s="25">
        <v>5.1769999999999996</v>
      </c>
      <c r="I3" s="8">
        <v>0.19769999999999999</v>
      </c>
      <c r="J3" s="8">
        <v>1</v>
      </c>
      <c r="K3" s="8">
        <f t="shared" ref="K3:K24" si="4">IF(H3="NA", "NA", ((I3-($AH$3))/$AG$3))</f>
        <v>1.4554749303493744</v>
      </c>
      <c r="L3" s="8">
        <v>1.5421</v>
      </c>
      <c r="M3" s="5">
        <v>100</v>
      </c>
      <c r="N3" s="8"/>
      <c r="O3" s="8"/>
      <c r="P3" s="5" t="s">
        <v>34</v>
      </c>
      <c r="T3" s="4" t="str">
        <f t="shared" si="0"/>
        <v>Cal 2</v>
      </c>
      <c r="U3" s="5" t="str">
        <f t="shared" si="0"/>
        <v>x 100</v>
      </c>
      <c r="V3" s="5" t="str">
        <f t="shared" si="1"/>
        <v>23.11.2023</v>
      </c>
      <c r="W3" s="5">
        <f t="shared" si="1"/>
        <v>1</v>
      </c>
      <c r="X3" s="20">
        <f t="shared" si="2"/>
        <v>100</v>
      </c>
      <c r="Y3" s="8">
        <f t="shared" si="3"/>
        <v>5.1769999999999996</v>
      </c>
      <c r="Z3" s="8">
        <f t="shared" si="3"/>
        <v>0.19769999999999999</v>
      </c>
      <c r="AA3" s="5">
        <f t="shared" si="3"/>
        <v>1</v>
      </c>
      <c r="AF3" t="s">
        <v>89</v>
      </c>
      <c r="AG3" s="8" cm="1">
        <f t="array" ref="AG3:AH7">LINEST(Z2:Z7,AA2:AA7, TRUE, TRUE)</f>
        <v>0.1133455069124424</v>
      </c>
      <c r="AH3" s="8">
        <v>3.2728456221198354E-2</v>
      </c>
      <c r="AI3" s="9" t="s">
        <v>90</v>
      </c>
    </row>
    <row r="4" spans="1:35" x14ac:dyDescent="0.25">
      <c r="A4" s="5" t="s">
        <v>35</v>
      </c>
      <c r="B4" s="5" t="s">
        <v>36</v>
      </c>
      <c r="C4" s="5"/>
      <c r="D4" s="5"/>
      <c r="E4" s="5"/>
      <c r="F4" s="5" t="s">
        <v>29</v>
      </c>
      <c r="G4" s="5">
        <v>1</v>
      </c>
      <c r="H4" s="25">
        <v>5.1769999999999996</v>
      </c>
      <c r="I4" s="8">
        <v>0.24929999999999999</v>
      </c>
      <c r="J4" s="8">
        <v>2</v>
      </c>
      <c r="K4" s="8">
        <f t="shared" si="4"/>
        <v>1.9107201483169485</v>
      </c>
      <c r="L4" s="8">
        <v>1.9944</v>
      </c>
      <c r="M4" s="5">
        <v>50</v>
      </c>
      <c r="N4" s="8"/>
      <c r="O4" s="8"/>
      <c r="P4" s="5" t="s">
        <v>37</v>
      </c>
      <c r="T4" s="4" t="str">
        <f t="shared" si="0"/>
        <v>Cal 3</v>
      </c>
      <c r="U4" s="5" t="str">
        <f t="shared" si="0"/>
        <v>x 50</v>
      </c>
      <c r="V4" s="5" t="str">
        <f t="shared" si="1"/>
        <v>23.11.2023</v>
      </c>
      <c r="W4" s="5">
        <f t="shared" si="1"/>
        <v>1</v>
      </c>
      <c r="X4" s="20">
        <f t="shared" si="2"/>
        <v>50</v>
      </c>
      <c r="Y4" s="8">
        <f t="shared" si="3"/>
        <v>5.1769999999999996</v>
      </c>
      <c r="Z4" s="8">
        <f t="shared" si="3"/>
        <v>0.24929999999999999</v>
      </c>
      <c r="AA4" s="5">
        <f t="shared" si="3"/>
        <v>2</v>
      </c>
      <c r="AF4" t="s">
        <v>91</v>
      </c>
      <c r="AG4" s="8">
        <v>2.1239884741435181E-3</v>
      </c>
      <c r="AH4" s="8">
        <v>1.9962478679997345E-2</v>
      </c>
      <c r="AI4" t="s">
        <v>92</v>
      </c>
    </row>
    <row r="5" spans="1:35" x14ac:dyDescent="0.25">
      <c r="A5" s="5" t="s">
        <v>38</v>
      </c>
      <c r="B5" s="5" t="s">
        <v>39</v>
      </c>
      <c r="C5" s="5"/>
      <c r="D5" s="5"/>
      <c r="E5" s="5"/>
      <c r="F5" s="5" t="s">
        <v>29</v>
      </c>
      <c r="G5" s="5">
        <v>1</v>
      </c>
      <c r="H5" s="25">
        <v>5.173</v>
      </c>
      <c r="I5" s="8">
        <v>0.57310000000000005</v>
      </c>
      <c r="J5" s="8">
        <v>5</v>
      </c>
      <c r="K5" s="8">
        <f t="shared" si="4"/>
        <v>4.7674721168809109</v>
      </c>
      <c r="L5" s="8">
        <v>4.835</v>
      </c>
      <c r="M5" s="5">
        <v>20</v>
      </c>
      <c r="N5" s="8"/>
      <c r="O5" s="8"/>
      <c r="P5" s="5" t="s">
        <v>40</v>
      </c>
      <c r="T5" s="4" t="str">
        <f t="shared" si="0"/>
        <v>Cal 4</v>
      </c>
      <c r="U5" s="5" t="str">
        <f t="shared" si="0"/>
        <v>x 20</v>
      </c>
      <c r="V5" s="5" t="str">
        <f t="shared" si="1"/>
        <v>23.11.2023</v>
      </c>
      <c r="W5" s="5">
        <f t="shared" si="1"/>
        <v>1</v>
      </c>
      <c r="X5" s="20">
        <f t="shared" si="2"/>
        <v>20</v>
      </c>
      <c r="Y5" s="8">
        <f t="shared" si="3"/>
        <v>5.173</v>
      </c>
      <c r="Z5" s="8">
        <f t="shared" si="3"/>
        <v>0.57310000000000005</v>
      </c>
      <c r="AA5" s="5">
        <f t="shared" si="3"/>
        <v>5</v>
      </c>
      <c r="AF5" t="s">
        <v>93</v>
      </c>
      <c r="AG5" s="8">
        <v>0.99859736039240432</v>
      </c>
      <c r="AH5" s="8">
        <v>3.6128621475867928E-2</v>
      </c>
      <c r="AI5" t="s">
        <v>94</v>
      </c>
    </row>
    <row r="6" spans="1:35" x14ac:dyDescent="0.25">
      <c r="A6" s="5" t="s">
        <v>41</v>
      </c>
      <c r="B6" s="5" t="s">
        <v>42</v>
      </c>
      <c r="C6" s="5"/>
      <c r="D6" s="5"/>
      <c r="E6" s="5"/>
      <c r="F6" s="5" t="s">
        <v>29</v>
      </c>
      <c r="G6" s="5">
        <v>1</v>
      </c>
      <c r="H6" s="25">
        <v>5.173</v>
      </c>
      <c r="I6" s="8">
        <v>1.1913</v>
      </c>
      <c r="J6" s="8">
        <v>10</v>
      </c>
      <c r="K6" s="8">
        <f t="shared" si="4"/>
        <v>10.221592150748242</v>
      </c>
      <c r="L6" s="8">
        <v>10.257400000000001</v>
      </c>
      <c r="M6" s="5">
        <v>10</v>
      </c>
      <c r="N6" s="8"/>
      <c r="O6" s="8"/>
      <c r="P6" s="5" t="s">
        <v>43</v>
      </c>
      <c r="T6" s="4" t="str">
        <f t="shared" si="0"/>
        <v>Cal 5</v>
      </c>
      <c r="U6" s="5" t="str">
        <f t="shared" si="0"/>
        <v>x 10</v>
      </c>
      <c r="V6" s="5" t="str">
        <f t="shared" si="1"/>
        <v>23.11.2023</v>
      </c>
      <c r="W6" s="5">
        <f t="shared" si="1"/>
        <v>1</v>
      </c>
      <c r="X6" s="20">
        <f t="shared" si="2"/>
        <v>10</v>
      </c>
      <c r="Y6" s="8">
        <f t="shared" si="3"/>
        <v>5.173</v>
      </c>
      <c r="Z6" s="8">
        <f t="shared" si="3"/>
        <v>1.1913</v>
      </c>
      <c r="AA6" s="5">
        <f t="shared" si="3"/>
        <v>10</v>
      </c>
      <c r="AF6" t="s">
        <v>95</v>
      </c>
      <c r="AG6" s="8">
        <v>2847.7660404986646</v>
      </c>
      <c r="AH6" s="8">
        <v>4</v>
      </c>
      <c r="AI6" t="s">
        <v>96</v>
      </c>
    </row>
    <row r="7" spans="1:35" x14ac:dyDescent="0.25">
      <c r="A7" s="5" t="s">
        <v>44</v>
      </c>
      <c r="B7" s="5" t="s">
        <v>45</v>
      </c>
      <c r="C7" s="5"/>
      <c r="D7" s="5"/>
      <c r="E7" s="5"/>
      <c r="F7" s="5" t="s">
        <v>29</v>
      </c>
      <c r="G7" s="5">
        <v>1</v>
      </c>
      <c r="H7" s="25">
        <v>5.17</v>
      </c>
      <c r="I7" s="8">
        <v>2.2921</v>
      </c>
      <c r="J7" s="8">
        <v>20</v>
      </c>
      <c r="K7" s="8">
        <f t="shared" si="4"/>
        <v>19.933490134056488</v>
      </c>
      <c r="L7" s="8">
        <v>19.9131</v>
      </c>
      <c r="M7" s="5">
        <v>5</v>
      </c>
      <c r="N7" s="8"/>
      <c r="O7" s="8"/>
      <c r="P7" s="5" t="s">
        <v>46</v>
      </c>
      <c r="T7" s="4" t="str">
        <f t="shared" si="0"/>
        <v>Cal 6</v>
      </c>
      <c r="U7" s="5" t="str">
        <f t="shared" si="0"/>
        <v>x 5</v>
      </c>
      <c r="V7" s="5" t="str">
        <f t="shared" si="1"/>
        <v>23.11.2023</v>
      </c>
      <c r="W7" s="5">
        <f t="shared" si="1"/>
        <v>1</v>
      </c>
      <c r="X7" s="20">
        <f t="shared" si="2"/>
        <v>5</v>
      </c>
      <c r="Y7" s="8">
        <f t="shared" si="3"/>
        <v>5.17</v>
      </c>
      <c r="Z7" s="8">
        <f t="shared" si="3"/>
        <v>2.2921</v>
      </c>
      <c r="AA7" s="5">
        <f t="shared" si="3"/>
        <v>20</v>
      </c>
      <c r="AF7" t="s">
        <v>97</v>
      </c>
      <c r="AG7" s="8">
        <v>3.7171243391743469</v>
      </c>
      <c r="AH7" s="8">
        <v>5.2211091589861808E-3</v>
      </c>
      <c r="AI7" t="s">
        <v>98</v>
      </c>
    </row>
    <row r="8" spans="1:35" x14ac:dyDescent="0.25">
      <c r="A8" s="5">
        <v>1</v>
      </c>
      <c r="B8" s="5" t="s">
        <v>47</v>
      </c>
      <c r="C8" s="5"/>
      <c r="D8" s="5"/>
      <c r="E8" s="5"/>
      <c r="F8" s="5" t="s">
        <v>29</v>
      </c>
      <c r="G8" s="5">
        <v>1</v>
      </c>
      <c r="H8" s="25">
        <v>5.18</v>
      </c>
      <c r="I8" s="8">
        <v>1.6E-2</v>
      </c>
      <c r="J8" s="8"/>
      <c r="K8" s="8">
        <f t="shared" si="4"/>
        <v>-0.14758817245504774</v>
      </c>
      <c r="L8" s="8">
        <v>-5.1799999999999999E-2</v>
      </c>
      <c r="M8" s="5">
        <v>0</v>
      </c>
      <c r="N8" s="8"/>
      <c r="O8" s="8"/>
      <c r="P8" s="5" t="s">
        <v>31</v>
      </c>
      <c r="S8" s="1"/>
    </row>
    <row r="9" spans="1:35" x14ac:dyDescent="0.25">
      <c r="A9" s="5">
        <v>2</v>
      </c>
      <c r="B9" s="5" t="s">
        <v>48</v>
      </c>
      <c r="C9" s="5"/>
      <c r="D9" s="5"/>
      <c r="E9" s="5"/>
      <c r="F9" s="5" t="s">
        <v>29</v>
      </c>
      <c r="G9" s="5">
        <v>1</v>
      </c>
      <c r="H9" s="25">
        <v>5.1769999999999996</v>
      </c>
      <c r="I9" s="8">
        <v>0.87890000000000001</v>
      </c>
      <c r="J9" s="8"/>
      <c r="K9" s="8">
        <f t="shared" si="4"/>
        <v>7.4654176140608355</v>
      </c>
      <c r="L9" s="8">
        <v>7.5167999999999999</v>
      </c>
      <c r="M9" s="5">
        <v>20</v>
      </c>
      <c r="N9" s="8"/>
      <c r="O9" s="8"/>
      <c r="P9" s="5" t="s">
        <v>49</v>
      </c>
    </row>
    <row r="10" spans="1:35" x14ac:dyDescent="0.25">
      <c r="A10" s="5">
        <v>3</v>
      </c>
      <c r="B10" s="5" t="s">
        <v>50</v>
      </c>
      <c r="C10" s="5">
        <v>20</v>
      </c>
      <c r="D10" s="5">
        <v>10</v>
      </c>
      <c r="E10" s="5" t="s">
        <v>51</v>
      </c>
      <c r="F10" s="5" t="s">
        <v>29</v>
      </c>
      <c r="G10" s="5">
        <v>1</v>
      </c>
      <c r="H10" s="25" t="s">
        <v>148</v>
      </c>
      <c r="I10" s="8" t="s">
        <v>148</v>
      </c>
      <c r="J10" s="8"/>
      <c r="K10" s="8" t="str">
        <f t="shared" si="4"/>
        <v>NA</v>
      </c>
      <c r="L10" s="8" t="s">
        <v>148</v>
      </c>
      <c r="M10" s="5">
        <v>5</v>
      </c>
      <c r="N10" s="8" t="str">
        <f t="shared" ref="N10:N21" si="5">IF(H10="NA", "NA",M10*K10)</f>
        <v>NA</v>
      </c>
      <c r="O10" s="8" t="str">
        <f t="shared" ref="O10:O18" si="6">IF(H10="NA", "NA",M10*L10)</f>
        <v>NA</v>
      </c>
      <c r="P10" s="5" t="s">
        <v>52</v>
      </c>
    </row>
    <row r="11" spans="1:35" x14ac:dyDescent="0.25">
      <c r="A11" s="5">
        <v>4</v>
      </c>
      <c r="B11" s="5" t="s">
        <v>53</v>
      </c>
      <c r="C11" s="5">
        <v>20</v>
      </c>
      <c r="D11" s="5">
        <v>40</v>
      </c>
      <c r="E11" s="5" t="s">
        <v>51</v>
      </c>
      <c r="F11" s="5" t="s">
        <v>29</v>
      </c>
      <c r="G11" s="5">
        <v>1</v>
      </c>
      <c r="H11" s="25">
        <v>5.1769999999999996</v>
      </c>
      <c r="I11" s="8">
        <v>1.8499999999999999E-2</v>
      </c>
      <c r="J11" s="8"/>
      <c r="K11" s="8">
        <f t="shared" si="4"/>
        <v>-0.12553171809615365</v>
      </c>
      <c r="L11" s="8">
        <v>-3.0200000000000001E-2</v>
      </c>
      <c r="M11" s="5">
        <v>5</v>
      </c>
      <c r="N11" s="8">
        <f t="shared" si="5"/>
        <v>-0.62765859048076833</v>
      </c>
      <c r="O11" s="8">
        <f t="shared" si="6"/>
        <v>-0.151</v>
      </c>
      <c r="P11" s="5" t="s">
        <v>54</v>
      </c>
      <c r="S11" s="1" t="s">
        <v>99</v>
      </c>
      <c r="T11" s="10"/>
      <c r="U11" s="11" t="s">
        <v>100</v>
      </c>
      <c r="V11" s="12" t="s">
        <v>101</v>
      </c>
    </row>
    <row r="12" spans="1:35" x14ac:dyDescent="0.25">
      <c r="A12" s="5">
        <v>5</v>
      </c>
      <c r="B12" s="5" t="s">
        <v>55</v>
      </c>
      <c r="C12" s="5">
        <v>20</v>
      </c>
      <c r="D12" s="5">
        <v>50</v>
      </c>
      <c r="E12" s="5" t="s">
        <v>51</v>
      </c>
      <c r="F12" s="5" t="s">
        <v>29</v>
      </c>
      <c r="G12" s="5">
        <v>1</v>
      </c>
      <c r="H12" s="25" t="s">
        <v>148</v>
      </c>
      <c r="I12" s="8" t="s">
        <v>148</v>
      </c>
      <c r="J12" s="8"/>
      <c r="K12" s="8" t="str">
        <f t="shared" si="4"/>
        <v>NA</v>
      </c>
      <c r="L12" s="8" t="s">
        <v>148</v>
      </c>
      <c r="M12" s="5">
        <v>5</v>
      </c>
      <c r="N12" s="8" t="str">
        <f t="shared" si="5"/>
        <v>NA</v>
      </c>
      <c r="O12" s="8" t="str">
        <f t="shared" si="6"/>
        <v>NA</v>
      </c>
      <c r="P12" s="5" t="s">
        <v>56</v>
      </c>
      <c r="T12" s="13" t="s">
        <v>133</v>
      </c>
      <c r="U12" s="8">
        <f xml:space="preserve"> AVERAGE(I8,I23,I24)+3*STDEV(I8,I23,I24)</f>
        <v>2.1188225099390855E-2</v>
      </c>
      <c r="V12" s="8">
        <f xml:space="preserve"> AVERAGE(I8,I23,I24)+10*STDEV(I8,I23,I24)</f>
        <v>3.702741699796952E-2</v>
      </c>
    </row>
    <row r="13" spans="1:35" x14ac:dyDescent="0.25">
      <c r="A13" s="5">
        <v>6</v>
      </c>
      <c r="B13" s="5" t="s">
        <v>57</v>
      </c>
      <c r="C13" s="5">
        <v>20</v>
      </c>
      <c r="D13" s="5">
        <v>60</v>
      </c>
      <c r="E13" s="5" t="s">
        <v>51</v>
      </c>
      <c r="F13" s="5" t="s">
        <v>29</v>
      </c>
      <c r="G13" s="5">
        <v>1</v>
      </c>
      <c r="H13" s="25">
        <v>5.1769999999999996</v>
      </c>
      <c r="I13" s="8">
        <v>1.32E-2</v>
      </c>
      <c r="J13" s="8"/>
      <c r="K13" s="8">
        <f t="shared" si="4"/>
        <v>-0.17229140133700913</v>
      </c>
      <c r="L13" s="8">
        <v>-7.6600000000000001E-2</v>
      </c>
      <c r="M13" s="5">
        <v>5</v>
      </c>
      <c r="N13" s="8">
        <f t="shared" si="5"/>
        <v>-0.86145700668504566</v>
      </c>
      <c r="O13" s="8">
        <f t="shared" si="6"/>
        <v>-0.38300000000000001</v>
      </c>
      <c r="P13" s="5" t="s">
        <v>58</v>
      </c>
      <c r="T13" s="13" t="s">
        <v>127</v>
      </c>
      <c r="U13" s="8">
        <f xml:space="preserve"> AVERAGE(K8,K23,K24)+3*STDEV(K8,K23,K24)</f>
        <v>-0.10181463241169444</v>
      </c>
      <c r="V13" s="8">
        <f xml:space="preserve"> AVERAGE(K8,K23,K24)+10*STDEV(K8,K23,K24)</f>
        <v>3.7927932865411684E-2</v>
      </c>
    </row>
    <row r="14" spans="1:35" x14ac:dyDescent="0.25">
      <c r="A14" s="5">
        <v>7</v>
      </c>
      <c r="B14" s="5" t="s">
        <v>59</v>
      </c>
      <c r="C14" s="5">
        <v>20</v>
      </c>
      <c r="D14" s="5">
        <v>70</v>
      </c>
      <c r="E14" s="5" t="s">
        <v>51</v>
      </c>
      <c r="F14" s="5" t="s">
        <v>29</v>
      </c>
      <c r="G14" s="5">
        <v>1</v>
      </c>
      <c r="H14" s="25" t="s">
        <v>148</v>
      </c>
      <c r="I14" s="8" t="s">
        <v>148</v>
      </c>
      <c r="J14" s="8"/>
      <c r="K14" s="8" t="str">
        <f t="shared" si="4"/>
        <v>NA</v>
      </c>
      <c r="L14" s="8" t="s">
        <v>148</v>
      </c>
      <c r="M14" s="5">
        <v>5</v>
      </c>
      <c r="N14" s="8" t="str">
        <f t="shared" si="5"/>
        <v>NA</v>
      </c>
      <c r="O14" s="8" t="str">
        <f t="shared" si="6"/>
        <v>NA</v>
      </c>
      <c r="P14" s="5" t="s">
        <v>60</v>
      </c>
      <c r="T14" s="13" t="s">
        <v>128</v>
      </c>
      <c r="U14" s="8">
        <f xml:space="preserve"> AVERAGE(L8,L23,L24)+3*STDEV(L8,L23,L24)</f>
        <v>-5.7545022429062384E-3</v>
      </c>
      <c r="V14" s="8">
        <f xml:space="preserve"> AVERAGE(L8,L23,L24)+10*STDEV(L8,L23,L24)</f>
        <v>0.13481832585697923</v>
      </c>
    </row>
    <row r="15" spans="1:35" x14ac:dyDescent="0.25">
      <c r="A15" s="5">
        <v>8</v>
      </c>
      <c r="B15" s="5" t="s">
        <v>61</v>
      </c>
      <c r="C15" s="5">
        <v>20</v>
      </c>
      <c r="D15" s="5">
        <v>80</v>
      </c>
      <c r="E15" s="5" t="s">
        <v>51</v>
      </c>
      <c r="F15" s="5" t="s">
        <v>29</v>
      </c>
      <c r="G15" s="5">
        <v>1</v>
      </c>
      <c r="H15" s="25">
        <v>5.1769999999999996</v>
      </c>
      <c r="I15" s="8">
        <v>1.2500000000000001E-2</v>
      </c>
      <c r="J15" s="8"/>
      <c r="K15" s="8">
        <f t="shared" si="4"/>
        <v>-0.17846720855749945</v>
      </c>
      <c r="L15" s="8">
        <v>-8.2299999999999998E-2</v>
      </c>
      <c r="M15" s="5">
        <v>5</v>
      </c>
      <c r="N15" s="8">
        <f t="shared" si="5"/>
        <v>-0.89233604278749723</v>
      </c>
      <c r="O15" s="8">
        <f t="shared" si="6"/>
        <v>-0.41149999999999998</v>
      </c>
      <c r="P15" s="5" t="s">
        <v>62</v>
      </c>
    </row>
    <row r="16" spans="1:35" x14ac:dyDescent="0.25">
      <c r="A16" s="5">
        <v>9</v>
      </c>
      <c r="B16" s="5" t="s">
        <v>63</v>
      </c>
      <c r="C16" s="5">
        <v>20</v>
      </c>
      <c r="D16" s="5">
        <v>100</v>
      </c>
      <c r="E16" s="5" t="s">
        <v>51</v>
      </c>
      <c r="F16" s="5" t="s">
        <v>29</v>
      </c>
      <c r="G16" s="5">
        <v>1</v>
      </c>
      <c r="H16" s="25">
        <v>5.1769999999999996</v>
      </c>
      <c r="I16" s="8">
        <v>1.37E-2</v>
      </c>
      <c r="J16" s="8"/>
      <c r="K16" s="8">
        <f t="shared" si="4"/>
        <v>-0.1678801104652303</v>
      </c>
      <c r="L16" s="8">
        <v>-7.1800000000000003E-2</v>
      </c>
      <c r="M16" s="5">
        <v>5</v>
      </c>
      <c r="N16" s="8">
        <f t="shared" si="5"/>
        <v>-0.83940055232615152</v>
      </c>
      <c r="O16" s="8">
        <f t="shared" si="6"/>
        <v>-0.35899999999999999</v>
      </c>
      <c r="P16" s="5" t="s">
        <v>64</v>
      </c>
      <c r="S16" s="1" t="s">
        <v>102</v>
      </c>
      <c r="T16" s="2"/>
      <c r="U16" s="3" t="s">
        <v>103</v>
      </c>
      <c r="V16" s="3" t="s">
        <v>104</v>
      </c>
      <c r="W16" s="3" t="s">
        <v>105</v>
      </c>
      <c r="X16" s="3" t="s">
        <v>106</v>
      </c>
      <c r="Y16" s="2" t="s">
        <v>107</v>
      </c>
      <c r="Z16" s="3" t="s">
        <v>108</v>
      </c>
      <c r="AA16" s="3" t="s">
        <v>109</v>
      </c>
      <c r="AB16" s="3" t="s">
        <v>110</v>
      </c>
      <c r="AC16" s="3" t="s">
        <v>111</v>
      </c>
      <c r="AD16" s="3" t="s">
        <v>112</v>
      </c>
    </row>
    <row r="17" spans="1:30" x14ac:dyDescent="0.25">
      <c r="A17" s="5">
        <v>10</v>
      </c>
      <c r="B17" s="5" t="s">
        <v>65</v>
      </c>
      <c r="C17" s="5">
        <v>20</v>
      </c>
      <c r="D17" s="5">
        <v>30</v>
      </c>
      <c r="E17" s="5" t="s">
        <v>66</v>
      </c>
      <c r="F17" s="5" t="s">
        <v>29</v>
      </c>
      <c r="G17" s="5">
        <v>1</v>
      </c>
      <c r="H17" s="25">
        <v>5.18</v>
      </c>
      <c r="I17" s="8">
        <v>0.1004</v>
      </c>
      <c r="J17" s="8"/>
      <c r="K17" s="8">
        <f t="shared" si="4"/>
        <v>0.59703772670121669</v>
      </c>
      <c r="L17" s="8">
        <v>0.6885</v>
      </c>
      <c r="M17" s="5">
        <v>5</v>
      </c>
      <c r="N17" s="8">
        <f t="shared" si="5"/>
        <v>2.9851886335060835</v>
      </c>
      <c r="O17" s="8">
        <f t="shared" si="6"/>
        <v>3.4424999999999999</v>
      </c>
      <c r="P17" s="5" t="s">
        <v>67</v>
      </c>
      <c r="T17" s="13" t="s">
        <v>141</v>
      </c>
      <c r="U17" s="25">
        <f>AVERAGE(H3:H24)</f>
        <v>5.176388888888888</v>
      </c>
      <c r="V17" s="25">
        <f>MEDIAN(H3:H24)</f>
        <v>5.1769999999999996</v>
      </c>
      <c r="W17" s="25">
        <f>STDEV(H3:H24)</f>
        <v>2.8929709721583589E-3</v>
      </c>
      <c r="X17" s="25">
        <f>W17/U17*100</f>
        <v>5.5887821302764117E-2</v>
      </c>
      <c r="Y17" s="25">
        <f>VAR(H3:H24)</f>
        <v>8.3692810457508814E-6</v>
      </c>
      <c r="Z17" s="25">
        <f>MAX(H3:H24)</f>
        <v>5.18</v>
      </c>
      <c r="AA17" s="25">
        <f>MIN(H3:H24)</f>
        <v>5.17</v>
      </c>
      <c r="AB17" s="25">
        <f>Z17-AA17</f>
        <v>9.9999999999997868E-3</v>
      </c>
      <c r="AC17" s="25">
        <f>COUNT(H3:H24)</f>
        <v>18</v>
      </c>
      <c r="AD17" s="25">
        <f>W17/SQRT(AC17)</f>
        <v>6.8187979739633823E-4</v>
      </c>
    </row>
    <row r="18" spans="1:30" x14ac:dyDescent="0.25">
      <c r="A18" s="5">
        <v>11</v>
      </c>
      <c r="B18" s="5" t="s">
        <v>68</v>
      </c>
      <c r="C18" s="5">
        <v>20</v>
      </c>
      <c r="D18" s="5">
        <v>90</v>
      </c>
      <c r="E18" s="5" t="s">
        <v>66</v>
      </c>
      <c r="F18" s="5" t="s">
        <v>29</v>
      </c>
      <c r="G18" s="5">
        <v>1</v>
      </c>
      <c r="H18" s="25">
        <v>5.18</v>
      </c>
      <c r="I18" s="8">
        <v>1.6199999999999999E-2</v>
      </c>
      <c r="J18" s="8"/>
      <c r="K18" s="8">
        <f t="shared" si="4"/>
        <v>-0.14582365610633621</v>
      </c>
      <c r="L18" s="8">
        <v>-5.04E-2</v>
      </c>
      <c r="M18" s="5">
        <v>5</v>
      </c>
      <c r="N18" s="8">
        <f t="shared" si="5"/>
        <v>-0.72911828053168104</v>
      </c>
      <c r="O18" s="8">
        <f t="shared" si="6"/>
        <v>-0.252</v>
      </c>
      <c r="P18" s="5" t="s">
        <v>69</v>
      </c>
      <c r="T18" s="13" t="s">
        <v>131</v>
      </c>
      <c r="U18" s="8">
        <f>AVERAGE(I9,I22)</f>
        <v>0.86440000000000006</v>
      </c>
      <c r="V18" s="8">
        <f>MEDIAN(I9,I22)</f>
        <v>0.86440000000000006</v>
      </c>
      <c r="W18" s="8">
        <f>STDEV(I9,I22)</f>
        <v>2.0506096654409896E-2</v>
      </c>
      <c r="X18" s="8">
        <f>W18/U18*100</f>
        <v>2.3722925329025792</v>
      </c>
      <c r="Y18" s="8">
        <f>VAR(I9,I22)</f>
        <v>4.2050000000000073E-4</v>
      </c>
      <c r="Z18" s="8">
        <f>MAX(I9,I22)</f>
        <v>0.87890000000000001</v>
      </c>
      <c r="AA18" s="8">
        <f>MIN(I9,I22)</f>
        <v>0.84989999999999999</v>
      </c>
      <c r="AB18" s="8">
        <f>Z18-AA18</f>
        <v>2.9000000000000026E-2</v>
      </c>
      <c r="AC18" s="8">
        <f>COUNT(I9,I22)</f>
        <v>2</v>
      </c>
      <c r="AD18" s="8">
        <f>W18/SQRT(AC18)</f>
        <v>1.4500000000000011E-2</v>
      </c>
    </row>
    <row r="19" spans="1:30" x14ac:dyDescent="0.25">
      <c r="A19" s="26">
        <v>12</v>
      </c>
      <c r="B19" s="26" t="s">
        <v>70</v>
      </c>
      <c r="C19" s="26">
        <v>20</v>
      </c>
      <c r="D19" s="26">
        <v>100</v>
      </c>
      <c r="E19" s="26" t="s">
        <v>66</v>
      </c>
      <c r="F19" s="26" t="s">
        <v>29</v>
      </c>
      <c r="G19" s="26">
        <v>1</v>
      </c>
      <c r="H19" s="27">
        <v>5.18</v>
      </c>
      <c r="I19" s="28">
        <v>5.21E-2</v>
      </c>
      <c r="J19" s="28"/>
      <c r="K19" s="28">
        <f t="shared" si="4"/>
        <v>0.17090702848738287</v>
      </c>
      <c r="L19" s="28">
        <v>0.26500000000000001</v>
      </c>
      <c r="M19" s="26">
        <v>5</v>
      </c>
      <c r="N19" s="28">
        <f t="shared" si="5"/>
        <v>0.85453514243691431</v>
      </c>
      <c r="O19" s="28">
        <f>IF(L19="NA", "NA",M19*L19)</f>
        <v>1.3250000000000002</v>
      </c>
      <c r="P19" s="26" t="s">
        <v>71</v>
      </c>
      <c r="T19" s="13" t="s">
        <v>113</v>
      </c>
      <c r="U19" s="8">
        <f>AVERAGE(K9,K22)</f>
        <v>7.3374901787792499</v>
      </c>
      <c r="V19" s="8">
        <f>MEDIAN(K9,K22)</f>
        <v>7.3374901787792499</v>
      </c>
      <c r="W19" s="8">
        <f>STDEV(K9,K22)</f>
        <v>0.18091671397482534</v>
      </c>
      <c r="X19" s="8">
        <f>W19/U19*100</f>
        <v>2.4656484651666646</v>
      </c>
      <c r="Y19" s="8">
        <f>VAR(K9,K22)</f>
        <v>3.2730857395448759E-2</v>
      </c>
      <c r="Z19" s="8">
        <f>MAX(K9,K22)</f>
        <v>7.4654176140608355</v>
      </c>
      <c r="AA19" s="8">
        <f>MIN(K9,K22)</f>
        <v>7.2095627434976635</v>
      </c>
      <c r="AB19" s="8">
        <f>Z19-AA19</f>
        <v>0.25585487056317202</v>
      </c>
      <c r="AC19" s="8">
        <f>COUNT(K9,K22)</f>
        <v>2</v>
      </c>
      <c r="AD19" s="8">
        <f>W19/SQRT(AC19)</f>
        <v>0.12792743528158601</v>
      </c>
    </row>
    <row r="20" spans="1:30" x14ac:dyDescent="0.25">
      <c r="A20" s="26">
        <v>13</v>
      </c>
      <c r="B20" s="26" t="s">
        <v>72</v>
      </c>
      <c r="C20" s="26">
        <v>10</v>
      </c>
      <c r="D20" s="26">
        <v>90</v>
      </c>
      <c r="E20" s="26" t="s">
        <v>51</v>
      </c>
      <c r="F20" s="26" t="s">
        <v>29</v>
      </c>
      <c r="G20" s="26">
        <v>1</v>
      </c>
      <c r="H20" s="27">
        <v>5.1769999999999996</v>
      </c>
      <c r="I20" s="28">
        <v>1.09E-2</v>
      </c>
      <c r="J20" s="28"/>
      <c r="K20" s="28">
        <f t="shared" si="4"/>
        <v>-0.19258333934719168</v>
      </c>
      <c r="L20" s="28">
        <v>-9.69E-2</v>
      </c>
      <c r="M20" s="26">
        <v>25</v>
      </c>
      <c r="N20" s="28">
        <f t="shared" si="5"/>
        <v>-4.8145834836797921</v>
      </c>
      <c r="O20" s="28">
        <f>IF(H20="NA", "NA",M20*L20)</f>
        <v>-2.4224999999999999</v>
      </c>
      <c r="P20" s="26" t="s">
        <v>73</v>
      </c>
      <c r="T20" s="13" t="s">
        <v>114</v>
      </c>
      <c r="U20" s="8">
        <f>AVERAGE(L9,L22)</f>
        <v>7.3898999999999999</v>
      </c>
      <c r="V20" s="8">
        <f>MEDIAN(L9,L22)</f>
        <v>7.3898999999999999</v>
      </c>
      <c r="W20" s="8">
        <f>STDEV(L9,L22)</f>
        <v>0.17946370106514578</v>
      </c>
      <c r="X20" s="8">
        <f>W20/U20*100</f>
        <v>2.4284997234759036</v>
      </c>
      <c r="Y20" s="8">
        <f>VAR(L9,L22)</f>
        <v>3.2207220000000009E-2</v>
      </c>
      <c r="Z20" s="8">
        <f>MAX(L9,L22)</f>
        <v>7.5167999999999999</v>
      </c>
      <c r="AA20" s="8">
        <f>MIN(L9,L22)</f>
        <v>7.2629999999999999</v>
      </c>
      <c r="AB20" s="8">
        <f>Z20-AA20</f>
        <v>0.25380000000000003</v>
      </c>
      <c r="AC20" s="8">
        <f>COUNT(L9,L22)</f>
        <v>2</v>
      </c>
      <c r="AD20" s="8">
        <f>W20/SQRT(AC20)</f>
        <v>0.12690000000000001</v>
      </c>
    </row>
    <row r="21" spans="1:30" x14ac:dyDescent="0.25">
      <c r="A21" s="29">
        <v>14</v>
      </c>
      <c r="B21" s="29" t="s">
        <v>70</v>
      </c>
      <c r="C21" s="29">
        <v>20</v>
      </c>
      <c r="D21" s="29">
        <v>100</v>
      </c>
      <c r="E21" s="29" t="s">
        <v>66</v>
      </c>
      <c r="F21" s="29" t="s">
        <v>29</v>
      </c>
      <c r="G21" s="29">
        <v>1</v>
      </c>
      <c r="H21" s="30">
        <v>5.173</v>
      </c>
      <c r="I21" s="31">
        <v>9.7000000000000003E-3</v>
      </c>
      <c r="J21" s="31"/>
      <c r="K21" s="31">
        <f t="shared" si="4"/>
        <v>-0.20317043743946084</v>
      </c>
      <c r="L21" s="31">
        <v>-0.107</v>
      </c>
      <c r="M21" s="29">
        <v>25</v>
      </c>
      <c r="N21" s="31">
        <f t="shared" si="5"/>
        <v>-5.0792609359865208</v>
      </c>
      <c r="O21" s="31">
        <f>IF(H21="NA", "NA",M21*L21)</f>
        <v>-2.6749999999999998</v>
      </c>
      <c r="P21" s="29" t="s">
        <v>74</v>
      </c>
      <c r="T21" s="13" t="s">
        <v>132</v>
      </c>
      <c r="U21" s="8">
        <f>AVERAGE(I8,I23,I24)</f>
        <v>1.44E-2</v>
      </c>
      <c r="V21" s="8">
        <f>MEDIAN(I8,I23,I24)</f>
        <v>1.44E-2</v>
      </c>
      <c r="W21" s="8">
        <f>STDEV(I8,I23,I24)</f>
        <v>2.2627416997969517E-3</v>
      </c>
      <c r="X21" s="8">
        <f t="shared" ref="X21:X23" si="7">W21/U21*100</f>
        <v>15.713484026367722</v>
      </c>
      <c r="Y21" s="8">
        <f>VAR(I8,I23,I24)</f>
        <v>5.1199999999999984E-6</v>
      </c>
      <c r="Z21" s="8">
        <f>MAX(I8,I23,I24)</f>
        <v>1.6E-2</v>
      </c>
      <c r="AA21" s="8">
        <f>MIN(I8,I23,I24)</f>
        <v>1.2800000000000001E-2</v>
      </c>
      <c r="AB21" s="8">
        <f t="shared" ref="AB21:AB23" si="8">Z21-AA21</f>
        <v>3.1999999999999997E-3</v>
      </c>
      <c r="AC21" s="8">
        <f>COUNT(I8,I23,I24)</f>
        <v>2</v>
      </c>
      <c r="AD21" s="8">
        <f t="shared" ref="AD21:AD23" si="9">W21/SQRT(AC21)</f>
        <v>1.5999999999999996E-3</v>
      </c>
    </row>
    <row r="22" spans="1:30" x14ac:dyDescent="0.25">
      <c r="A22" s="5">
        <v>15</v>
      </c>
      <c r="B22" s="5" t="s">
        <v>48</v>
      </c>
      <c r="C22" s="5"/>
      <c r="D22" s="5"/>
      <c r="E22" s="5"/>
      <c r="F22" s="5" t="s">
        <v>29</v>
      </c>
      <c r="G22" s="5">
        <v>1</v>
      </c>
      <c r="H22" s="25">
        <v>5.173</v>
      </c>
      <c r="I22" s="8">
        <v>0.84989999999999999</v>
      </c>
      <c r="J22" s="8"/>
      <c r="K22" s="8">
        <f t="shared" si="4"/>
        <v>7.2095627434976635</v>
      </c>
      <c r="L22" s="8">
        <v>7.2629999999999999</v>
      </c>
      <c r="M22" s="5"/>
      <c r="N22" s="8"/>
      <c r="O22" s="8"/>
      <c r="P22" s="5" t="s">
        <v>49</v>
      </c>
      <c r="T22" s="13" t="s">
        <v>115</v>
      </c>
      <c r="U22" s="8">
        <f>AVERAGE(K8,K23,K24)</f>
        <v>-0.16170430324473994</v>
      </c>
      <c r="V22" s="8">
        <f>MEDIAN(K8,K23,K24)</f>
        <v>-0.16170430324473994</v>
      </c>
      <c r="W22" s="8">
        <f>STDEV(K8,K23,K24)</f>
        <v>1.9963223611015164E-2</v>
      </c>
      <c r="X22" s="8">
        <f t="shared" si="7"/>
        <v>-12.345511659513949</v>
      </c>
      <c r="Y22" s="8">
        <f>VAR(K8,K23,K24)</f>
        <v>3.9853029694339329E-4</v>
      </c>
      <c r="Z22" s="8">
        <f>MAX(K8,K23,K24)</f>
        <v>-0.14758817245504774</v>
      </c>
      <c r="AA22" s="8">
        <f>MIN(K8,K23,K24)</f>
        <v>-0.17582043403443218</v>
      </c>
      <c r="AB22" s="8">
        <f t="shared" si="8"/>
        <v>2.8232261579384438E-2</v>
      </c>
      <c r="AC22" s="8">
        <f>COUNT(K8,K23,K24)</f>
        <v>2</v>
      </c>
      <c r="AD22" s="8">
        <f t="shared" si="9"/>
        <v>1.4116130789692217E-2</v>
      </c>
    </row>
    <row r="23" spans="1:30" x14ac:dyDescent="0.25">
      <c r="A23" s="5">
        <v>16</v>
      </c>
      <c r="B23" s="5" t="s">
        <v>28</v>
      </c>
      <c r="C23" s="5"/>
      <c r="D23" s="5"/>
      <c r="E23" s="5"/>
      <c r="F23" s="5" t="s">
        <v>29</v>
      </c>
      <c r="G23" s="5">
        <v>1</v>
      </c>
      <c r="H23" s="25">
        <v>5.1769999999999996</v>
      </c>
      <c r="I23" s="8">
        <v>1.2800000000000001E-2</v>
      </c>
      <c r="J23" s="8"/>
      <c r="K23" s="8">
        <f t="shared" si="4"/>
        <v>-0.17582043403443218</v>
      </c>
      <c r="L23" s="8">
        <v>-8.0199999999999994E-2</v>
      </c>
      <c r="M23" s="5"/>
      <c r="N23" s="8"/>
      <c r="O23" s="8"/>
      <c r="P23" s="5" t="s">
        <v>31</v>
      </c>
      <c r="T23" s="13" t="s">
        <v>116</v>
      </c>
      <c r="U23" s="8">
        <f>AVERAGE(L8,L23,L24)</f>
        <v>-6.6000000000000003E-2</v>
      </c>
      <c r="V23" s="8">
        <f>MEDIAN(L8,L23,L24)</f>
        <v>-6.6000000000000003E-2</v>
      </c>
      <c r="W23" s="8">
        <f>STDEV(L8,L23,L24)</f>
        <v>2.0081832585697922E-2</v>
      </c>
      <c r="X23" s="8">
        <f t="shared" si="7"/>
        <v>-30.427019069239275</v>
      </c>
      <c r="Y23" s="8">
        <f>VAR(L8,L23,L24)</f>
        <v>4.0327999999999892E-4</v>
      </c>
      <c r="Z23" s="8">
        <f>MAX(L8,L23,L24)</f>
        <v>-5.1799999999999999E-2</v>
      </c>
      <c r="AA23" s="8">
        <f>MIN(L8,L23,L24)</f>
        <v>-8.0199999999999994E-2</v>
      </c>
      <c r="AB23" s="8">
        <f t="shared" si="8"/>
        <v>2.8399999999999995E-2</v>
      </c>
      <c r="AC23" s="8">
        <f>COUNT(L8,L23,L24)</f>
        <v>2</v>
      </c>
      <c r="AD23" s="8">
        <f t="shared" si="9"/>
        <v>1.419999999999998E-2</v>
      </c>
    </row>
    <row r="24" spans="1:30" x14ac:dyDescent="0.25">
      <c r="A24" s="5">
        <v>17</v>
      </c>
      <c r="B24" s="5" t="s">
        <v>28</v>
      </c>
      <c r="C24" s="5"/>
      <c r="D24" s="5"/>
      <c r="E24" s="5"/>
      <c r="F24" s="5" t="s">
        <v>29</v>
      </c>
      <c r="G24" s="5">
        <v>1</v>
      </c>
      <c r="H24" s="25" t="s">
        <v>148</v>
      </c>
      <c r="I24" s="8" t="s">
        <v>148</v>
      </c>
      <c r="J24" s="8"/>
      <c r="K24" s="8" t="str">
        <f t="shared" si="4"/>
        <v>NA</v>
      </c>
      <c r="L24" s="8" t="s">
        <v>148</v>
      </c>
      <c r="M24" s="5"/>
      <c r="N24" s="8"/>
      <c r="O24" s="8"/>
      <c r="P24" s="5" t="s">
        <v>31</v>
      </c>
    </row>
    <row r="25" spans="1:30" x14ac:dyDescent="0.25">
      <c r="T25" s="14"/>
    </row>
    <row r="26" spans="1:30" x14ac:dyDescent="0.25">
      <c r="T26" s="6"/>
      <c r="U26" s="3" t="s">
        <v>117</v>
      </c>
      <c r="V26" s="3" t="s">
        <v>118</v>
      </c>
      <c r="W26" s="3" t="s">
        <v>119</v>
      </c>
      <c r="X26" s="3" t="s">
        <v>120</v>
      </c>
      <c r="Y26" s="3" t="s">
        <v>121</v>
      </c>
      <c r="Z26" s="3" t="s">
        <v>122</v>
      </c>
      <c r="AA26" s="3" t="s">
        <v>123</v>
      </c>
    </row>
    <row r="27" spans="1:30" ht="45" x14ac:dyDescent="0.25">
      <c r="T27" s="18" t="s">
        <v>161</v>
      </c>
      <c r="U27" s="7">
        <f>K5</f>
        <v>4.7674721168809109</v>
      </c>
      <c r="V27" s="7">
        <f>L5</f>
        <v>4.835</v>
      </c>
      <c r="W27" s="15">
        <v>102</v>
      </c>
      <c r="X27" s="15">
        <v>1</v>
      </c>
      <c r="Y27" s="7">
        <f>W27/(20)</f>
        <v>5.0999999999999996</v>
      </c>
      <c r="Z27" s="7">
        <f>V27/Y27 *100</f>
        <v>94.803921568627459</v>
      </c>
      <c r="AA27" s="7">
        <f>U27/Y27 *100</f>
        <v>93.479845429037482</v>
      </c>
    </row>
    <row r="28" spans="1:30" ht="45" x14ac:dyDescent="0.25">
      <c r="T28" s="18" t="s">
        <v>129</v>
      </c>
      <c r="U28" s="7">
        <f>U19</f>
        <v>7.3374901787792499</v>
      </c>
      <c r="V28" s="7">
        <f>U20</f>
        <v>7.3898999999999999</v>
      </c>
      <c r="W28" s="15">
        <v>100</v>
      </c>
      <c r="X28" s="15">
        <v>1</v>
      </c>
      <c r="Y28" s="7">
        <f>W28/(20)</f>
        <v>5</v>
      </c>
      <c r="Z28" s="7">
        <f>V28/Y28 *100</f>
        <v>147.798</v>
      </c>
      <c r="AA28" s="7">
        <f>U28/Y28 *100</f>
        <v>146.74980357558499</v>
      </c>
    </row>
    <row r="31" spans="1:30" x14ac:dyDescent="0.25">
      <c r="T31" s="5"/>
      <c r="U31" s="3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3" t="s">
        <v>122</v>
      </c>
      <c r="AC31" s="3" t="s">
        <v>123</v>
      </c>
    </row>
    <row r="32" spans="1:30" x14ac:dyDescent="0.25">
      <c r="T32" s="13" t="s">
        <v>130</v>
      </c>
      <c r="U32" s="8">
        <f>I5</f>
        <v>0.57310000000000005</v>
      </c>
      <c r="V32" s="8">
        <f>U18</f>
        <v>0.86440000000000006</v>
      </c>
      <c r="W32" s="8">
        <f>K5</f>
        <v>4.7674721168809109</v>
      </c>
      <c r="X32" s="8">
        <f>L5</f>
        <v>4.835</v>
      </c>
      <c r="Y32" s="8">
        <f>U19</f>
        <v>7.3374901787792499</v>
      </c>
      <c r="Z32" s="8">
        <f>U20</f>
        <v>7.3898999999999999</v>
      </c>
      <c r="AA32" s="8">
        <f>U32/V32 *100</f>
        <v>66.300323924109207</v>
      </c>
      <c r="AB32" s="8">
        <f>W32/Y32 *100</f>
        <v>64.974153296571529</v>
      </c>
      <c r="AC32" s="8">
        <f>X32/Z32 *100</f>
        <v>65.427137038390242</v>
      </c>
    </row>
  </sheetData>
  <conditionalFormatting sqref="K1">
    <cfRule type="cellIs" dxfId="15" priority="5" operator="lessThan">
      <formula>$U$13</formula>
    </cfRule>
    <cfRule type="cellIs" dxfId="14" priority="6" operator="lessThan">
      <formula>$V$13</formula>
    </cfRule>
  </conditionalFormatting>
  <conditionalFormatting sqref="L1:L24">
    <cfRule type="cellIs" dxfId="13" priority="7" operator="lessThan">
      <formula>$U$14</formula>
    </cfRule>
    <cfRule type="cellIs" dxfId="12" priority="8" operator="lessThan">
      <formula>$V$14</formula>
    </cfRule>
  </conditionalFormatting>
  <conditionalFormatting sqref="I2:I24">
    <cfRule type="cellIs" dxfId="11" priority="3" operator="lessThan">
      <formula>$U$12</formula>
    </cfRule>
    <cfRule type="cellIs" dxfId="10" priority="4" operator="lessThan">
      <formula>$V$12</formula>
    </cfRule>
  </conditionalFormatting>
  <conditionalFormatting sqref="K2:K24">
    <cfRule type="cellIs" dxfId="9" priority="1" operator="lessThan">
      <formula>$U$13</formula>
    </cfRule>
    <cfRule type="cellIs" dxfId="8" priority="2" operator="lessThan">
      <formula>$V$13</formula>
    </cfRule>
  </conditionalFormatting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F385-6A4E-4818-A353-544C43E338B7}">
  <dimension ref="A1:N27"/>
  <sheetViews>
    <sheetView zoomScale="70" zoomScaleNormal="70" workbookViewId="0">
      <selection activeCell="L3" sqref="L3"/>
    </sheetView>
  </sheetViews>
  <sheetFormatPr defaultRowHeight="15" x14ac:dyDescent="0.25"/>
  <cols>
    <col min="12" max="12" width="21.42578125" customWidth="1"/>
    <col min="13" max="13" width="19.7109375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81</v>
      </c>
      <c r="L1" t="s">
        <v>82</v>
      </c>
      <c r="M1" t="s">
        <v>83</v>
      </c>
      <c r="N1" t="s">
        <v>26</v>
      </c>
    </row>
    <row r="2" spans="1:14" x14ac:dyDescent="0.25">
      <c r="A2" t="s">
        <v>27</v>
      </c>
      <c r="B2" t="s">
        <v>28</v>
      </c>
      <c r="F2" t="s">
        <v>29</v>
      </c>
      <c r="G2">
        <v>1</v>
      </c>
      <c r="H2">
        <v>0</v>
      </c>
      <c r="I2" t="s">
        <v>30</v>
      </c>
      <c r="J2" t="s">
        <v>30</v>
      </c>
      <c r="K2">
        <v>0</v>
      </c>
      <c r="L2" t="e">
        <f>(J2+$B$27)/$B$26</f>
        <v>#VALUE!</v>
      </c>
      <c r="M2" t="e">
        <f>H2*L2</f>
        <v>#VALUE!</v>
      </c>
      <c r="N2" t="s">
        <v>31</v>
      </c>
    </row>
    <row r="3" spans="1:14" x14ac:dyDescent="0.25">
      <c r="A3" t="s">
        <v>32</v>
      </c>
      <c r="B3" t="s">
        <v>33</v>
      </c>
      <c r="F3" t="s">
        <v>29</v>
      </c>
      <c r="G3">
        <v>1</v>
      </c>
      <c r="H3">
        <v>5</v>
      </c>
      <c r="I3">
        <v>6.4470000000000001</v>
      </c>
      <c r="J3">
        <v>5.9299999999999999E-2</v>
      </c>
      <c r="K3">
        <v>2</v>
      </c>
      <c r="L3">
        <f t="shared" ref="L3:L24" si="0">(J3+$B$27)/$B$26</f>
        <v>2.0376106194690267</v>
      </c>
      <c r="M3">
        <f t="shared" ref="M3:M22" si="1">H3*L3</f>
        <v>10.188053097345133</v>
      </c>
      <c r="N3" t="s">
        <v>34</v>
      </c>
    </row>
    <row r="4" spans="1:14" x14ac:dyDescent="0.25">
      <c r="A4" t="s">
        <v>35</v>
      </c>
      <c r="B4" t="s">
        <v>36</v>
      </c>
      <c r="F4" t="s">
        <v>29</v>
      </c>
      <c r="G4">
        <v>1</v>
      </c>
      <c r="H4">
        <v>10</v>
      </c>
      <c r="I4">
        <v>6.4429999999999996</v>
      </c>
      <c r="J4">
        <v>0.15690000000000001</v>
      </c>
      <c r="K4">
        <v>4</v>
      </c>
      <c r="L4">
        <f t="shared" si="0"/>
        <v>4.196902654867257</v>
      </c>
      <c r="M4">
        <f t="shared" si="1"/>
        <v>41.969026548672574</v>
      </c>
      <c r="N4" t="s">
        <v>37</v>
      </c>
    </row>
    <row r="5" spans="1:14" x14ac:dyDescent="0.25">
      <c r="A5" t="s">
        <v>38</v>
      </c>
      <c r="B5" t="s">
        <v>39</v>
      </c>
      <c r="F5" t="s">
        <v>29</v>
      </c>
      <c r="G5">
        <v>1</v>
      </c>
      <c r="H5">
        <v>20</v>
      </c>
      <c r="I5">
        <v>6.4370000000000003</v>
      </c>
      <c r="J5">
        <v>0.38469999999999999</v>
      </c>
      <c r="K5">
        <v>10</v>
      </c>
      <c r="L5">
        <f t="shared" si="0"/>
        <v>9.2367256637168147</v>
      </c>
      <c r="M5">
        <f t="shared" si="1"/>
        <v>184.73451327433628</v>
      </c>
      <c r="N5" t="s">
        <v>40</v>
      </c>
    </row>
    <row r="6" spans="1:14" x14ac:dyDescent="0.25">
      <c r="A6" t="s">
        <v>41</v>
      </c>
      <c r="B6" t="s">
        <v>42</v>
      </c>
      <c r="F6" t="s">
        <v>29</v>
      </c>
      <c r="G6">
        <v>1</v>
      </c>
      <c r="H6">
        <v>50</v>
      </c>
      <c r="I6">
        <v>6.4370000000000003</v>
      </c>
      <c r="J6">
        <v>0.8367</v>
      </c>
      <c r="K6">
        <v>20</v>
      </c>
      <c r="L6">
        <f t="shared" si="0"/>
        <v>19.236725663716818</v>
      </c>
      <c r="M6">
        <f>H6*L6</f>
        <v>961.8362831858409</v>
      </c>
      <c r="N6" t="s">
        <v>43</v>
      </c>
    </row>
    <row r="7" spans="1:14" x14ac:dyDescent="0.25">
      <c r="A7" t="s">
        <v>44</v>
      </c>
      <c r="B7" t="s">
        <v>45</v>
      </c>
      <c r="F7" t="s">
        <v>29</v>
      </c>
      <c r="G7">
        <v>1</v>
      </c>
      <c r="H7">
        <v>100</v>
      </c>
      <c r="I7">
        <v>6.4329999999999998</v>
      </c>
      <c r="J7">
        <v>1.7988</v>
      </c>
      <c r="K7">
        <v>40</v>
      </c>
      <c r="L7">
        <f t="shared" si="0"/>
        <v>40.522123893805308</v>
      </c>
      <c r="M7">
        <f t="shared" si="1"/>
        <v>4052.2123893805306</v>
      </c>
      <c r="N7" t="s">
        <v>46</v>
      </c>
    </row>
    <row r="8" spans="1:14" x14ac:dyDescent="0.25">
      <c r="A8">
        <v>1</v>
      </c>
      <c r="B8" t="s">
        <v>47</v>
      </c>
      <c r="F8" t="s">
        <v>29</v>
      </c>
      <c r="G8">
        <v>1</v>
      </c>
      <c r="H8">
        <v>0</v>
      </c>
      <c r="I8">
        <v>6.4969999999999999</v>
      </c>
      <c r="J8">
        <v>1.54E-2</v>
      </c>
      <c r="L8">
        <f t="shared" si="0"/>
        <v>1.0663716814159294</v>
      </c>
      <c r="M8">
        <f t="shared" si="1"/>
        <v>0</v>
      </c>
      <c r="N8" t="s">
        <v>31</v>
      </c>
    </row>
    <row r="9" spans="1:14" x14ac:dyDescent="0.25">
      <c r="A9">
        <v>2</v>
      </c>
      <c r="B9" t="s">
        <v>48</v>
      </c>
      <c r="F9" t="s">
        <v>29</v>
      </c>
      <c r="G9">
        <v>1</v>
      </c>
      <c r="H9">
        <v>20</v>
      </c>
      <c r="I9">
        <v>6.4429999999999996</v>
      </c>
      <c r="J9">
        <v>0.46510000000000001</v>
      </c>
      <c r="L9">
        <f t="shared" si="0"/>
        <v>11.015486725663719</v>
      </c>
      <c r="M9">
        <f t="shared" si="1"/>
        <v>220.30973451327438</v>
      </c>
      <c r="N9" t="s">
        <v>49</v>
      </c>
    </row>
    <row r="10" spans="1:14" x14ac:dyDescent="0.25">
      <c r="A10">
        <v>3</v>
      </c>
      <c r="B10" t="s">
        <v>50</v>
      </c>
      <c r="C10">
        <v>20</v>
      </c>
      <c r="D10">
        <v>10</v>
      </c>
      <c r="E10" t="s">
        <v>51</v>
      </c>
      <c r="F10" t="s">
        <v>29</v>
      </c>
      <c r="G10">
        <v>1</v>
      </c>
      <c r="H10">
        <v>5</v>
      </c>
      <c r="I10" t="s">
        <v>30</v>
      </c>
      <c r="J10" t="s">
        <v>30</v>
      </c>
      <c r="L10" t="e">
        <f>(J10+$B$27)/$B$26</f>
        <v>#VALUE!</v>
      </c>
      <c r="M10" t="e">
        <f t="shared" si="1"/>
        <v>#VALUE!</v>
      </c>
      <c r="N10" t="s">
        <v>52</v>
      </c>
    </row>
    <row r="11" spans="1:14" x14ac:dyDescent="0.25">
      <c r="A11">
        <v>4</v>
      </c>
      <c r="B11" t="s">
        <v>53</v>
      </c>
      <c r="C11">
        <v>20</v>
      </c>
      <c r="D11">
        <v>40</v>
      </c>
      <c r="E11" t="s">
        <v>51</v>
      </c>
      <c r="F11" t="s">
        <v>29</v>
      </c>
      <c r="G11">
        <v>1</v>
      </c>
      <c r="H11">
        <v>5</v>
      </c>
      <c r="I11" t="s">
        <v>30</v>
      </c>
      <c r="J11" t="s">
        <v>30</v>
      </c>
      <c r="L11" t="e">
        <f t="shared" si="0"/>
        <v>#VALUE!</v>
      </c>
      <c r="M11" t="e">
        <f t="shared" si="1"/>
        <v>#VALUE!</v>
      </c>
      <c r="N11" t="s">
        <v>54</v>
      </c>
    </row>
    <row r="12" spans="1:14" x14ac:dyDescent="0.25">
      <c r="A12">
        <v>5</v>
      </c>
      <c r="B12" t="s">
        <v>55</v>
      </c>
      <c r="C12">
        <v>20</v>
      </c>
      <c r="D12">
        <v>50</v>
      </c>
      <c r="E12" t="s">
        <v>51</v>
      </c>
      <c r="F12" t="s">
        <v>29</v>
      </c>
      <c r="G12">
        <v>1</v>
      </c>
      <c r="H12">
        <v>5</v>
      </c>
      <c r="I12" t="s">
        <v>30</v>
      </c>
      <c r="J12" t="s">
        <v>30</v>
      </c>
      <c r="L12" t="e">
        <f t="shared" si="0"/>
        <v>#VALUE!</v>
      </c>
      <c r="M12" t="e">
        <f t="shared" si="1"/>
        <v>#VALUE!</v>
      </c>
      <c r="N12" t="s">
        <v>56</v>
      </c>
    </row>
    <row r="13" spans="1:14" x14ac:dyDescent="0.25">
      <c r="A13">
        <v>6</v>
      </c>
      <c r="B13" t="s">
        <v>57</v>
      </c>
      <c r="C13">
        <v>20</v>
      </c>
      <c r="D13">
        <v>60</v>
      </c>
      <c r="E13" t="s">
        <v>51</v>
      </c>
      <c r="F13" t="s">
        <v>29</v>
      </c>
      <c r="G13">
        <v>1</v>
      </c>
      <c r="H13">
        <v>5</v>
      </c>
      <c r="I13" t="s">
        <v>30</v>
      </c>
      <c r="J13" t="s">
        <v>30</v>
      </c>
      <c r="L13" t="e">
        <f t="shared" si="0"/>
        <v>#VALUE!</v>
      </c>
      <c r="M13" t="e">
        <f t="shared" si="1"/>
        <v>#VALUE!</v>
      </c>
      <c r="N13" t="s">
        <v>58</v>
      </c>
    </row>
    <row r="14" spans="1:14" x14ac:dyDescent="0.25">
      <c r="A14">
        <v>7</v>
      </c>
      <c r="B14" t="s">
        <v>59</v>
      </c>
      <c r="C14">
        <v>20</v>
      </c>
      <c r="D14">
        <v>70</v>
      </c>
      <c r="E14" t="s">
        <v>51</v>
      </c>
      <c r="F14" t="s">
        <v>29</v>
      </c>
      <c r="G14">
        <v>1</v>
      </c>
      <c r="H14">
        <v>5</v>
      </c>
      <c r="I14" t="s">
        <v>30</v>
      </c>
      <c r="J14" t="s">
        <v>30</v>
      </c>
      <c r="L14" t="e">
        <f t="shared" si="0"/>
        <v>#VALUE!</v>
      </c>
      <c r="M14" t="e">
        <f t="shared" si="1"/>
        <v>#VALUE!</v>
      </c>
      <c r="N14" t="s">
        <v>60</v>
      </c>
    </row>
    <row r="15" spans="1:14" x14ac:dyDescent="0.25">
      <c r="A15">
        <v>8</v>
      </c>
      <c r="B15" t="s">
        <v>61</v>
      </c>
      <c r="C15">
        <v>20</v>
      </c>
      <c r="D15">
        <v>80</v>
      </c>
      <c r="E15" t="s">
        <v>51</v>
      </c>
      <c r="F15" t="s">
        <v>29</v>
      </c>
      <c r="G15">
        <v>1</v>
      </c>
      <c r="H15">
        <v>5</v>
      </c>
      <c r="I15" t="s">
        <v>30</v>
      </c>
      <c r="J15" t="s">
        <v>30</v>
      </c>
      <c r="L15" t="e">
        <f t="shared" si="0"/>
        <v>#VALUE!</v>
      </c>
      <c r="M15" t="e">
        <f t="shared" si="1"/>
        <v>#VALUE!</v>
      </c>
      <c r="N15" t="s">
        <v>62</v>
      </c>
    </row>
    <row r="16" spans="1:14" x14ac:dyDescent="0.25">
      <c r="A16">
        <v>9</v>
      </c>
      <c r="B16" t="s">
        <v>63</v>
      </c>
      <c r="C16">
        <v>20</v>
      </c>
      <c r="D16">
        <v>100</v>
      </c>
      <c r="E16" t="s">
        <v>51</v>
      </c>
      <c r="F16" t="s">
        <v>29</v>
      </c>
      <c r="G16">
        <v>1</v>
      </c>
      <c r="H16">
        <v>5</v>
      </c>
      <c r="I16" t="s">
        <v>30</v>
      </c>
      <c r="J16" t="s">
        <v>30</v>
      </c>
      <c r="L16" t="e">
        <f t="shared" si="0"/>
        <v>#VALUE!</v>
      </c>
      <c r="M16" t="e">
        <f t="shared" si="1"/>
        <v>#VALUE!</v>
      </c>
      <c r="N16" t="s">
        <v>64</v>
      </c>
    </row>
    <row r="17" spans="1:14" x14ac:dyDescent="0.25">
      <c r="A17">
        <v>10</v>
      </c>
      <c r="B17" t="s">
        <v>65</v>
      </c>
      <c r="C17">
        <v>20</v>
      </c>
      <c r="D17">
        <v>30</v>
      </c>
      <c r="E17" t="s">
        <v>66</v>
      </c>
      <c r="F17" t="s">
        <v>29</v>
      </c>
      <c r="G17">
        <v>1</v>
      </c>
      <c r="H17">
        <v>5</v>
      </c>
      <c r="I17" t="s">
        <v>30</v>
      </c>
      <c r="J17" t="s">
        <v>30</v>
      </c>
      <c r="L17" t="e">
        <f t="shared" si="0"/>
        <v>#VALUE!</v>
      </c>
      <c r="M17" t="e">
        <f t="shared" si="1"/>
        <v>#VALUE!</v>
      </c>
      <c r="N17" t="s">
        <v>67</v>
      </c>
    </row>
    <row r="18" spans="1:14" x14ac:dyDescent="0.25">
      <c r="A18">
        <v>11</v>
      </c>
      <c r="B18" t="s">
        <v>68</v>
      </c>
      <c r="C18">
        <v>20</v>
      </c>
      <c r="D18">
        <v>90</v>
      </c>
      <c r="E18" t="s">
        <v>66</v>
      </c>
      <c r="F18" t="s">
        <v>29</v>
      </c>
      <c r="G18">
        <v>1</v>
      </c>
      <c r="H18">
        <v>5</v>
      </c>
      <c r="I18" t="s">
        <v>30</v>
      </c>
      <c r="J18" t="s">
        <v>30</v>
      </c>
      <c r="L18" t="e">
        <f t="shared" si="0"/>
        <v>#VALUE!</v>
      </c>
      <c r="M18" t="e">
        <f>H18*L18</f>
        <v>#VALUE!</v>
      </c>
      <c r="N18" t="s">
        <v>69</v>
      </c>
    </row>
    <row r="19" spans="1:14" x14ac:dyDescent="0.25">
      <c r="A19">
        <v>12</v>
      </c>
      <c r="B19" t="s">
        <v>70</v>
      </c>
      <c r="C19">
        <v>20</v>
      </c>
      <c r="D19">
        <v>100</v>
      </c>
      <c r="E19" t="s">
        <v>66</v>
      </c>
      <c r="F19" t="s">
        <v>29</v>
      </c>
      <c r="G19">
        <v>1</v>
      </c>
      <c r="H19">
        <v>5</v>
      </c>
      <c r="I19" t="s">
        <v>30</v>
      </c>
      <c r="J19" t="s">
        <v>30</v>
      </c>
      <c r="L19" t="e">
        <f t="shared" si="0"/>
        <v>#VALUE!</v>
      </c>
      <c r="M19" t="e">
        <f t="shared" si="1"/>
        <v>#VALUE!</v>
      </c>
      <c r="N19" t="s">
        <v>71</v>
      </c>
    </row>
    <row r="20" spans="1:14" x14ac:dyDescent="0.25">
      <c r="A20">
        <v>13</v>
      </c>
      <c r="B20" t="s">
        <v>72</v>
      </c>
      <c r="C20">
        <v>10</v>
      </c>
      <c r="D20">
        <v>90</v>
      </c>
      <c r="E20" t="s">
        <v>51</v>
      </c>
      <c r="F20" t="s">
        <v>29</v>
      </c>
      <c r="G20">
        <v>1</v>
      </c>
      <c r="H20">
        <v>25</v>
      </c>
      <c r="I20" t="s">
        <v>30</v>
      </c>
      <c r="J20" t="s">
        <v>30</v>
      </c>
      <c r="L20" t="e">
        <f t="shared" si="0"/>
        <v>#VALUE!</v>
      </c>
      <c r="M20" t="e">
        <f t="shared" si="1"/>
        <v>#VALUE!</v>
      </c>
      <c r="N20" t="s">
        <v>73</v>
      </c>
    </row>
    <row r="21" spans="1:14" x14ac:dyDescent="0.25">
      <c r="A21">
        <v>14</v>
      </c>
      <c r="B21" t="s">
        <v>70</v>
      </c>
      <c r="C21">
        <v>20</v>
      </c>
      <c r="D21">
        <v>100</v>
      </c>
      <c r="E21" t="s">
        <v>66</v>
      </c>
      <c r="F21" t="s">
        <v>29</v>
      </c>
      <c r="G21">
        <v>1</v>
      </c>
      <c r="H21">
        <v>25</v>
      </c>
      <c r="I21" t="s">
        <v>30</v>
      </c>
      <c r="J21" t="s">
        <v>30</v>
      </c>
      <c r="L21" t="e">
        <f t="shared" si="0"/>
        <v>#VALUE!</v>
      </c>
      <c r="M21" t="e">
        <f t="shared" si="1"/>
        <v>#VALUE!</v>
      </c>
      <c r="N21" t="s">
        <v>74</v>
      </c>
    </row>
    <row r="22" spans="1:14" x14ac:dyDescent="0.25">
      <c r="A22">
        <v>15</v>
      </c>
      <c r="B22" t="s">
        <v>48</v>
      </c>
      <c r="F22" t="s">
        <v>29</v>
      </c>
      <c r="G22">
        <v>1</v>
      </c>
      <c r="H22">
        <v>20</v>
      </c>
      <c r="I22">
        <v>6.4370000000000003</v>
      </c>
      <c r="J22">
        <v>0.43869999999999998</v>
      </c>
      <c r="L22">
        <f t="shared" si="0"/>
        <v>10.43141592920354</v>
      </c>
      <c r="M22">
        <f t="shared" si="1"/>
        <v>208.6283185840708</v>
      </c>
      <c r="N22" t="s">
        <v>49</v>
      </c>
    </row>
    <row r="23" spans="1:14" x14ac:dyDescent="0.25">
      <c r="A23">
        <v>16</v>
      </c>
      <c r="B23" t="s">
        <v>28</v>
      </c>
      <c r="F23" t="s">
        <v>29</v>
      </c>
      <c r="G23">
        <v>1</v>
      </c>
      <c r="H23">
        <v>0</v>
      </c>
      <c r="I23" t="s">
        <v>30</v>
      </c>
      <c r="J23" t="s">
        <v>30</v>
      </c>
      <c r="L23" t="e">
        <f t="shared" si="0"/>
        <v>#VALUE!</v>
      </c>
      <c r="M23" t="e">
        <f>H23*L23</f>
        <v>#VALUE!</v>
      </c>
      <c r="N23" t="s">
        <v>31</v>
      </c>
    </row>
    <row r="24" spans="1:14" x14ac:dyDescent="0.25">
      <c r="A24">
        <v>17</v>
      </c>
      <c r="B24" t="s">
        <v>28</v>
      </c>
      <c r="F24" t="s">
        <v>29</v>
      </c>
      <c r="G24">
        <v>1</v>
      </c>
      <c r="H24">
        <v>0</v>
      </c>
      <c r="I24" t="s">
        <v>30</v>
      </c>
      <c r="J24" t="s">
        <v>30</v>
      </c>
      <c r="L24" t="e">
        <f t="shared" si="0"/>
        <v>#VALUE!</v>
      </c>
      <c r="M24" t="e">
        <f t="shared" ref="M24" si="2">H24*L24</f>
        <v>#VALUE!</v>
      </c>
      <c r="N24" t="s">
        <v>31</v>
      </c>
    </row>
    <row r="26" spans="1:14" x14ac:dyDescent="0.25">
      <c r="A26" t="s">
        <v>75</v>
      </c>
      <c r="B26">
        <v>4.5199999999999997E-2</v>
      </c>
    </row>
    <row r="27" spans="1:14" x14ac:dyDescent="0.25">
      <c r="A27" t="s">
        <v>76</v>
      </c>
      <c r="B27">
        <v>3.2800000000000003E-2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C516-9729-4C1E-B3E2-BA1F062C4DF6}">
  <dimension ref="A1:AI32"/>
  <sheetViews>
    <sheetView tabSelected="1" topLeftCell="Q1" zoomScale="70" zoomScaleNormal="70" workbookViewId="0">
      <selection activeCell="U17" sqref="U17:AD17"/>
    </sheetView>
  </sheetViews>
  <sheetFormatPr defaultRowHeight="15" x14ac:dyDescent="0.25"/>
  <cols>
    <col min="9" max="10" width="9.140625" style="16"/>
    <col min="11" max="11" width="11.7109375" style="16" customWidth="1"/>
    <col min="12" max="12" width="14.85546875" style="16" customWidth="1"/>
    <col min="14" max="14" width="17.28515625" style="16" customWidth="1"/>
    <col min="15" max="15" width="15.42578125" customWidth="1"/>
    <col min="16" max="16" width="21.85546875" customWidth="1"/>
    <col min="19" max="19" width="17" customWidth="1"/>
    <col min="20" max="20" width="23.140625" customWidth="1"/>
    <col min="24" max="24" width="12.5703125" customWidth="1"/>
    <col min="25" max="25" width="11" customWidth="1"/>
    <col min="26" max="26" width="13" customWidth="1"/>
    <col min="28" max="29" width="11.7109375" customWidth="1"/>
    <col min="41" max="41" width="8.5703125" customWidth="1"/>
  </cols>
  <sheetData>
    <row r="1" spans="1:35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19" t="s">
        <v>21</v>
      </c>
      <c r="I1" s="19" t="s">
        <v>22</v>
      </c>
      <c r="J1" s="17" t="s">
        <v>155</v>
      </c>
      <c r="K1" s="19" t="s">
        <v>156</v>
      </c>
      <c r="L1" s="19" t="s">
        <v>157</v>
      </c>
      <c r="M1" s="3" t="s">
        <v>20</v>
      </c>
      <c r="N1" s="19" t="s">
        <v>158</v>
      </c>
      <c r="O1" s="19" t="s">
        <v>159</v>
      </c>
      <c r="P1" s="3" t="s">
        <v>26</v>
      </c>
      <c r="S1" s="1" t="s">
        <v>86</v>
      </c>
      <c r="T1" s="2" t="str">
        <f t="shared" ref="T1:U7" si="0">A1</f>
        <v>sample_no</v>
      </c>
      <c r="U1" s="3" t="str">
        <f t="shared" si="0"/>
        <v>sample_id</v>
      </c>
      <c r="V1" s="3" t="str">
        <f t="shared" ref="V1:W7" si="1">F1</f>
        <v>IC_date</v>
      </c>
      <c r="W1" s="3" t="str">
        <f t="shared" si="1"/>
        <v>V_sample_ml</v>
      </c>
      <c r="X1" s="2" t="str">
        <f t="shared" ref="X1:X7" si="2">M1</f>
        <v>dilution_factor</v>
      </c>
      <c r="Y1" s="3" t="str">
        <f t="shared" ref="Y1:AA7" si="3">H1</f>
        <v>ret_time_min</v>
      </c>
      <c r="Z1" s="3" t="str">
        <f t="shared" si="3"/>
        <v>peak_area_usmin</v>
      </c>
      <c r="AA1" s="3" t="str">
        <f t="shared" si="3"/>
        <v>c_Sulfate_ calib_ppm</v>
      </c>
      <c r="AG1" s="1" t="s">
        <v>160</v>
      </c>
    </row>
    <row r="2" spans="1:35" x14ac:dyDescent="0.25">
      <c r="A2" s="5" t="s">
        <v>27</v>
      </c>
      <c r="B2" s="5" t="s">
        <v>28</v>
      </c>
      <c r="C2" s="5"/>
      <c r="D2" s="5"/>
      <c r="E2" s="5"/>
      <c r="F2" s="5" t="s">
        <v>29</v>
      </c>
      <c r="G2" s="5">
        <v>1</v>
      </c>
      <c r="H2" s="25">
        <v>0</v>
      </c>
      <c r="I2" s="8">
        <v>0</v>
      </c>
      <c r="J2" s="8">
        <v>0</v>
      </c>
      <c r="K2" s="8">
        <v>0</v>
      </c>
      <c r="L2" s="8">
        <v>0</v>
      </c>
      <c r="M2" s="5">
        <v>0</v>
      </c>
      <c r="N2" s="8"/>
      <c r="O2" s="8"/>
      <c r="P2" s="5" t="s">
        <v>31</v>
      </c>
      <c r="T2" s="21" t="str">
        <f t="shared" si="0"/>
        <v>Cal 1</v>
      </c>
      <c r="U2" s="22" t="str">
        <f t="shared" si="0"/>
        <v>Blank</v>
      </c>
      <c r="V2" s="22" t="str">
        <f t="shared" si="1"/>
        <v>23.11.2023</v>
      </c>
      <c r="W2" s="22">
        <f t="shared" si="1"/>
        <v>1</v>
      </c>
      <c r="X2" s="23">
        <f t="shared" si="2"/>
        <v>0</v>
      </c>
      <c r="Y2" s="24">
        <f t="shared" si="3"/>
        <v>0</v>
      </c>
      <c r="Z2" s="24">
        <f t="shared" si="3"/>
        <v>0</v>
      </c>
      <c r="AA2" s="22">
        <f t="shared" si="3"/>
        <v>0</v>
      </c>
      <c r="AG2" s="3" t="s">
        <v>87</v>
      </c>
      <c r="AH2" s="3" t="s">
        <v>88</v>
      </c>
    </row>
    <row r="3" spans="1:35" x14ac:dyDescent="0.25">
      <c r="A3" s="5" t="s">
        <v>32</v>
      </c>
      <c r="B3" s="5" t="s">
        <v>33</v>
      </c>
      <c r="C3" s="5"/>
      <c r="D3" s="5"/>
      <c r="E3" s="5"/>
      <c r="F3" s="5" t="s">
        <v>29</v>
      </c>
      <c r="G3" s="5">
        <v>1</v>
      </c>
      <c r="H3" s="25">
        <v>7.15</v>
      </c>
      <c r="I3" s="8">
        <v>0.11219999999999999</v>
      </c>
      <c r="J3" s="8">
        <v>1</v>
      </c>
      <c r="K3" s="8">
        <f t="shared" ref="K3:K24" si="4">IF(H3="NA", "NA", ((I3-($AH$3))/$AG$3))</f>
        <v>0.97183824671440866</v>
      </c>
      <c r="L3" s="8">
        <v>1.04</v>
      </c>
      <c r="M3" s="5">
        <v>100</v>
      </c>
      <c r="N3" s="8"/>
      <c r="O3" s="8"/>
      <c r="P3" s="5" t="s">
        <v>34</v>
      </c>
      <c r="T3" s="4" t="str">
        <f t="shared" si="0"/>
        <v>Cal 2</v>
      </c>
      <c r="U3" s="5" t="str">
        <f t="shared" si="0"/>
        <v>x 100</v>
      </c>
      <c r="V3" s="5" t="str">
        <f t="shared" si="1"/>
        <v>23.11.2023</v>
      </c>
      <c r="W3" s="5">
        <f t="shared" si="1"/>
        <v>1</v>
      </c>
      <c r="X3" s="20">
        <f t="shared" si="2"/>
        <v>100</v>
      </c>
      <c r="Y3" s="8">
        <f t="shared" si="3"/>
        <v>7.15</v>
      </c>
      <c r="Z3" s="8">
        <f t="shared" si="3"/>
        <v>0.11219999999999999</v>
      </c>
      <c r="AA3" s="5">
        <f t="shared" si="3"/>
        <v>1</v>
      </c>
      <c r="AF3" t="s">
        <v>89</v>
      </c>
      <c r="AG3" s="8" cm="1">
        <f t="array" ref="AG3:AH7">LINEST(Z2:Z7,AA2:AA7, TRUE, TRUE)</f>
        <v>0.13945115207373276</v>
      </c>
      <c r="AH3" s="8">
        <v>-2.3323963133640824E-2</v>
      </c>
      <c r="AI3" s="9" t="s">
        <v>90</v>
      </c>
    </row>
    <row r="4" spans="1:35" x14ac:dyDescent="0.25">
      <c r="A4" s="5" t="s">
        <v>35</v>
      </c>
      <c r="B4" s="5" t="s">
        <v>36</v>
      </c>
      <c r="C4" s="5"/>
      <c r="D4" s="5"/>
      <c r="E4" s="5"/>
      <c r="F4" s="5" t="s">
        <v>29</v>
      </c>
      <c r="G4" s="5">
        <v>1</v>
      </c>
      <c r="H4" s="25">
        <v>7.157</v>
      </c>
      <c r="I4" s="8">
        <v>0.27379999999999999</v>
      </c>
      <c r="J4" s="8">
        <v>2</v>
      </c>
      <c r="K4" s="8">
        <f t="shared" si="4"/>
        <v>2.1306669662832247</v>
      </c>
      <c r="L4" s="8">
        <v>2.1928000000000001</v>
      </c>
      <c r="M4" s="5">
        <v>50</v>
      </c>
      <c r="N4" s="8"/>
      <c r="O4" s="8"/>
      <c r="P4" s="5" t="s">
        <v>37</v>
      </c>
      <c r="T4" s="4" t="str">
        <f t="shared" si="0"/>
        <v>Cal 3</v>
      </c>
      <c r="U4" s="5" t="str">
        <f t="shared" si="0"/>
        <v>x 50</v>
      </c>
      <c r="V4" s="5" t="str">
        <f t="shared" si="1"/>
        <v>23.11.2023</v>
      </c>
      <c r="W4" s="5">
        <f t="shared" si="1"/>
        <v>1</v>
      </c>
      <c r="X4" s="20">
        <f t="shared" si="2"/>
        <v>50</v>
      </c>
      <c r="Y4" s="8">
        <f t="shared" si="3"/>
        <v>7.157</v>
      </c>
      <c r="Z4" s="8">
        <f t="shared" si="3"/>
        <v>0.27379999999999999</v>
      </c>
      <c r="AA4" s="5">
        <f t="shared" si="3"/>
        <v>2</v>
      </c>
      <c r="AF4" t="s">
        <v>91</v>
      </c>
      <c r="AG4" s="8">
        <v>1.5543113860392972E-3</v>
      </c>
      <c r="AH4" s="8">
        <v>1.4608322165400806E-2</v>
      </c>
      <c r="AI4" t="s">
        <v>92</v>
      </c>
    </row>
    <row r="5" spans="1:35" x14ac:dyDescent="0.25">
      <c r="A5" s="5" t="s">
        <v>38</v>
      </c>
      <c r="B5" s="5" t="s">
        <v>39</v>
      </c>
      <c r="C5" s="5"/>
      <c r="D5" s="5"/>
      <c r="E5" s="5"/>
      <c r="F5" s="5" t="s">
        <v>29</v>
      </c>
      <c r="G5" s="5">
        <v>1</v>
      </c>
      <c r="H5" s="25">
        <v>7.16</v>
      </c>
      <c r="I5" s="8">
        <v>0.64039999999999997</v>
      </c>
      <c r="J5" s="8">
        <v>5</v>
      </c>
      <c r="K5" s="8">
        <f t="shared" si="4"/>
        <v>4.7595444947109966</v>
      </c>
      <c r="L5" s="8">
        <v>4.8075000000000001</v>
      </c>
      <c r="M5" s="5">
        <v>20</v>
      </c>
      <c r="N5" s="8"/>
      <c r="O5" s="8"/>
      <c r="P5" s="5" t="s">
        <v>40</v>
      </c>
      <c r="T5" s="4" t="str">
        <f t="shared" si="0"/>
        <v>Cal 4</v>
      </c>
      <c r="U5" s="5" t="str">
        <f t="shared" si="0"/>
        <v>x 20</v>
      </c>
      <c r="V5" s="5" t="str">
        <f t="shared" si="1"/>
        <v>23.11.2023</v>
      </c>
      <c r="W5" s="5">
        <f t="shared" si="1"/>
        <v>1</v>
      </c>
      <c r="X5" s="20">
        <f t="shared" si="2"/>
        <v>20</v>
      </c>
      <c r="Y5" s="8">
        <f t="shared" si="3"/>
        <v>7.16</v>
      </c>
      <c r="Z5" s="8">
        <f t="shared" si="3"/>
        <v>0.64039999999999997</v>
      </c>
      <c r="AA5" s="5">
        <f t="shared" si="3"/>
        <v>5</v>
      </c>
      <c r="AF5" t="s">
        <v>93</v>
      </c>
      <c r="AG5" s="8">
        <v>0.99950332068163195</v>
      </c>
      <c r="AH5" s="8">
        <v>2.6438527518135198E-2</v>
      </c>
      <c r="AI5" t="s">
        <v>94</v>
      </c>
    </row>
    <row r="6" spans="1:35" x14ac:dyDescent="0.25">
      <c r="A6" s="5" t="s">
        <v>41</v>
      </c>
      <c r="B6" s="5" t="s">
        <v>42</v>
      </c>
      <c r="C6" s="5"/>
      <c r="D6" s="5"/>
      <c r="E6" s="5"/>
      <c r="F6" s="5" t="s">
        <v>29</v>
      </c>
      <c r="G6" s="5">
        <v>1</v>
      </c>
      <c r="H6" s="25">
        <v>7.173</v>
      </c>
      <c r="I6" s="8">
        <v>1.3494999999999999</v>
      </c>
      <c r="J6" s="8">
        <v>10</v>
      </c>
      <c r="K6" s="8">
        <f t="shared" si="4"/>
        <v>9.8444791794031214</v>
      </c>
      <c r="L6" s="8">
        <v>9.8657000000000004</v>
      </c>
      <c r="M6" s="5">
        <v>10</v>
      </c>
      <c r="N6" s="8"/>
      <c r="O6" s="8"/>
      <c r="P6" s="5" t="s">
        <v>43</v>
      </c>
      <c r="T6" s="4" t="str">
        <f t="shared" si="0"/>
        <v>Cal 5</v>
      </c>
      <c r="U6" s="5" t="str">
        <f t="shared" si="0"/>
        <v>x 10</v>
      </c>
      <c r="V6" s="5" t="str">
        <f t="shared" si="1"/>
        <v>23.11.2023</v>
      </c>
      <c r="W6" s="5">
        <f t="shared" si="1"/>
        <v>1</v>
      </c>
      <c r="X6" s="20">
        <f t="shared" si="2"/>
        <v>10</v>
      </c>
      <c r="Y6" s="8">
        <f t="shared" si="3"/>
        <v>7.173</v>
      </c>
      <c r="Z6" s="8">
        <f t="shared" si="3"/>
        <v>1.3494999999999999</v>
      </c>
      <c r="AA6" s="5">
        <f t="shared" si="3"/>
        <v>10</v>
      </c>
      <c r="AF6" t="s">
        <v>95</v>
      </c>
      <c r="AG6" s="8">
        <v>8049.4861269093808</v>
      </c>
      <c r="AH6" s="8">
        <v>4</v>
      </c>
      <c r="AI6" t="s">
        <v>96</v>
      </c>
    </row>
    <row r="7" spans="1:35" x14ac:dyDescent="0.25">
      <c r="A7" s="5" t="s">
        <v>44</v>
      </c>
      <c r="B7" s="5" t="s">
        <v>45</v>
      </c>
      <c r="C7" s="5"/>
      <c r="D7" s="5"/>
      <c r="E7" s="5"/>
      <c r="F7" s="5" t="s">
        <v>29</v>
      </c>
      <c r="G7" s="5">
        <v>1</v>
      </c>
      <c r="H7" s="25">
        <v>7.1870000000000003</v>
      </c>
      <c r="I7" s="8">
        <v>2.7833000000000001</v>
      </c>
      <c r="J7" s="8">
        <v>20</v>
      </c>
      <c r="K7" s="8">
        <f t="shared" si="4"/>
        <v>20.126215677656642</v>
      </c>
      <c r="L7" s="8">
        <v>20.094000000000001</v>
      </c>
      <c r="M7" s="5">
        <v>5</v>
      </c>
      <c r="N7" s="8"/>
      <c r="O7" s="8"/>
      <c r="P7" s="5" t="s">
        <v>46</v>
      </c>
      <c r="T7" s="4" t="str">
        <f t="shared" si="0"/>
        <v>Cal 6</v>
      </c>
      <c r="U7" s="5" t="str">
        <f t="shared" si="0"/>
        <v>x 5</v>
      </c>
      <c r="V7" s="5" t="str">
        <f t="shared" si="1"/>
        <v>23.11.2023</v>
      </c>
      <c r="W7" s="5">
        <f t="shared" si="1"/>
        <v>1</v>
      </c>
      <c r="X7" s="20">
        <f t="shared" si="2"/>
        <v>5</v>
      </c>
      <c r="Y7" s="8">
        <f t="shared" si="3"/>
        <v>7.1870000000000003</v>
      </c>
      <c r="Z7" s="8">
        <f t="shared" si="3"/>
        <v>2.7833000000000001</v>
      </c>
      <c r="AA7" s="5">
        <f t="shared" si="3"/>
        <v>20</v>
      </c>
      <c r="AF7" t="s">
        <v>97</v>
      </c>
      <c r="AG7" s="8">
        <v>5.6265564903840257</v>
      </c>
      <c r="AH7" s="8">
        <v>2.7959829493087681E-3</v>
      </c>
      <c r="AI7" t="s">
        <v>98</v>
      </c>
    </row>
    <row r="8" spans="1:35" x14ac:dyDescent="0.25">
      <c r="A8" s="5">
        <v>1</v>
      </c>
      <c r="B8" s="5" t="s">
        <v>47</v>
      </c>
      <c r="C8" s="5"/>
      <c r="D8" s="5"/>
      <c r="E8" s="5"/>
      <c r="F8" s="5" t="s">
        <v>29</v>
      </c>
      <c r="G8" s="5">
        <v>1</v>
      </c>
      <c r="H8" s="25">
        <v>7.1429999999999998</v>
      </c>
      <c r="I8" s="8">
        <v>1.6500000000000001E-2</v>
      </c>
      <c r="J8" s="8"/>
      <c r="K8" s="8">
        <f t="shared" si="4"/>
        <v>0.28557643692025209</v>
      </c>
      <c r="L8" s="8">
        <v>0.3574</v>
      </c>
      <c r="M8" s="5">
        <v>0</v>
      </c>
      <c r="N8" s="8"/>
      <c r="O8" s="8"/>
      <c r="P8" s="5" t="s">
        <v>31</v>
      </c>
      <c r="S8" s="1"/>
    </row>
    <row r="9" spans="1:35" x14ac:dyDescent="0.25">
      <c r="A9" s="5">
        <v>2</v>
      </c>
      <c r="B9" s="5" t="s">
        <v>48</v>
      </c>
      <c r="C9" s="5"/>
      <c r="D9" s="5"/>
      <c r="E9" s="5"/>
      <c r="F9" s="5" t="s">
        <v>29</v>
      </c>
      <c r="G9" s="5">
        <v>1</v>
      </c>
      <c r="H9" s="25">
        <v>7.17</v>
      </c>
      <c r="I9" s="8">
        <v>0.77590000000000003</v>
      </c>
      <c r="J9" s="8"/>
      <c r="K9" s="8">
        <f t="shared" si="4"/>
        <v>5.7312109025177707</v>
      </c>
      <c r="L9" s="8">
        <v>5.7744999999999997</v>
      </c>
      <c r="M9" s="5">
        <v>20</v>
      </c>
      <c r="N9" s="8"/>
      <c r="O9" s="8"/>
      <c r="P9" s="5" t="s">
        <v>49</v>
      </c>
    </row>
    <row r="10" spans="1:35" x14ac:dyDescent="0.25">
      <c r="A10" s="5">
        <v>3</v>
      </c>
      <c r="B10" s="5" t="s">
        <v>50</v>
      </c>
      <c r="C10" s="5">
        <v>20</v>
      </c>
      <c r="D10" s="5">
        <v>10</v>
      </c>
      <c r="E10" s="5" t="s">
        <v>51</v>
      </c>
      <c r="F10" s="5" t="s">
        <v>29</v>
      </c>
      <c r="G10" s="5">
        <v>1</v>
      </c>
      <c r="H10" s="25">
        <v>7.1529999999999996</v>
      </c>
      <c r="I10" s="8">
        <v>6.8099999999999994E-2</v>
      </c>
      <c r="J10" s="8"/>
      <c r="K10" s="8">
        <f t="shared" si="4"/>
        <v>0.65559847856475029</v>
      </c>
      <c r="L10" s="8">
        <v>0.72519999999999996</v>
      </c>
      <c r="M10" s="5">
        <v>5</v>
      </c>
      <c r="N10" s="8">
        <f t="shared" ref="N10:N21" si="5">IF(H10="NA", "NA",M10*K10)</f>
        <v>3.2779923928237515</v>
      </c>
      <c r="O10" s="8">
        <f t="shared" ref="O10:O18" si="6">IF(H10="NA", "NA",M10*L10)</f>
        <v>3.6259999999999999</v>
      </c>
      <c r="P10" s="5" t="s">
        <v>52</v>
      </c>
    </row>
    <row r="11" spans="1:35" x14ac:dyDescent="0.25">
      <c r="A11" s="5">
        <v>4</v>
      </c>
      <c r="B11" s="5" t="s">
        <v>53</v>
      </c>
      <c r="C11" s="5">
        <v>20</v>
      </c>
      <c r="D11" s="5">
        <v>40</v>
      </c>
      <c r="E11" s="5" t="s">
        <v>51</v>
      </c>
      <c r="F11" s="5" t="s">
        <v>29</v>
      </c>
      <c r="G11" s="5">
        <v>1</v>
      </c>
      <c r="H11" s="25">
        <v>7.15</v>
      </c>
      <c r="I11" s="8">
        <v>5.3499999999999999E-2</v>
      </c>
      <c r="J11" s="8"/>
      <c r="K11" s="8">
        <f t="shared" si="4"/>
        <v>0.55090231949479529</v>
      </c>
      <c r="L11" s="8">
        <v>0.62129999999999996</v>
      </c>
      <c r="M11" s="5">
        <v>5</v>
      </c>
      <c r="N11" s="8">
        <f t="shared" si="5"/>
        <v>2.7545115974739764</v>
      </c>
      <c r="O11" s="8">
        <f t="shared" si="6"/>
        <v>3.1064999999999996</v>
      </c>
      <c r="P11" s="5" t="s">
        <v>54</v>
      </c>
      <c r="S11" s="1" t="s">
        <v>99</v>
      </c>
      <c r="T11" s="10"/>
      <c r="U11" s="11" t="s">
        <v>100</v>
      </c>
      <c r="V11" s="12" t="s">
        <v>101</v>
      </c>
    </row>
    <row r="12" spans="1:35" x14ac:dyDescent="0.25">
      <c r="A12" s="5">
        <v>5</v>
      </c>
      <c r="B12" s="5" t="s">
        <v>55</v>
      </c>
      <c r="C12" s="5">
        <v>20</v>
      </c>
      <c r="D12" s="5">
        <v>50</v>
      </c>
      <c r="E12" s="5" t="s">
        <v>51</v>
      </c>
      <c r="F12" s="5" t="s">
        <v>29</v>
      </c>
      <c r="G12" s="5">
        <v>1</v>
      </c>
      <c r="H12" s="25">
        <v>7.1529999999999996</v>
      </c>
      <c r="I12" s="8">
        <v>5.1900000000000002E-2</v>
      </c>
      <c r="J12" s="8"/>
      <c r="K12" s="8">
        <f t="shared" si="4"/>
        <v>0.53942876781589622</v>
      </c>
      <c r="L12" s="8">
        <v>0.60950000000000004</v>
      </c>
      <c r="M12" s="5">
        <v>5</v>
      </c>
      <c r="N12" s="8">
        <f t="shared" si="5"/>
        <v>2.6971438390794811</v>
      </c>
      <c r="O12" s="8">
        <f t="shared" si="6"/>
        <v>3.0475000000000003</v>
      </c>
      <c r="P12" s="5" t="s">
        <v>56</v>
      </c>
      <c r="T12" s="13" t="s">
        <v>133</v>
      </c>
      <c r="U12" s="8">
        <f xml:space="preserve"> AVERAGE(I8,I23,I24)+3*STDEV(I8,I23,I24)</f>
        <v>2.6065790027001916E-2</v>
      </c>
      <c r="V12" s="8">
        <f xml:space="preserve"> AVERAGE(I8,I23,I24)+10*STDEV(I8,I23,I24)</f>
        <v>5.5269300090006385E-2</v>
      </c>
    </row>
    <row r="13" spans="1:35" x14ac:dyDescent="0.25">
      <c r="A13" s="5">
        <v>6</v>
      </c>
      <c r="B13" s="5" t="s">
        <v>57</v>
      </c>
      <c r="C13" s="5">
        <v>20</v>
      </c>
      <c r="D13" s="5">
        <v>60</v>
      </c>
      <c r="E13" s="5" t="s">
        <v>51</v>
      </c>
      <c r="F13" s="5" t="s">
        <v>29</v>
      </c>
      <c r="G13" s="5">
        <v>1</v>
      </c>
      <c r="H13" s="25">
        <v>7.16</v>
      </c>
      <c r="I13" s="8">
        <v>8.6400000000000005E-2</v>
      </c>
      <c r="J13" s="8"/>
      <c r="K13" s="8">
        <f t="shared" si="4"/>
        <v>0.78682722589215959</v>
      </c>
      <c r="L13" s="8">
        <v>0.85629999999999995</v>
      </c>
      <c r="M13" s="5">
        <v>5</v>
      </c>
      <c r="N13" s="8">
        <f t="shared" si="5"/>
        <v>3.9341361294607982</v>
      </c>
      <c r="O13" s="8">
        <f t="shared" si="6"/>
        <v>4.2814999999999994</v>
      </c>
      <c r="P13" s="5" t="s">
        <v>58</v>
      </c>
      <c r="T13" s="13" t="s">
        <v>127</v>
      </c>
      <c r="U13" s="8">
        <f xml:space="preserve"> AVERAGE(K8,K23,K24)+3*STDEV(K8,K23,K24)</f>
        <v>0.35417242831044249</v>
      </c>
      <c r="V13" s="8">
        <f xml:space="preserve"> AVERAGE(K8,K23,K24)+10*STDEV(K8,K23,K24)</f>
        <v>0.56358991700615091</v>
      </c>
    </row>
    <row r="14" spans="1:35" x14ac:dyDescent="0.25">
      <c r="A14" s="5">
        <v>7</v>
      </c>
      <c r="B14" s="5" t="s">
        <v>59</v>
      </c>
      <c r="C14" s="5">
        <v>20</v>
      </c>
      <c r="D14" s="5">
        <v>70</v>
      </c>
      <c r="E14" s="5" t="s">
        <v>51</v>
      </c>
      <c r="F14" s="5" t="s">
        <v>29</v>
      </c>
      <c r="G14" s="5">
        <v>1</v>
      </c>
      <c r="H14" s="25">
        <v>7.157</v>
      </c>
      <c r="I14" s="8">
        <v>6.9800000000000001E-2</v>
      </c>
      <c r="J14" s="8"/>
      <c r="K14" s="8">
        <f t="shared" si="4"/>
        <v>0.66778912722358064</v>
      </c>
      <c r="L14" s="8">
        <v>0.73750000000000004</v>
      </c>
      <c r="M14" s="5">
        <v>5</v>
      </c>
      <c r="N14" s="8">
        <f t="shared" si="5"/>
        <v>3.3389456361179031</v>
      </c>
      <c r="O14" s="8">
        <f t="shared" si="6"/>
        <v>3.6875</v>
      </c>
      <c r="P14" s="5" t="s">
        <v>60</v>
      </c>
      <c r="T14" s="13" t="s">
        <v>128</v>
      </c>
      <c r="U14" s="8">
        <f xml:space="preserve"> AVERAGE(L8,L23,L24)+3*STDEV(L8,L23,L24)</f>
        <v>0.42581971849821693</v>
      </c>
      <c r="V14" s="8">
        <f xml:space="preserve"> AVERAGE(L8,L23,L24)+10*STDEV(L8,L23,L24)</f>
        <v>0.6346990616607231</v>
      </c>
    </row>
    <row r="15" spans="1:35" x14ac:dyDescent="0.25">
      <c r="A15" s="5">
        <v>8</v>
      </c>
      <c r="B15" s="5" t="s">
        <v>61</v>
      </c>
      <c r="C15" s="5">
        <v>20</v>
      </c>
      <c r="D15" s="5">
        <v>80</v>
      </c>
      <c r="E15" s="5" t="s">
        <v>51</v>
      </c>
      <c r="F15" s="5" t="s">
        <v>29</v>
      </c>
      <c r="G15" s="5">
        <v>1</v>
      </c>
      <c r="H15" s="25">
        <v>7.1529999999999996</v>
      </c>
      <c r="I15" s="8">
        <v>7.3400000000000007E-2</v>
      </c>
      <c r="J15" s="8"/>
      <c r="K15" s="8">
        <f t="shared" si="4"/>
        <v>0.69360461850110389</v>
      </c>
      <c r="L15" s="8">
        <v>0.76359999999999995</v>
      </c>
      <c r="M15" s="5">
        <v>5</v>
      </c>
      <c r="N15" s="8">
        <f t="shared" si="5"/>
        <v>3.4680230925055193</v>
      </c>
      <c r="O15" s="8">
        <f t="shared" si="6"/>
        <v>3.8179999999999996</v>
      </c>
      <c r="P15" s="5" t="s">
        <v>62</v>
      </c>
    </row>
    <row r="16" spans="1:35" x14ac:dyDescent="0.25">
      <c r="A16" s="5">
        <v>9</v>
      </c>
      <c r="B16" s="5" t="s">
        <v>63</v>
      </c>
      <c r="C16" s="5">
        <v>20</v>
      </c>
      <c r="D16" s="5">
        <v>100</v>
      </c>
      <c r="E16" s="5" t="s">
        <v>51</v>
      </c>
      <c r="F16" s="5" t="s">
        <v>29</v>
      </c>
      <c r="G16" s="5">
        <v>1</v>
      </c>
      <c r="H16" s="25">
        <v>7.1529999999999996</v>
      </c>
      <c r="I16" s="8">
        <v>2.5100000000000001E-2</v>
      </c>
      <c r="J16" s="8"/>
      <c r="K16" s="8">
        <f t="shared" si="4"/>
        <v>0.34724677719433511</v>
      </c>
      <c r="L16" s="8">
        <v>0.41839999999999999</v>
      </c>
      <c r="M16" s="5">
        <v>5</v>
      </c>
      <c r="N16" s="8">
        <f t="shared" si="5"/>
        <v>1.7362338859716755</v>
      </c>
      <c r="O16" s="8">
        <f t="shared" si="6"/>
        <v>2.0920000000000001</v>
      </c>
      <c r="P16" s="5" t="s">
        <v>64</v>
      </c>
      <c r="S16" s="1" t="s">
        <v>102</v>
      </c>
      <c r="T16" s="2"/>
      <c r="U16" s="3" t="s">
        <v>103</v>
      </c>
      <c r="V16" s="3" t="s">
        <v>104</v>
      </c>
      <c r="W16" s="3" t="s">
        <v>105</v>
      </c>
      <c r="X16" s="3" t="s">
        <v>106</v>
      </c>
      <c r="Y16" s="2" t="s">
        <v>107</v>
      </c>
      <c r="Z16" s="3" t="s">
        <v>108</v>
      </c>
      <c r="AA16" s="3" t="s">
        <v>109</v>
      </c>
      <c r="AB16" s="3" t="s">
        <v>110</v>
      </c>
      <c r="AC16" s="3" t="s">
        <v>111</v>
      </c>
      <c r="AD16" s="3" t="s">
        <v>112</v>
      </c>
    </row>
    <row r="17" spans="1:30" x14ac:dyDescent="0.25">
      <c r="A17" s="5">
        <v>10</v>
      </c>
      <c r="B17" s="5" t="s">
        <v>65</v>
      </c>
      <c r="C17" s="5">
        <v>20</v>
      </c>
      <c r="D17" s="5">
        <v>30</v>
      </c>
      <c r="E17" s="5" t="s">
        <v>66</v>
      </c>
      <c r="F17" s="5" t="s">
        <v>29</v>
      </c>
      <c r="G17" s="5">
        <v>1</v>
      </c>
      <c r="H17" s="25">
        <v>7.157</v>
      </c>
      <c r="I17" s="8">
        <v>5.3600000000000002E-2</v>
      </c>
      <c r="J17" s="8"/>
      <c r="K17" s="8">
        <f t="shared" si="4"/>
        <v>0.55161941647472668</v>
      </c>
      <c r="L17" s="8">
        <v>0.62219999999999998</v>
      </c>
      <c r="M17" s="5">
        <v>5</v>
      </c>
      <c r="N17" s="8">
        <f t="shared" si="5"/>
        <v>2.7580970823736335</v>
      </c>
      <c r="O17" s="8">
        <f t="shared" si="6"/>
        <v>3.1109999999999998</v>
      </c>
      <c r="P17" s="5" t="s">
        <v>67</v>
      </c>
      <c r="T17" s="13" t="s">
        <v>141</v>
      </c>
      <c r="U17" s="25">
        <f>AVERAGE(H3:H24)</f>
        <v>7.1606315789473678</v>
      </c>
      <c r="V17" s="25">
        <f>MEDIAN(H3:H24)</f>
        <v>7.157</v>
      </c>
      <c r="W17" s="25">
        <f>STDEV(H3:H24)</f>
        <v>1.6533503111748636E-2</v>
      </c>
      <c r="X17" s="25">
        <f>W17/U17*100</f>
        <v>0.23089448087732933</v>
      </c>
      <c r="Y17" s="25">
        <f>VAR(H3:H24)</f>
        <v>2.7335672514620181E-4</v>
      </c>
      <c r="Z17" s="25">
        <f>MAX(H3:H24)</f>
        <v>7.2130000000000001</v>
      </c>
      <c r="AA17" s="25">
        <f>MIN(H3:H24)</f>
        <v>7.14</v>
      </c>
      <c r="AB17" s="25">
        <f>Z17-AA17</f>
        <v>7.3000000000000398E-2</v>
      </c>
      <c r="AC17" s="25">
        <f>COUNT(H3:H24)</f>
        <v>19</v>
      </c>
      <c r="AD17" s="25">
        <f>W17/SQRT(AC17)</f>
        <v>3.7930457498330295E-3</v>
      </c>
    </row>
    <row r="18" spans="1:30" x14ac:dyDescent="0.25">
      <c r="A18" s="5">
        <v>11</v>
      </c>
      <c r="B18" s="5" t="s">
        <v>68</v>
      </c>
      <c r="C18" s="5">
        <v>20</v>
      </c>
      <c r="D18" s="5">
        <v>90</v>
      </c>
      <c r="E18" s="5" t="s">
        <v>66</v>
      </c>
      <c r="F18" s="5" t="s">
        <v>29</v>
      </c>
      <c r="G18" s="5">
        <v>1</v>
      </c>
      <c r="H18" s="25">
        <v>7.16</v>
      </c>
      <c r="I18" s="8">
        <v>0.12790000000000001</v>
      </c>
      <c r="J18" s="8"/>
      <c r="K18" s="8">
        <f t="shared" si="4"/>
        <v>1.0844224725636069</v>
      </c>
      <c r="L18" s="8">
        <v>1.1521999999999999</v>
      </c>
      <c r="M18" s="5">
        <v>5</v>
      </c>
      <c r="N18" s="8">
        <f t="shared" si="5"/>
        <v>5.4221123628180345</v>
      </c>
      <c r="O18" s="8">
        <f t="shared" si="6"/>
        <v>5.7609999999999992</v>
      </c>
      <c r="P18" s="5" t="s">
        <v>69</v>
      </c>
      <c r="T18" s="13" t="s">
        <v>131</v>
      </c>
      <c r="U18" s="8">
        <f>AVERAGE(I9,I22)</f>
        <v>0.74104999999999999</v>
      </c>
      <c r="V18" s="8">
        <f>MEDIAN(I9,I22)</f>
        <v>0.74104999999999999</v>
      </c>
      <c r="W18" s="8">
        <f>STDEV(I9,I22)</f>
        <v>4.9285342648702352E-2</v>
      </c>
      <c r="X18" s="8">
        <f>W18/U18*100</f>
        <v>6.6507445717161255</v>
      </c>
      <c r="Y18" s="8">
        <f>VAR(I9,I22)</f>
        <v>2.429044999999999E-3</v>
      </c>
      <c r="Z18" s="8">
        <f>MAX(I9,I22)</f>
        <v>0.77590000000000003</v>
      </c>
      <c r="AA18" s="8">
        <f>MIN(I9,I22)</f>
        <v>0.70620000000000005</v>
      </c>
      <c r="AB18" s="8">
        <f>Z18-AA18</f>
        <v>6.9699999999999984E-2</v>
      </c>
      <c r="AC18" s="8">
        <f>COUNT(I9,I22)</f>
        <v>2</v>
      </c>
      <c r="AD18" s="8">
        <f>W18/SQRT(AC18)</f>
        <v>3.4849999999999992E-2</v>
      </c>
    </row>
    <row r="19" spans="1:30" x14ac:dyDescent="0.25">
      <c r="A19" s="26">
        <v>12</v>
      </c>
      <c r="B19" s="26" t="s">
        <v>70</v>
      </c>
      <c r="C19" s="26">
        <v>20</v>
      </c>
      <c r="D19" s="26">
        <v>100</v>
      </c>
      <c r="E19" s="26" t="s">
        <v>66</v>
      </c>
      <c r="F19" s="26" t="s">
        <v>29</v>
      </c>
      <c r="G19" s="26">
        <v>1</v>
      </c>
      <c r="H19" s="27">
        <v>7.2130000000000001</v>
      </c>
      <c r="I19" s="28">
        <v>0.20349999999999999</v>
      </c>
      <c r="J19" s="28"/>
      <c r="K19" s="28">
        <f t="shared" si="4"/>
        <v>1.6265477893915925</v>
      </c>
      <c r="L19" s="28">
        <v>1.6910000000000001</v>
      </c>
      <c r="M19" s="26">
        <v>5</v>
      </c>
      <c r="N19" s="28">
        <f t="shared" si="5"/>
        <v>8.1327389469579625</v>
      </c>
      <c r="O19" s="28">
        <f>IF(L19="NA", "NA",M19*L19)</f>
        <v>8.4550000000000001</v>
      </c>
      <c r="P19" s="26" t="s">
        <v>71</v>
      </c>
      <c r="T19" s="13" t="s">
        <v>113</v>
      </c>
      <c r="U19" s="8">
        <f>AVERAGE(K9,K22)</f>
        <v>5.4813026050117486</v>
      </c>
      <c r="V19" s="8">
        <f>MEDIAN(K9,K22)</f>
        <v>5.4813026050117486</v>
      </c>
      <c r="W19" s="8">
        <f>STDEV(K9,K22)</f>
        <v>0.35342370368258735</v>
      </c>
      <c r="X19" s="8">
        <f>W19/U19*100</f>
        <v>6.4478050045885</v>
      </c>
      <c r="Y19" s="8">
        <f>VAR(K9,K22)</f>
        <v>0.1249083143247173</v>
      </c>
      <c r="Z19" s="8">
        <f>MAX(K9,K22)</f>
        <v>5.7312109025177707</v>
      </c>
      <c r="AA19" s="8">
        <f>MIN(K9,K22)</f>
        <v>5.2313943075057256</v>
      </c>
      <c r="AB19" s="8">
        <f>Z19-AA19</f>
        <v>0.49981659501204501</v>
      </c>
      <c r="AC19" s="8">
        <f>COUNT(K9,K22)</f>
        <v>2</v>
      </c>
      <c r="AD19" s="8">
        <f>W19/SQRT(AC19)</f>
        <v>0.24990829750602248</v>
      </c>
    </row>
    <row r="20" spans="1:30" x14ac:dyDescent="0.25">
      <c r="A20" s="26">
        <v>13</v>
      </c>
      <c r="B20" s="26" t="s">
        <v>72</v>
      </c>
      <c r="C20" s="26">
        <v>10</v>
      </c>
      <c r="D20" s="26">
        <v>90</v>
      </c>
      <c r="E20" s="26" t="s">
        <v>51</v>
      </c>
      <c r="F20" s="26" t="s">
        <v>29</v>
      </c>
      <c r="G20" s="26">
        <v>1</v>
      </c>
      <c r="H20" s="27" t="s">
        <v>148</v>
      </c>
      <c r="I20" s="28" t="s">
        <v>148</v>
      </c>
      <c r="J20" s="28"/>
      <c r="K20" s="28" t="str">
        <f t="shared" si="4"/>
        <v>NA</v>
      </c>
      <c r="L20" s="28" t="s">
        <v>148</v>
      </c>
      <c r="M20" s="26">
        <v>25</v>
      </c>
      <c r="N20" s="28" t="str">
        <f t="shared" si="5"/>
        <v>NA</v>
      </c>
      <c r="O20" s="28" t="str">
        <f>IF(H20="NA", "NA",M20*L20)</f>
        <v>NA</v>
      </c>
      <c r="P20" s="26" t="s">
        <v>73</v>
      </c>
      <c r="T20" s="13" t="s">
        <v>114</v>
      </c>
      <c r="U20" s="8">
        <f>AVERAGE(L9,L22)</f>
        <v>5.5259999999999998</v>
      </c>
      <c r="V20" s="8">
        <f>MEDIAN(L9,L22)</f>
        <v>5.5259999999999998</v>
      </c>
      <c r="W20" s="8">
        <f>STDEV(L9,L22)</f>
        <v>0.35143207024971407</v>
      </c>
      <c r="X20" s="8">
        <f>W20/U20*100</f>
        <v>6.3596103917791176</v>
      </c>
      <c r="Y20" s="8">
        <f>VAR(L9,L22)</f>
        <v>0.12350449999999995</v>
      </c>
      <c r="Z20" s="8">
        <f>MAX(L9,L22)</f>
        <v>5.7744999999999997</v>
      </c>
      <c r="AA20" s="8">
        <f>MIN(L9,L22)</f>
        <v>5.2774999999999999</v>
      </c>
      <c r="AB20" s="8">
        <f>Z20-AA20</f>
        <v>0.49699999999999989</v>
      </c>
      <c r="AC20" s="8">
        <f>COUNT(L9,L22)</f>
        <v>2</v>
      </c>
      <c r="AD20" s="8">
        <f>W20/SQRT(AC20)</f>
        <v>0.24849999999999994</v>
      </c>
    </row>
    <row r="21" spans="1:30" x14ac:dyDescent="0.25">
      <c r="A21" s="29">
        <v>14</v>
      </c>
      <c r="B21" s="29" t="s">
        <v>70</v>
      </c>
      <c r="C21" s="29">
        <v>20</v>
      </c>
      <c r="D21" s="29">
        <v>100</v>
      </c>
      <c r="E21" s="29" t="s">
        <v>66</v>
      </c>
      <c r="F21" s="29" t="s">
        <v>29</v>
      </c>
      <c r="G21" s="29">
        <v>1</v>
      </c>
      <c r="H21" s="30" t="s">
        <v>148</v>
      </c>
      <c r="I21" s="31" t="s">
        <v>148</v>
      </c>
      <c r="J21" s="31"/>
      <c r="K21" s="31" t="str">
        <f t="shared" si="4"/>
        <v>NA</v>
      </c>
      <c r="L21" s="31" t="s">
        <v>148</v>
      </c>
      <c r="M21" s="29">
        <v>25</v>
      </c>
      <c r="N21" s="31" t="str">
        <f t="shared" si="5"/>
        <v>NA</v>
      </c>
      <c r="O21" s="31" t="str">
        <f>IF(H21="NA", "NA",M21*L21)</f>
        <v>NA</v>
      </c>
      <c r="P21" s="29" t="s">
        <v>74</v>
      </c>
      <c r="T21" s="13" t="s">
        <v>132</v>
      </c>
      <c r="U21" s="8">
        <f>AVERAGE(I8,I23,I24)</f>
        <v>1.355E-2</v>
      </c>
      <c r="V21" s="8">
        <f>MEDIAN(I8,I23,I24)</f>
        <v>1.355E-2</v>
      </c>
      <c r="W21" s="8">
        <f>STDEV(I8,I23,I24)</f>
        <v>4.1719300090006387E-3</v>
      </c>
      <c r="X21" s="8">
        <f>W21/U21*100</f>
        <v>30.789151357938294</v>
      </c>
      <c r="Y21" s="8">
        <f>VAR(I8,I23,I24)</f>
        <v>1.7405000000000068E-5</v>
      </c>
      <c r="Z21" s="8">
        <f>MAX(I8,I23,I24)</f>
        <v>1.6500000000000001E-2</v>
      </c>
      <c r="AA21" s="8">
        <f>MIN(I8,I23,I24)</f>
        <v>1.06E-2</v>
      </c>
      <c r="AB21" s="8">
        <f t="shared" ref="AB21:AB23" si="7">Z21-AA21</f>
        <v>5.9000000000000007E-3</v>
      </c>
      <c r="AC21" s="8">
        <f>COUNT(I8,I23,I24)</f>
        <v>2</v>
      </c>
      <c r="AD21" s="8">
        <f t="shared" ref="AD21:AD23" si="8">W21/SQRT(AC21)</f>
        <v>2.9500000000000056E-3</v>
      </c>
    </row>
    <row r="22" spans="1:30" x14ac:dyDescent="0.25">
      <c r="A22" s="5">
        <v>15</v>
      </c>
      <c r="B22" s="5" t="s">
        <v>48</v>
      </c>
      <c r="C22" s="5"/>
      <c r="D22" s="5"/>
      <c r="E22" s="5"/>
      <c r="F22" s="5" t="s">
        <v>29</v>
      </c>
      <c r="G22" s="5">
        <v>1</v>
      </c>
      <c r="H22" s="25">
        <v>7.1630000000000003</v>
      </c>
      <c r="I22" s="8">
        <v>0.70620000000000005</v>
      </c>
      <c r="J22" s="8"/>
      <c r="K22" s="8">
        <f t="shared" si="4"/>
        <v>5.2313943075057256</v>
      </c>
      <c r="L22" s="8">
        <v>5.2774999999999999</v>
      </c>
      <c r="M22" s="5"/>
      <c r="N22" s="8"/>
      <c r="O22" s="8"/>
      <c r="P22" s="5" t="s">
        <v>49</v>
      </c>
      <c r="T22" s="13" t="s">
        <v>115</v>
      </c>
      <c r="U22" s="8">
        <f>AVERAGE(K8,K23,K24)</f>
        <v>0.26442207601228174</v>
      </c>
      <c r="V22" s="8">
        <f>MEDIAN(K8,K23,K24)</f>
        <v>0.26442207601228174</v>
      </c>
      <c r="W22" s="8">
        <f>STDEV(K8,K23,K24)</f>
        <v>2.991678409938691E-2</v>
      </c>
      <c r="X22" s="8">
        <f t="shared" ref="X22:X23" si="9">W22/U22*100</f>
        <v>11.314026631421406</v>
      </c>
      <c r="Y22" s="8">
        <f>VAR(K8,K23,K24)</f>
        <v>8.9501397084932937E-4</v>
      </c>
      <c r="Z22" s="8">
        <f>MAX(K8,K23,K24)</f>
        <v>0.28557643692025209</v>
      </c>
      <c r="AA22" s="8">
        <f>MIN(K8,K23,K24)</f>
        <v>0.24326771510431136</v>
      </c>
      <c r="AB22" s="8">
        <f t="shared" si="7"/>
        <v>4.2308721815940725E-2</v>
      </c>
      <c r="AC22" s="8">
        <f>COUNT(K8,K23,K24)</f>
        <v>2</v>
      </c>
      <c r="AD22" s="8">
        <f t="shared" si="8"/>
        <v>2.1154360907970363E-2</v>
      </c>
    </row>
    <row r="23" spans="1:30" x14ac:dyDescent="0.25">
      <c r="A23" s="5">
        <v>16</v>
      </c>
      <c r="B23" s="5" t="s">
        <v>28</v>
      </c>
      <c r="C23" s="5"/>
      <c r="D23" s="5"/>
      <c r="E23" s="5"/>
      <c r="F23" s="5" t="s">
        <v>29</v>
      </c>
      <c r="G23" s="5">
        <v>1</v>
      </c>
      <c r="H23" s="25">
        <v>7.14</v>
      </c>
      <c r="I23" s="8">
        <v>1.06E-2</v>
      </c>
      <c r="J23" s="8"/>
      <c r="K23" s="8">
        <f t="shared" si="4"/>
        <v>0.24326771510431136</v>
      </c>
      <c r="L23" s="8">
        <v>0.31519999999999998</v>
      </c>
      <c r="M23" s="5"/>
      <c r="N23" s="8"/>
      <c r="O23" s="8"/>
      <c r="P23" s="5" t="s">
        <v>31</v>
      </c>
      <c r="T23" s="13" t="s">
        <v>116</v>
      </c>
      <c r="U23" s="8">
        <f>AVERAGE(L8,L23,L24)</f>
        <v>0.33629999999999999</v>
      </c>
      <c r="V23" s="8">
        <f>MEDIAN(L8,L23,L24)</f>
        <v>0.33629999999999999</v>
      </c>
      <c r="W23" s="8">
        <f>STDEV(L8,L23,L24)</f>
        <v>2.9839906166072315E-2</v>
      </c>
      <c r="X23" s="8">
        <f t="shared" si="9"/>
        <v>8.873002130857067</v>
      </c>
      <c r="Y23" s="8">
        <f>VAR(L8,L23,L24)</f>
        <v>8.904200000000006E-4</v>
      </c>
      <c r="Z23" s="8">
        <f>MAX(L8,L23,L24)</f>
        <v>0.3574</v>
      </c>
      <c r="AA23" s="8">
        <f>MIN(L8,L23,L24)</f>
        <v>0.31519999999999998</v>
      </c>
      <c r="AB23" s="8">
        <f t="shared" si="7"/>
        <v>4.2200000000000015E-2</v>
      </c>
      <c r="AC23" s="8">
        <f>COUNT(L8,L23,L24)</f>
        <v>2</v>
      </c>
      <c r="AD23" s="8">
        <f t="shared" si="8"/>
        <v>2.1100000000000004E-2</v>
      </c>
    </row>
    <row r="24" spans="1:30" x14ac:dyDescent="0.25">
      <c r="A24" s="5">
        <v>17</v>
      </c>
      <c r="B24" s="5" t="s">
        <v>28</v>
      </c>
      <c r="C24" s="5"/>
      <c r="D24" s="5"/>
      <c r="E24" s="5"/>
      <c r="F24" s="5" t="s">
        <v>29</v>
      </c>
      <c r="G24" s="5">
        <v>1</v>
      </c>
      <c r="H24" s="25" t="s">
        <v>148</v>
      </c>
      <c r="I24" s="8" t="s">
        <v>148</v>
      </c>
      <c r="J24" s="8"/>
      <c r="K24" s="8" t="str">
        <f t="shared" si="4"/>
        <v>NA</v>
      </c>
      <c r="L24" s="8" t="s">
        <v>148</v>
      </c>
      <c r="M24" s="5"/>
      <c r="N24" s="8"/>
      <c r="O24" s="8"/>
      <c r="P24" s="5" t="s">
        <v>31</v>
      </c>
    </row>
    <row r="25" spans="1:30" x14ac:dyDescent="0.25">
      <c r="T25" s="14"/>
    </row>
    <row r="26" spans="1:30" x14ac:dyDescent="0.25">
      <c r="T26" s="6"/>
      <c r="U26" s="3" t="s">
        <v>117</v>
      </c>
      <c r="V26" s="3" t="s">
        <v>118</v>
      </c>
      <c r="W26" s="3" t="s">
        <v>119</v>
      </c>
      <c r="X26" s="3" t="s">
        <v>120</v>
      </c>
      <c r="Y26" s="3" t="s">
        <v>121</v>
      </c>
      <c r="Z26" s="3" t="s">
        <v>122</v>
      </c>
      <c r="AA26" s="3" t="s">
        <v>123</v>
      </c>
    </row>
    <row r="27" spans="1:30" ht="45" x14ac:dyDescent="0.25">
      <c r="T27" s="18" t="s">
        <v>161</v>
      </c>
      <c r="U27" s="7">
        <f>K5</f>
        <v>4.7595444947109966</v>
      </c>
      <c r="V27" s="7">
        <f>L5</f>
        <v>4.8075000000000001</v>
      </c>
      <c r="W27" s="15">
        <v>101</v>
      </c>
      <c r="X27" s="15">
        <v>1</v>
      </c>
      <c r="Y27" s="7">
        <f>W27/(20)</f>
        <v>5.05</v>
      </c>
      <c r="Z27" s="7">
        <f>V27/Y27 *100</f>
        <v>95.198019801980209</v>
      </c>
      <c r="AA27" s="7">
        <f>U27/Y27 *100</f>
        <v>94.24840583586132</v>
      </c>
    </row>
    <row r="28" spans="1:30" ht="45" x14ac:dyDescent="0.25">
      <c r="T28" s="18" t="s">
        <v>129</v>
      </c>
      <c r="U28" s="7">
        <f>U19</f>
        <v>5.4813026050117486</v>
      </c>
      <c r="V28" s="7">
        <f>U20</f>
        <v>5.5259999999999998</v>
      </c>
      <c r="W28" s="15">
        <v>100</v>
      </c>
      <c r="X28" s="15">
        <v>1</v>
      </c>
      <c r="Y28" s="7">
        <f>W28/(20)</f>
        <v>5</v>
      </c>
      <c r="Z28" s="7">
        <f>V28/Y28 *100</f>
        <v>110.52</v>
      </c>
      <c r="AA28" s="7">
        <f>U28/Y28 *100</f>
        <v>109.62605210023497</v>
      </c>
    </row>
    <row r="31" spans="1:30" x14ac:dyDescent="0.25">
      <c r="T31" s="5"/>
      <c r="U31" s="3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3" t="s">
        <v>122</v>
      </c>
      <c r="AC31" s="3" t="s">
        <v>123</v>
      </c>
    </row>
    <row r="32" spans="1:30" x14ac:dyDescent="0.25">
      <c r="T32" s="13" t="s">
        <v>130</v>
      </c>
      <c r="U32" s="8">
        <f>I5</f>
        <v>0.64039999999999997</v>
      </c>
      <c r="V32" s="8">
        <f>U18</f>
        <v>0.74104999999999999</v>
      </c>
      <c r="W32" s="8">
        <f>K5</f>
        <v>4.7595444947109966</v>
      </c>
      <c r="X32" s="8">
        <f>L5</f>
        <v>4.8075000000000001</v>
      </c>
      <c r="Y32" s="8">
        <f>U19</f>
        <v>5.4813026050117486</v>
      </c>
      <c r="Z32" s="8">
        <f>U20</f>
        <v>5.5259999999999998</v>
      </c>
      <c r="AA32" s="8">
        <f>U32/V32 *100</f>
        <v>86.417920518183649</v>
      </c>
      <c r="AB32" s="8">
        <f>W32/Y32 *100</f>
        <v>86.83236153317236</v>
      </c>
      <c r="AC32" s="8">
        <f>X32/Z32 *100</f>
        <v>86.997828447339856</v>
      </c>
    </row>
  </sheetData>
  <conditionalFormatting sqref="K1">
    <cfRule type="cellIs" dxfId="7" priority="5" operator="lessThan">
      <formula>$U$13</formula>
    </cfRule>
    <cfRule type="cellIs" dxfId="6" priority="6" operator="lessThan">
      <formula>$V$13</formula>
    </cfRule>
  </conditionalFormatting>
  <conditionalFormatting sqref="L1:L24">
    <cfRule type="cellIs" dxfId="5" priority="7" operator="lessThan">
      <formula>$U$14</formula>
    </cfRule>
    <cfRule type="cellIs" dxfId="4" priority="8" operator="lessThan">
      <formula>$V$14</formula>
    </cfRule>
  </conditionalFormatting>
  <conditionalFormatting sqref="I2:I24">
    <cfRule type="cellIs" dxfId="3" priority="3" operator="lessThan">
      <formula>$U$12</formula>
    </cfRule>
    <cfRule type="cellIs" dxfId="2" priority="4" operator="lessThan">
      <formula>$V$12</formula>
    </cfRule>
  </conditionalFormatting>
  <conditionalFormatting sqref="K2:K24">
    <cfRule type="cellIs" dxfId="1" priority="1" operator="lessThan">
      <formula>$U$13</formula>
    </cfRule>
    <cfRule type="cellIs" dxfId="0" priority="2" operator="lessThan">
      <formula>$V$13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7" ma:contentTypeDescription="Create a new document." ma:contentTypeScope="" ma:versionID="7010c0a6269079e21613b7d96089c7ae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7ec94fa1e5f2936bee832cd056caf156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Props1.xml><?xml version="1.0" encoding="utf-8"?>
<ds:datastoreItem xmlns:ds="http://schemas.openxmlformats.org/officeDocument/2006/customXml" ds:itemID="{0BF62E27-3307-4364-8032-BD7DAF98B3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9DA6F7-5464-48F4-A91B-6EB855B0A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E17A07-87C5-4B82-A532-5CCFB3B9F2DF}">
  <ds:schemaRefs>
    <ds:schemaRef ds:uri="http://purl.org/dc/elements/1.1/"/>
    <ds:schemaRef ds:uri="http://purl.org/dc/dcmitype/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calibration</vt:lpstr>
      <vt:lpstr>IC_231123_F</vt:lpstr>
      <vt:lpstr>IC_231123_Cl</vt:lpstr>
      <vt:lpstr>IC_231123_Nitrite</vt:lpstr>
      <vt:lpstr>IC_231123_Br</vt:lpstr>
      <vt:lpstr>IC_231123_Nitrate</vt:lpstr>
      <vt:lpstr>IC_231123_PO4</vt:lpstr>
      <vt:lpstr>IC_231123_SO4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2023-12-03T15:24:57Z</dcterms:created>
  <dcterms:modified xsi:type="dcterms:W3CDTF">2024-01-19T19:56:39Z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