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8.xml" ContentType="application/vnd.openxmlformats-officedocument.themeOverrid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theme/themeOverride10.xml" ContentType="application/vnd.openxmlformats-officedocument.themeOverride+xml"/>
  <Override PartName="/xl/charts/chart11.xml" ContentType="application/vnd.openxmlformats-officedocument.drawingml.chart+xml"/>
  <Override PartName="/xl/theme/themeOverride11.xml" ContentType="application/vnd.openxmlformats-officedocument.themeOverride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2.xml" ContentType="application/vnd.openxmlformats-officedocument.themeOverrid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13.xml" ContentType="application/vnd.openxmlformats-officedocument.drawingml.chart+xml"/>
  <Override PartName="/xl/theme/themeOverride13.xml" ContentType="application/vnd.openxmlformats-officedocument.themeOverride+xml"/>
  <Override PartName="/xl/charts/chart14.xml" ContentType="application/vnd.openxmlformats-officedocument.drawingml.chart+xml"/>
  <Override PartName="/xl/theme/themeOverride14.xml" ContentType="application/vnd.openxmlformats-officedocument.themeOverride+xml"/>
  <Override PartName="/xl/charts/chart15.xml" ContentType="application/vnd.openxmlformats-officedocument.drawingml.chart+xml"/>
  <Override PartName="/xl/theme/themeOverride15.xml" ContentType="application/vnd.openxmlformats-officedocument.themeOverrid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6.xml" ContentType="application/vnd.openxmlformats-officedocument.themeOverrid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17.xml" ContentType="application/vnd.openxmlformats-officedocument.drawingml.chart+xml"/>
  <Override PartName="/xl/theme/themeOverride17.xml" ContentType="application/vnd.openxmlformats-officedocument.themeOverride+xml"/>
  <Override PartName="/xl/charts/chart18.xml" ContentType="application/vnd.openxmlformats-officedocument.drawingml.chart+xml"/>
  <Override PartName="/xl/theme/themeOverride18.xml" ContentType="application/vnd.openxmlformats-officedocument.themeOverride+xml"/>
  <Override PartName="/xl/charts/chart19.xml" ContentType="application/vnd.openxmlformats-officedocument.drawingml.chart+xml"/>
  <Override PartName="/xl/theme/themeOverride19.xml" ContentType="application/vnd.openxmlformats-officedocument.themeOverride+xml"/>
  <Override PartName="/xl/charts/chart2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0.xml" ContentType="application/vnd.openxmlformats-officedocument.themeOverride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21.xml" ContentType="application/vnd.openxmlformats-officedocument.drawingml.chart+xml"/>
  <Override PartName="/xl/theme/themeOverride21.xml" ContentType="application/vnd.openxmlformats-officedocument.themeOverride+xml"/>
  <Override PartName="/xl/charts/chart22.xml" ContentType="application/vnd.openxmlformats-officedocument.drawingml.chart+xml"/>
  <Override PartName="/xl/theme/themeOverride22.xml" ContentType="application/vnd.openxmlformats-officedocument.themeOverride+xml"/>
  <Override PartName="/xl/charts/chart2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3.xml" ContentType="application/vnd.openxmlformats-officedocument.themeOverride+xml"/>
  <Override PartName="/xl/charts/chart24.xml" ContentType="application/vnd.openxmlformats-officedocument.drawingml.chart+xml"/>
  <Override PartName="/xl/theme/themeOverride2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ICP/Mass spec data/"/>
    </mc:Choice>
  </mc:AlternateContent>
  <xr:revisionPtr revIDLastSave="1149" documentId="8_{5FB11B3C-7361-4AA5-8CF0-8808D407AB0F}" xr6:coauthVersionLast="47" xr6:coauthVersionMax="47" xr10:uidLastSave="{4C4AF075-243B-44D0-8462-234CFF0E6D0A}"/>
  <bookViews>
    <workbookView xWindow="15" yWindow="2985" windowWidth="15120" windowHeight="9555" firstSheet="3" activeTab="3" xr2:uid="{63D06A9D-5667-4E99-921F-3EF981B6294C}"/>
  </bookViews>
  <sheets>
    <sheet name="Alex_ITSD_count_data" sheetId="1" r:id="rId1"/>
    <sheet name="Calibration Std" sheetId="9" r:id="rId2"/>
    <sheet name="ICP_Internal_Drift" sheetId="3" r:id="rId3"/>
    <sheet name="ICP_Mn_Drift" sheetId="4" r:id="rId4"/>
    <sheet name="ICP_As_Drift" sheetId="5" r:id="rId5"/>
    <sheet name="ICP_Al_Drift" sheetId="6" r:id="rId6"/>
    <sheet name="ICP_56_Fe_Drift" sheetId="7" r:id="rId7"/>
    <sheet name="ICP_57_Fe_Drift" sheetId="8" r:id="rId8"/>
  </sheets>
  <externalReferences>
    <externalReference r:id="rId9"/>
    <externalReference r:id="rId10"/>
  </externalReferences>
  <definedNames>
    <definedName name="_xlnm._FilterDatabase" localSheetId="6" hidden="1">ICP_56_Fe_Drift!$A$1:$J$86</definedName>
    <definedName name="_xlnm._FilterDatabase" localSheetId="7" hidden="1">ICP_57_Fe_Drift!$A$1:$J$86</definedName>
    <definedName name="_xlnm._FilterDatabase" localSheetId="5" hidden="1">ICP_Al_Drift!$A$1:$J$86</definedName>
    <definedName name="_xlnm._FilterDatabase" localSheetId="4" hidden="1">ICP_As_Drift!$A$1:$J$86</definedName>
    <definedName name="_xlnm._FilterDatabase" localSheetId="3" hidden="1">ICP_Mn_Drift!$A$1:$J$86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8" l="1"/>
  <c r="O26" i="8"/>
  <c r="O25" i="8"/>
  <c r="O24" i="8"/>
  <c r="O23" i="8"/>
  <c r="O22" i="8"/>
  <c r="O21" i="8"/>
  <c r="O20" i="8"/>
  <c r="O19" i="8"/>
  <c r="O18" i="8"/>
  <c r="O39" i="8"/>
  <c r="O38" i="8"/>
  <c r="O37" i="8"/>
  <c r="O36" i="8"/>
  <c r="O35" i="8"/>
  <c r="O34" i="8"/>
  <c r="O33" i="8"/>
  <c r="O32" i="8"/>
  <c r="O31" i="8"/>
  <c r="O30" i="8"/>
  <c r="O51" i="8"/>
  <c r="O50" i="8"/>
  <c r="O49" i="8"/>
  <c r="O48" i="8"/>
  <c r="O47" i="8"/>
  <c r="O46" i="8"/>
  <c r="O45" i="8"/>
  <c r="O44" i="8"/>
  <c r="O43" i="8"/>
  <c r="O42" i="8"/>
  <c r="O55" i="8"/>
  <c r="O56" i="8"/>
  <c r="O57" i="8"/>
  <c r="O58" i="8"/>
  <c r="O59" i="8"/>
  <c r="O60" i="8"/>
  <c r="O61" i="8"/>
  <c r="O62" i="8"/>
  <c r="O63" i="8"/>
  <c r="O54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76" i="7"/>
  <c r="O77" i="7"/>
  <c r="O78" i="7"/>
  <c r="O75" i="7"/>
  <c r="O74" i="7"/>
  <c r="O73" i="7"/>
  <c r="O72" i="7"/>
  <c r="O71" i="7"/>
  <c r="O70" i="7"/>
  <c r="O69" i="7"/>
  <c r="O68" i="7"/>
  <c r="O67" i="7"/>
  <c r="O66" i="7"/>
  <c r="O63" i="7"/>
  <c r="O62" i="7"/>
  <c r="O61" i="7"/>
  <c r="O60" i="7"/>
  <c r="O59" i="7"/>
  <c r="O58" i="7"/>
  <c r="O57" i="7"/>
  <c r="O56" i="7"/>
  <c r="O55" i="7"/>
  <c r="O54" i="7"/>
  <c r="O51" i="7"/>
  <c r="O50" i="7"/>
  <c r="O49" i="7"/>
  <c r="O48" i="7"/>
  <c r="O47" i="7"/>
  <c r="O46" i="7"/>
  <c r="O45" i="7"/>
  <c r="O44" i="7"/>
  <c r="O43" i="7"/>
  <c r="O42" i="7"/>
  <c r="O39" i="7"/>
  <c r="O38" i="7"/>
  <c r="O37" i="7"/>
  <c r="O36" i="7"/>
  <c r="O35" i="7"/>
  <c r="O34" i="7"/>
  <c r="O33" i="7"/>
  <c r="O32" i="7"/>
  <c r="O31" i="7"/>
  <c r="O30" i="7"/>
  <c r="O19" i="7"/>
  <c r="O20" i="7"/>
  <c r="O21" i="7"/>
  <c r="O22" i="7"/>
  <c r="O23" i="7"/>
  <c r="O24" i="7"/>
  <c r="O25" i="7"/>
  <c r="O26" i="7"/>
  <c r="O27" i="7"/>
  <c r="O18" i="7"/>
  <c r="O76" i="6"/>
  <c r="O77" i="6"/>
  <c r="O78" i="6"/>
  <c r="O75" i="6"/>
  <c r="O74" i="6"/>
  <c r="O73" i="6"/>
  <c r="O72" i="6"/>
  <c r="O71" i="6"/>
  <c r="O70" i="6"/>
  <c r="O69" i="6"/>
  <c r="O68" i="6"/>
  <c r="O67" i="6"/>
  <c r="O66" i="6"/>
  <c r="O63" i="6"/>
  <c r="O62" i="6"/>
  <c r="O61" i="6"/>
  <c r="O60" i="6"/>
  <c r="O59" i="6"/>
  <c r="O58" i="6"/>
  <c r="O57" i="6"/>
  <c r="O56" i="6"/>
  <c r="O55" i="6"/>
  <c r="O54" i="6"/>
  <c r="O51" i="6"/>
  <c r="O50" i="6"/>
  <c r="O49" i="6"/>
  <c r="O48" i="6"/>
  <c r="O47" i="6"/>
  <c r="O46" i="6"/>
  <c r="O45" i="6"/>
  <c r="O44" i="6"/>
  <c r="O43" i="6"/>
  <c r="O42" i="6"/>
  <c r="O39" i="6"/>
  <c r="O38" i="6"/>
  <c r="O37" i="6"/>
  <c r="O36" i="6"/>
  <c r="O35" i="6"/>
  <c r="O34" i="6"/>
  <c r="O33" i="6"/>
  <c r="O32" i="6"/>
  <c r="O31" i="6"/>
  <c r="O30" i="6"/>
  <c r="O19" i="6"/>
  <c r="O20" i="6"/>
  <c r="O21" i="6"/>
  <c r="O22" i="6"/>
  <c r="O23" i="6"/>
  <c r="O24" i="6"/>
  <c r="O25" i="6"/>
  <c r="O26" i="6"/>
  <c r="O27" i="6"/>
  <c r="O18" i="6"/>
  <c r="O76" i="5"/>
  <c r="O77" i="5"/>
  <c r="O78" i="5"/>
  <c r="O75" i="5"/>
  <c r="O74" i="5"/>
  <c r="O73" i="5"/>
  <c r="O72" i="5"/>
  <c r="O71" i="5"/>
  <c r="O70" i="5"/>
  <c r="O69" i="5"/>
  <c r="O68" i="5"/>
  <c r="O67" i="5"/>
  <c r="O66" i="5"/>
  <c r="O63" i="5"/>
  <c r="O62" i="5"/>
  <c r="O61" i="5"/>
  <c r="O60" i="5"/>
  <c r="O59" i="5"/>
  <c r="O58" i="5"/>
  <c r="O57" i="5"/>
  <c r="O56" i="5"/>
  <c r="O55" i="5"/>
  <c r="O54" i="5"/>
  <c r="O51" i="5"/>
  <c r="O50" i="5"/>
  <c r="O49" i="5"/>
  <c r="O48" i="5"/>
  <c r="O47" i="5"/>
  <c r="O46" i="5"/>
  <c r="O45" i="5"/>
  <c r="O44" i="5"/>
  <c r="O43" i="5"/>
  <c r="O42" i="5"/>
  <c r="O31" i="5"/>
  <c r="O32" i="5"/>
  <c r="O33" i="5"/>
  <c r="O34" i="5"/>
  <c r="O35" i="5"/>
  <c r="O36" i="5"/>
  <c r="O37" i="5"/>
  <c r="O38" i="5"/>
  <c r="O39" i="5"/>
  <c r="O30" i="5"/>
  <c r="O19" i="5"/>
  <c r="O20" i="5"/>
  <c r="O21" i="5"/>
  <c r="O22" i="5"/>
  <c r="O23" i="5"/>
  <c r="O24" i="5"/>
  <c r="O25" i="5"/>
  <c r="O26" i="5"/>
  <c r="O27" i="5"/>
  <c r="O18" i="5"/>
  <c r="O19" i="4"/>
  <c r="O20" i="4"/>
  <c r="O21" i="4"/>
  <c r="O22" i="4"/>
  <c r="O23" i="4"/>
  <c r="O24" i="4"/>
  <c r="O25" i="4"/>
  <c r="O26" i="4"/>
  <c r="O27" i="4"/>
  <c r="O30" i="4"/>
  <c r="O31" i="4"/>
  <c r="O32" i="4"/>
  <c r="O33" i="4"/>
  <c r="O34" i="4"/>
  <c r="O35" i="4"/>
  <c r="O36" i="4"/>
  <c r="O37" i="4"/>
  <c r="O38" i="4"/>
  <c r="O39" i="4"/>
  <c r="O42" i="4"/>
  <c r="O43" i="4"/>
  <c r="O44" i="4"/>
  <c r="O45" i="4"/>
  <c r="O46" i="4"/>
  <c r="O47" i="4"/>
  <c r="O48" i="4"/>
  <c r="O49" i="4"/>
  <c r="O50" i="4"/>
  <c r="O51" i="4"/>
  <c r="O54" i="4"/>
  <c r="O55" i="4"/>
  <c r="O56" i="4"/>
  <c r="O57" i="4"/>
  <c r="O58" i="4"/>
  <c r="O59" i="4"/>
  <c r="O60" i="4"/>
  <c r="O61" i="4"/>
  <c r="O62" i="4"/>
  <c r="O63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18" i="4"/>
  <c r="AO30" i="4" l="1" a="1"/>
  <c r="AO30" i="4" s="1"/>
  <c r="M82" i="8"/>
  <c r="M83" i="8"/>
  <c r="M84" i="8"/>
  <c r="M85" i="8"/>
  <c r="M86" i="8"/>
  <c r="M15" i="8"/>
  <c r="M16" i="8"/>
  <c r="T58" i="8" s="1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6" i="8"/>
  <c r="M7" i="8"/>
  <c r="M8" i="8"/>
  <c r="M9" i="8"/>
  <c r="M10" i="8"/>
  <c r="M11" i="8"/>
  <c r="M12" i="8"/>
  <c r="M13" i="8"/>
  <c r="M14" i="8"/>
  <c r="W59" i="8"/>
  <c r="W58" i="8"/>
  <c r="AB40" i="8"/>
  <c r="AB39" i="8"/>
  <c r="AB38" i="8"/>
  <c r="AB37" i="8"/>
  <c r="AB36" i="8"/>
  <c r="AB35" i="8"/>
  <c r="AB34" i="8"/>
  <c r="AB33" i="8"/>
  <c r="AB32" i="8"/>
  <c r="AB31" i="8"/>
  <c r="S31" i="8"/>
  <c r="AB30" i="8"/>
  <c r="S30" i="8"/>
  <c r="S29" i="8"/>
  <c r="AB28" i="8"/>
  <c r="M82" i="7"/>
  <c r="M83" i="7"/>
  <c r="M84" i="7"/>
  <c r="M85" i="7"/>
  <c r="M86" i="7"/>
  <c r="M15" i="7"/>
  <c r="M16" i="7"/>
  <c r="T58" i="7" s="1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6" i="7"/>
  <c r="M7" i="7"/>
  <c r="M8" i="7"/>
  <c r="M9" i="7"/>
  <c r="M10" i="7"/>
  <c r="M11" i="7"/>
  <c r="M12" i="7"/>
  <c r="M13" i="7"/>
  <c r="M14" i="7"/>
  <c r="AB40" i="7"/>
  <c r="AB39" i="7"/>
  <c r="AB38" i="7"/>
  <c r="AB37" i="7"/>
  <c r="AB36" i="7"/>
  <c r="AB35" i="7"/>
  <c r="AB34" i="7"/>
  <c r="AB33" i="7"/>
  <c r="AB32" i="7"/>
  <c r="AB31" i="7"/>
  <c r="AB30" i="7"/>
  <c r="W59" i="7"/>
  <c r="W58" i="7"/>
  <c r="S31" i="7"/>
  <c r="S30" i="7"/>
  <c r="S29" i="7"/>
  <c r="AB28" i="7"/>
  <c r="W59" i="6"/>
  <c r="AB40" i="6"/>
  <c r="AB39" i="6"/>
  <c r="AB38" i="6"/>
  <c r="AB37" i="6"/>
  <c r="AB36" i="6"/>
  <c r="AB35" i="6"/>
  <c r="AB34" i="6"/>
  <c r="AB33" i="6"/>
  <c r="AB32" i="6"/>
  <c r="AB31" i="6"/>
  <c r="AB30" i="6"/>
  <c r="M82" i="6"/>
  <c r="M83" i="6"/>
  <c r="M84" i="6"/>
  <c r="M85" i="6"/>
  <c r="M86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6" i="6"/>
  <c r="M7" i="6"/>
  <c r="M8" i="6"/>
  <c r="M9" i="6"/>
  <c r="M10" i="6"/>
  <c r="M11" i="6"/>
  <c r="M12" i="6"/>
  <c r="M13" i="6"/>
  <c r="M14" i="6"/>
  <c r="W58" i="6"/>
  <c r="X58" i="6" s="1"/>
  <c r="S31" i="6"/>
  <c r="S30" i="6"/>
  <c r="Z29" i="6"/>
  <c r="S29" i="6"/>
  <c r="AB28" i="6"/>
  <c r="M82" i="5"/>
  <c r="M83" i="5"/>
  <c r="M84" i="5"/>
  <c r="M85" i="5"/>
  <c r="M86" i="5"/>
  <c r="M15" i="5"/>
  <c r="M16" i="5"/>
  <c r="T58" i="5" s="1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6" i="5"/>
  <c r="M7" i="5"/>
  <c r="M8" i="5"/>
  <c r="M9" i="5"/>
  <c r="M10" i="5"/>
  <c r="M11" i="5"/>
  <c r="M12" i="5"/>
  <c r="M13" i="5"/>
  <c r="M14" i="5"/>
  <c r="AB38" i="5"/>
  <c r="AB37" i="5"/>
  <c r="AB36" i="5"/>
  <c r="AB35" i="5"/>
  <c r="AB34" i="5"/>
  <c r="AB33" i="5"/>
  <c r="AB32" i="5"/>
  <c r="AB31" i="5"/>
  <c r="AB30" i="5"/>
  <c r="W59" i="5"/>
  <c r="W58" i="5"/>
  <c r="S31" i="5"/>
  <c r="S30" i="5"/>
  <c r="S29" i="5"/>
  <c r="AB28" i="5"/>
  <c r="W59" i="4"/>
  <c r="W58" i="4"/>
  <c r="M80" i="4"/>
  <c r="M82" i="4"/>
  <c r="M84" i="4"/>
  <c r="M85" i="4"/>
  <c r="M86" i="4"/>
  <c r="M16" i="4"/>
  <c r="T58" i="4" s="1"/>
  <c r="X58" i="4" s="1"/>
  <c r="M17" i="4"/>
  <c r="M18" i="4"/>
  <c r="M19" i="4"/>
  <c r="M20" i="4"/>
  <c r="M21" i="4"/>
  <c r="M22" i="4"/>
  <c r="M23" i="4"/>
  <c r="M24" i="4"/>
  <c r="M25" i="4"/>
  <c r="M26" i="4"/>
  <c r="M27" i="4"/>
  <c r="M29" i="4"/>
  <c r="M30" i="4"/>
  <c r="M31" i="4"/>
  <c r="M32" i="4"/>
  <c r="M33" i="4"/>
  <c r="M34" i="4"/>
  <c r="M35" i="4"/>
  <c r="M36" i="4"/>
  <c r="M37" i="4"/>
  <c r="M38" i="4"/>
  <c r="M39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1" i="4"/>
  <c r="M6" i="4"/>
  <c r="M7" i="4"/>
  <c r="M8" i="4"/>
  <c r="M9" i="4"/>
  <c r="M10" i="4"/>
  <c r="M11" i="4"/>
  <c r="M12" i="4"/>
  <c r="M13" i="4"/>
  <c r="M14" i="4"/>
  <c r="AB28" i="4"/>
  <c r="AB38" i="4"/>
  <c r="AB37" i="4"/>
  <c r="AB36" i="4"/>
  <c r="AB35" i="4"/>
  <c r="AB34" i="4"/>
  <c r="AB33" i="4"/>
  <c r="AB32" i="4"/>
  <c r="AB31" i="4"/>
  <c r="AB30" i="4"/>
  <c r="S30" i="4"/>
  <c r="S31" i="4"/>
  <c r="S29" i="4"/>
  <c r="I28" i="4"/>
  <c r="I1" i="8"/>
  <c r="Z1" i="8" s="1"/>
  <c r="J1" i="8"/>
  <c r="I2" i="8"/>
  <c r="Z29" i="8" s="1"/>
  <c r="J2" i="8"/>
  <c r="AA2" i="8" s="1"/>
  <c r="BC2" i="8" s="1"/>
  <c r="I3" i="8"/>
  <c r="J3" i="8"/>
  <c r="AA12" i="8" s="1"/>
  <c r="I4" i="8"/>
  <c r="Z13" i="8" s="1"/>
  <c r="J4" i="8"/>
  <c r="AA13" i="8" s="1"/>
  <c r="I5" i="8"/>
  <c r="Z14" i="8" s="1"/>
  <c r="J5" i="8"/>
  <c r="I6" i="8"/>
  <c r="Z30" i="8" s="1"/>
  <c r="J6" i="8"/>
  <c r="AA30" i="8" s="1"/>
  <c r="I7" i="8"/>
  <c r="Z31" i="8" s="1"/>
  <c r="J7" i="8"/>
  <c r="AA31" i="8" s="1"/>
  <c r="I8" i="8"/>
  <c r="Z32" i="8" s="1"/>
  <c r="J8" i="8"/>
  <c r="AA32" i="8" s="1"/>
  <c r="I9" i="8"/>
  <c r="Z33" i="8" s="1"/>
  <c r="J9" i="8"/>
  <c r="AA33" i="8" s="1"/>
  <c r="I10" i="8"/>
  <c r="Z34" i="8" s="1"/>
  <c r="J10" i="8"/>
  <c r="AA34" i="8" s="1"/>
  <c r="I11" i="8"/>
  <c r="Z35" i="8" s="1"/>
  <c r="J11" i="8"/>
  <c r="AA35" i="8" s="1"/>
  <c r="I12" i="8"/>
  <c r="Z36" i="8" s="1"/>
  <c r="J12" i="8"/>
  <c r="AA36" i="8" s="1"/>
  <c r="I13" i="8"/>
  <c r="Z37" i="8" s="1"/>
  <c r="J13" i="8"/>
  <c r="AA37" i="8" s="1"/>
  <c r="I14" i="8"/>
  <c r="Z38" i="8" s="1"/>
  <c r="J14" i="8"/>
  <c r="AA38" i="8" s="1"/>
  <c r="I15" i="8"/>
  <c r="J15" i="8"/>
  <c r="AA15" i="8" s="1"/>
  <c r="I16" i="8"/>
  <c r="J16" i="8"/>
  <c r="I17" i="8"/>
  <c r="J17" i="8"/>
  <c r="AA16" i="8" s="1"/>
  <c r="I18" i="8"/>
  <c r="J18" i="8"/>
  <c r="I19" i="8"/>
  <c r="J19" i="8"/>
  <c r="I20" i="8"/>
  <c r="J20" i="8"/>
  <c r="I21" i="8"/>
  <c r="J21" i="8"/>
  <c r="I22" i="8"/>
  <c r="J22" i="8"/>
  <c r="I23" i="8"/>
  <c r="J23" i="8"/>
  <c r="I24" i="8"/>
  <c r="J24" i="8"/>
  <c r="I25" i="8"/>
  <c r="J25" i="8"/>
  <c r="I26" i="8"/>
  <c r="J26" i="8"/>
  <c r="I27" i="8"/>
  <c r="J27" i="8"/>
  <c r="I28" i="8"/>
  <c r="Z17" i="8" s="1"/>
  <c r="J28" i="8"/>
  <c r="AA17" i="8" s="1"/>
  <c r="I29" i="8"/>
  <c r="J29" i="8"/>
  <c r="I30" i="8"/>
  <c r="J30" i="8"/>
  <c r="I31" i="8"/>
  <c r="J31" i="8"/>
  <c r="I32" i="8"/>
  <c r="J32" i="8"/>
  <c r="I33" i="8"/>
  <c r="J33" i="8"/>
  <c r="I34" i="8"/>
  <c r="J34" i="8"/>
  <c r="I35" i="8"/>
  <c r="J35" i="8"/>
  <c r="I36" i="8"/>
  <c r="J36" i="8"/>
  <c r="I37" i="8"/>
  <c r="J37" i="8"/>
  <c r="I38" i="8"/>
  <c r="J38" i="8"/>
  <c r="I39" i="8"/>
  <c r="J39" i="8"/>
  <c r="I40" i="8"/>
  <c r="Z18" i="8" s="1"/>
  <c r="J40" i="8"/>
  <c r="AA18" i="8" s="1"/>
  <c r="I41" i="8"/>
  <c r="Z5" i="8" s="1"/>
  <c r="J41" i="8"/>
  <c r="I42" i="8"/>
  <c r="J42" i="8"/>
  <c r="I43" i="8"/>
  <c r="J43" i="8"/>
  <c r="I44" i="8"/>
  <c r="J44" i="8"/>
  <c r="I45" i="8"/>
  <c r="J45" i="8"/>
  <c r="I46" i="8"/>
  <c r="J46" i="8"/>
  <c r="I47" i="8"/>
  <c r="J47" i="8"/>
  <c r="I48" i="8"/>
  <c r="J48" i="8"/>
  <c r="I49" i="8"/>
  <c r="J49" i="8"/>
  <c r="I50" i="8"/>
  <c r="J50" i="8"/>
  <c r="I51" i="8"/>
  <c r="J51" i="8"/>
  <c r="I52" i="8"/>
  <c r="Z19" i="8" s="1"/>
  <c r="J52" i="8"/>
  <c r="AA19" i="8" s="1"/>
  <c r="I53" i="8"/>
  <c r="Z6" i="8" s="1"/>
  <c r="J53" i="8"/>
  <c r="I54" i="8"/>
  <c r="J54" i="8"/>
  <c r="I55" i="8"/>
  <c r="J55" i="8"/>
  <c r="I56" i="8"/>
  <c r="J56" i="8"/>
  <c r="I57" i="8"/>
  <c r="J57" i="8"/>
  <c r="I58" i="8"/>
  <c r="J58" i="8"/>
  <c r="I59" i="8"/>
  <c r="J59" i="8"/>
  <c r="I60" i="8"/>
  <c r="J60" i="8"/>
  <c r="I61" i="8"/>
  <c r="J61" i="8"/>
  <c r="I62" i="8"/>
  <c r="J62" i="8"/>
  <c r="I63" i="8"/>
  <c r="J63" i="8"/>
  <c r="I64" i="8"/>
  <c r="J64" i="8"/>
  <c r="AA20" i="8" s="1"/>
  <c r="I65" i="8"/>
  <c r="Z7" i="8" s="1"/>
  <c r="J65" i="8"/>
  <c r="I66" i="8"/>
  <c r="J66" i="8"/>
  <c r="I67" i="8"/>
  <c r="J67" i="8"/>
  <c r="I68" i="8"/>
  <c r="J68" i="8"/>
  <c r="I69" i="8"/>
  <c r="J69" i="8"/>
  <c r="I70" i="8"/>
  <c r="J70" i="8"/>
  <c r="I71" i="8"/>
  <c r="J71" i="8"/>
  <c r="I72" i="8"/>
  <c r="J72" i="8"/>
  <c r="I73" i="8"/>
  <c r="J73" i="8"/>
  <c r="I74" i="8"/>
  <c r="J74" i="8"/>
  <c r="I75" i="8"/>
  <c r="J75" i="8"/>
  <c r="I76" i="8"/>
  <c r="J76" i="8"/>
  <c r="I77" i="8"/>
  <c r="J77" i="8"/>
  <c r="I78" i="8"/>
  <c r="J78" i="8"/>
  <c r="I79" i="8"/>
  <c r="J79" i="8"/>
  <c r="I80" i="8"/>
  <c r="J80" i="8"/>
  <c r="AA21" i="8" s="1"/>
  <c r="I81" i="8"/>
  <c r="J81" i="8"/>
  <c r="AA8" i="8" s="1"/>
  <c r="I82" i="8"/>
  <c r="Z39" i="8" s="1"/>
  <c r="J82" i="8"/>
  <c r="AA39" i="8" s="1"/>
  <c r="I83" i="8"/>
  <c r="Z40" i="8" s="1"/>
  <c r="J83" i="8"/>
  <c r="AA40" i="8" s="1"/>
  <c r="I84" i="8"/>
  <c r="Z22" i="8" s="1"/>
  <c r="J84" i="8"/>
  <c r="AA22" i="8" s="1"/>
  <c r="I85" i="8"/>
  <c r="J85" i="8"/>
  <c r="AA23" i="8" s="1"/>
  <c r="I86" i="8"/>
  <c r="Z24" i="8" s="1"/>
  <c r="J86" i="8"/>
  <c r="AA24" i="8" s="1"/>
  <c r="Z3" i="8"/>
  <c r="AA3" i="8"/>
  <c r="Z21" i="8"/>
  <c r="H86" i="8"/>
  <c r="G86" i="8"/>
  <c r="X24" i="8" s="1"/>
  <c r="AZ24" i="8" s="1"/>
  <c r="F86" i="8"/>
  <c r="E86" i="8"/>
  <c r="D86" i="8"/>
  <c r="U24" i="8" s="1"/>
  <c r="AW24" i="8" s="1"/>
  <c r="C86" i="8"/>
  <c r="T24" i="8" s="1"/>
  <c r="AV24" i="8" s="1"/>
  <c r="B86" i="8"/>
  <c r="A86" i="8"/>
  <c r="R24" i="8" s="1"/>
  <c r="AT24" i="8" s="1"/>
  <c r="H85" i="8"/>
  <c r="G85" i="8"/>
  <c r="F85" i="8"/>
  <c r="E85" i="8"/>
  <c r="D85" i="8"/>
  <c r="U23" i="8" s="1"/>
  <c r="AW23" i="8" s="1"/>
  <c r="C85" i="8"/>
  <c r="T23" i="8" s="1"/>
  <c r="AV23" i="8" s="1"/>
  <c r="B85" i="8"/>
  <c r="A85" i="8"/>
  <c r="H84" i="8"/>
  <c r="Y22" i="8" s="1"/>
  <c r="BA22" i="8" s="1"/>
  <c r="G84" i="8"/>
  <c r="X22" i="8" s="1"/>
  <c r="AZ22" i="8" s="1"/>
  <c r="F84" i="8"/>
  <c r="E84" i="8"/>
  <c r="V22" i="8" s="1"/>
  <c r="AX22" i="8" s="1"/>
  <c r="D84" i="8"/>
  <c r="C84" i="8"/>
  <c r="B84" i="8"/>
  <c r="A84" i="8"/>
  <c r="H83" i="8"/>
  <c r="Y40" i="8" s="1"/>
  <c r="G83" i="8"/>
  <c r="X40" i="8" s="1"/>
  <c r="F83" i="8"/>
  <c r="W40" i="8" s="1"/>
  <c r="E83" i="8"/>
  <c r="V40" i="8" s="1"/>
  <c r="D83" i="8"/>
  <c r="U40" i="8" s="1"/>
  <c r="C83" i="8"/>
  <c r="T40" i="8" s="1"/>
  <c r="B83" i="8"/>
  <c r="S40" i="8" s="1"/>
  <c r="A83" i="8"/>
  <c r="R40" i="8" s="1"/>
  <c r="H82" i="8"/>
  <c r="Y39" i="8" s="1"/>
  <c r="G82" i="8"/>
  <c r="X39" i="8" s="1"/>
  <c r="F82" i="8"/>
  <c r="W39" i="8" s="1"/>
  <c r="E82" i="8"/>
  <c r="V39" i="8" s="1"/>
  <c r="D82" i="8"/>
  <c r="U39" i="8" s="1"/>
  <c r="C82" i="8"/>
  <c r="T39" i="8" s="1"/>
  <c r="B82" i="8"/>
  <c r="S39" i="8" s="1"/>
  <c r="A82" i="8"/>
  <c r="R39" i="8" s="1"/>
  <c r="H81" i="8"/>
  <c r="G81" i="8"/>
  <c r="F81" i="8"/>
  <c r="W8" i="8" s="1"/>
  <c r="E81" i="8"/>
  <c r="V8" i="8" s="1"/>
  <c r="AX8" i="8" s="1"/>
  <c r="D81" i="8"/>
  <c r="C81" i="8"/>
  <c r="B81" i="8"/>
  <c r="A81" i="8"/>
  <c r="H80" i="8"/>
  <c r="G80" i="8"/>
  <c r="X21" i="8" s="1"/>
  <c r="AZ21" i="8" s="1"/>
  <c r="F80" i="8"/>
  <c r="E80" i="8"/>
  <c r="D80" i="8"/>
  <c r="U21" i="8" s="1"/>
  <c r="AW21" i="8" s="1"/>
  <c r="C80" i="8"/>
  <c r="B80" i="8"/>
  <c r="A80" i="8"/>
  <c r="R21" i="8" s="1"/>
  <c r="AT21" i="8" s="1"/>
  <c r="H79" i="8"/>
  <c r="G79" i="8"/>
  <c r="F79" i="8"/>
  <c r="E79" i="8"/>
  <c r="D79" i="8"/>
  <c r="C79" i="8"/>
  <c r="B79" i="8"/>
  <c r="A79" i="8"/>
  <c r="H78" i="8"/>
  <c r="G78" i="8"/>
  <c r="F78" i="8"/>
  <c r="E78" i="8"/>
  <c r="D78" i="8"/>
  <c r="C78" i="8"/>
  <c r="B78" i="8"/>
  <c r="A78" i="8"/>
  <c r="H77" i="8"/>
  <c r="G77" i="8"/>
  <c r="F77" i="8"/>
  <c r="E77" i="8"/>
  <c r="D77" i="8"/>
  <c r="C77" i="8"/>
  <c r="B77" i="8"/>
  <c r="A77" i="8"/>
  <c r="H76" i="8"/>
  <c r="G76" i="8"/>
  <c r="F76" i="8"/>
  <c r="E76" i="8"/>
  <c r="D76" i="8"/>
  <c r="C76" i="8"/>
  <c r="B76" i="8"/>
  <c r="A76" i="8"/>
  <c r="H75" i="8"/>
  <c r="G75" i="8"/>
  <c r="F75" i="8"/>
  <c r="E75" i="8"/>
  <c r="D75" i="8"/>
  <c r="C75" i="8"/>
  <c r="B75" i="8"/>
  <c r="A75" i="8"/>
  <c r="H74" i="8"/>
  <c r="G74" i="8"/>
  <c r="F74" i="8"/>
  <c r="E74" i="8"/>
  <c r="D74" i="8"/>
  <c r="C74" i="8"/>
  <c r="B74" i="8"/>
  <c r="A74" i="8"/>
  <c r="H73" i="8"/>
  <c r="G73" i="8"/>
  <c r="F73" i="8"/>
  <c r="E73" i="8"/>
  <c r="D73" i="8"/>
  <c r="C73" i="8"/>
  <c r="B73" i="8"/>
  <c r="A73" i="8"/>
  <c r="H72" i="8"/>
  <c r="G72" i="8"/>
  <c r="F72" i="8"/>
  <c r="E72" i="8"/>
  <c r="D72" i="8"/>
  <c r="C72" i="8"/>
  <c r="B72" i="8"/>
  <c r="A72" i="8"/>
  <c r="H71" i="8"/>
  <c r="G71" i="8"/>
  <c r="F71" i="8"/>
  <c r="E71" i="8"/>
  <c r="D71" i="8"/>
  <c r="C71" i="8"/>
  <c r="B71" i="8"/>
  <c r="A71" i="8"/>
  <c r="H70" i="8"/>
  <c r="G70" i="8"/>
  <c r="F70" i="8"/>
  <c r="E70" i="8"/>
  <c r="D70" i="8"/>
  <c r="C70" i="8"/>
  <c r="B70" i="8"/>
  <c r="A70" i="8"/>
  <c r="H69" i="8"/>
  <c r="G69" i="8"/>
  <c r="F69" i="8"/>
  <c r="E69" i="8"/>
  <c r="D69" i="8"/>
  <c r="C69" i="8"/>
  <c r="B69" i="8"/>
  <c r="A69" i="8"/>
  <c r="H68" i="8"/>
  <c r="G68" i="8"/>
  <c r="F68" i="8"/>
  <c r="E68" i="8"/>
  <c r="D68" i="8"/>
  <c r="C68" i="8"/>
  <c r="B68" i="8"/>
  <c r="A68" i="8"/>
  <c r="H67" i="8"/>
  <c r="G67" i="8"/>
  <c r="F67" i="8"/>
  <c r="E67" i="8"/>
  <c r="D67" i="8"/>
  <c r="C67" i="8"/>
  <c r="B67" i="8"/>
  <c r="A67" i="8"/>
  <c r="H66" i="8"/>
  <c r="G66" i="8"/>
  <c r="F66" i="8"/>
  <c r="E66" i="8"/>
  <c r="D66" i="8"/>
  <c r="C66" i="8"/>
  <c r="B66" i="8"/>
  <c r="A66" i="8"/>
  <c r="H65" i="8"/>
  <c r="G65" i="8"/>
  <c r="X7" i="8" s="1"/>
  <c r="AZ7" i="8" s="1"/>
  <c r="F65" i="8"/>
  <c r="W7" i="8" s="1"/>
  <c r="AY7" i="8" s="1"/>
  <c r="E65" i="8"/>
  <c r="V7" i="8" s="1"/>
  <c r="AX7" i="8" s="1"/>
  <c r="D65" i="8"/>
  <c r="C65" i="8"/>
  <c r="B65" i="8"/>
  <c r="A65" i="8"/>
  <c r="R7" i="8" s="1"/>
  <c r="AT7" i="8" s="1"/>
  <c r="H64" i="8"/>
  <c r="Y20" i="8" s="1"/>
  <c r="BA20" i="8" s="1"/>
  <c r="G64" i="8"/>
  <c r="X20" i="8" s="1"/>
  <c r="AZ20" i="8" s="1"/>
  <c r="F64" i="8"/>
  <c r="W20" i="8" s="1"/>
  <c r="AY20" i="8" s="1"/>
  <c r="E64" i="8"/>
  <c r="D64" i="8"/>
  <c r="C64" i="8"/>
  <c r="T20" i="8" s="1"/>
  <c r="AV20" i="8" s="1"/>
  <c r="B64" i="8"/>
  <c r="A64" i="8"/>
  <c r="H63" i="8"/>
  <c r="G63" i="8"/>
  <c r="F63" i="8"/>
  <c r="E63" i="8"/>
  <c r="D63" i="8"/>
  <c r="C63" i="8"/>
  <c r="B63" i="8"/>
  <c r="A63" i="8"/>
  <c r="H62" i="8"/>
  <c r="G62" i="8"/>
  <c r="F62" i="8"/>
  <c r="E62" i="8"/>
  <c r="D62" i="8"/>
  <c r="C62" i="8"/>
  <c r="B62" i="8"/>
  <c r="A62" i="8"/>
  <c r="H61" i="8"/>
  <c r="G61" i="8"/>
  <c r="F61" i="8"/>
  <c r="E61" i="8"/>
  <c r="D61" i="8"/>
  <c r="C61" i="8"/>
  <c r="B61" i="8"/>
  <c r="A61" i="8"/>
  <c r="H60" i="8"/>
  <c r="G60" i="8"/>
  <c r="F60" i="8"/>
  <c r="E60" i="8"/>
  <c r="D60" i="8"/>
  <c r="C60" i="8"/>
  <c r="B60" i="8"/>
  <c r="A60" i="8"/>
  <c r="H59" i="8"/>
  <c r="G59" i="8"/>
  <c r="F59" i="8"/>
  <c r="E59" i="8"/>
  <c r="D59" i="8"/>
  <c r="C59" i="8"/>
  <c r="B59" i="8"/>
  <c r="A59" i="8"/>
  <c r="H58" i="8"/>
  <c r="G58" i="8"/>
  <c r="F58" i="8"/>
  <c r="E58" i="8"/>
  <c r="D58" i="8"/>
  <c r="C58" i="8"/>
  <c r="B58" i="8"/>
  <c r="A58" i="8"/>
  <c r="H57" i="8"/>
  <c r="G57" i="8"/>
  <c r="F57" i="8"/>
  <c r="E57" i="8"/>
  <c r="D57" i="8"/>
  <c r="C57" i="8"/>
  <c r="B57" i="8"/>
  <c r="A57" i="8"/>
  <c r="H56" i="8"/>
  <c r="G56" i="8"/>
  <c r="F56" i="8"/>
  <c r="E56" i="8"/>
  <c r="D56" i="8"/>
  <c r="C56" i="8"/>
  <c r="B56" i="8"/>
  <c r="A56" i="8"/>
  <c r="H55" i="8"/>
  <c r="G55" i="8"/>
  <c r="F55" i="8"/>
  <c r="E55" i="8"/>
  <c r="D55" i="8"/>
  <c r="C55" i="8"/>
  <c r="B55" i="8"/>
  <c r="A55" i="8"/>
  <c r="H54" i="8"/>
  <c r="G54" i="8"/>
  <c r="F54" i="8"/>
  <c r="E54" i="8"/>
  <c r="D54" i="8"/>
  <c r="C54" i="8"/>
  <c r="B54" i="8"/>
  <c r="A54" i="8"/>
  <c r="H53" i="8"/>
  <c r="G53" i="8"/>
  <c r="X6" i="8" s="1"/>
  <c r="AZ6" i="8" s="1"/>
  <c r="F53" i="8"/>
  <c r="E53" i="8"/>
  <c r="V6" i="8" s="1"/>
  <c r="AX6" i="8" s="1"/>
  <c r="D53" i="8"/>
  <c r="C53" i="8"/>
  <c r="B53" i="8"/>
  <c r="A53" i="8"/>
  <c r="R6" i="8" s="1"/>
  <c r="AT6" i="8" s="1"/>
  <c r="H52" i="8"/>
  <c r="Y19" i="8" s="1"/>
  <c r="BA19" i="8" s="1"/>
  <c r="G52" i="8"/>
  <c r="X19" i="8" s="1"/>
  <c r="AZ19" i="8" s="1"/>
  <c r="F52" i="8"/>
  <c r="W19" i="8" s="1"/>
  <c r="AY19" i="8" s="1"/>
  <c r="E52" i="8"/>
  <c r="D52" i="8"/>
  <c r="U19" i="8" s="1"/>
  <c r="AW19" i="8" s="1"/>
  <c r="C52" i="8"/>
  <c r="T19" i="8" s="1"/>
  <c r="AV19" i="8" s="1"/>
  <c r="B52" i="8"/>
  <c r="S19" i="8" s="1"/>
  <c r="AU19" i="8" s="1"/>
  <c r="A52" i="8"/>
  <c r="H51" i="8"/>
  <c r="G51" i="8"/>
  <c r="F51" i="8"/>
  <c r="E51" i="8"/>
  <c r="D51" i="8"/>
  <c r="C51" i="8"/>
  <c r="B51" i="8"/>
  <c r="A51" i="8"/>
  <c r="H50" i="8"/>
  <c r="G50" i="8"/>
  <c r="F50" i="8"/>
  <c r="E50" i="8"/>
  <c r="D50" i="8"/>
  <c r="C50" i="8"/>
  <c r="B50" i="8"/>
  <c r="A50" i="8"/>
  <c r="H49" i="8"/>
  <c r="G49" i="8"/>
  <c r="F49" i="8"/>
  <c r="E49" i="8"/>
  <c r="D49" i="8"/>
  <c r="C49" i="8"/>
  <c r="B49" i="8"/>
  <c r="A49" i="8"/>
  <c r="H48" i="8"/>
  <c r="G48" i="8"/>
  <c r="F48" i="8"/>
  <c r="E48" i="8"/>
  <c r="D48" i="8"/>
  <c r="C48" i="8"/>
  <c r="B48" i="8"/>
  <c r="A48" i="8"/>
  <c r="H47" i="8"/>
  <c r="G47" i="8"/>
  <c r="F47" i="8"/>
  <c r="E47" i="8"/>
  <c r="D47" i="8"/>
  <c r="C47" i="8"/>
  <c r="B47" i="8"/>
  <c r="A47" i="8"/>
  <c r="H46" i="8"/>
  <c r="G46" i="8"/>
  <c r="F46" i="8"/>
  <c r="E46" i="8"/>
  <c r="D46" i="8"/>
  <c r="C46" i="8"/>
  <c r="B46" i="8"/>
  <c r="A46" i="8"/>
  <c r="H45" i="8"/>
  <c r="G45" i="8"/>
  <c r="F45" i="8"/>
  <c r="E45" i="8"/>
  <c r="D45" i="8"/>
  <c r="C45" i="8"/>
  <c r="B45" i="8"/>
  <c r="A45" i="8"/>
  <c r="H44" i="8"/>
  <c r="G44" i="8"/>
  <c r="F44" i="8"/>
  <c r="E44" i="8"/>
  <c r="D44" i="8"/>
  <c r="C44" i="8"/>
  <c r="B44" i="8"/>
  <c r="A44" i="8"/>
  <c r="H43" i="8"/>
  <c r="G43" i="8"/>
  <c r="F43" i="8"/>
  <c r="E43" i="8"/>
  <c r="D43" i="8"/>
  <c r="C43" i="8"/>
  <c r="B43" i="8"/>
  <c r="A43" i="8"/>
  <c r="H42" i="8"/>
  <c r="G42" i="8"/>
  <c r="F42" i="8"/>
  <c r="E42" i="8"/>
  <c r="D42" i="8"/>
  <c r="C42" i="8"/>
  <c r="B42" i="8"/>
  <c r="A42" i="8"/>
  <c r="H41" i="8"/>
  <c r="G41" i="8"/>
  <c r="X5" i="8" s="1"/>
  <c r="AZ5" i="8" s="1"/>
  <c r="F41" i="8"/>
  <c r="W5" i="8" s="1"/>
  <c r="AY5" i="8" s="1"/>
  <c r="E41" i="8"/>
  <c r="V5" i="8" s="1"/>
  <c r="AX5" i="8" s="1"/>
  <c r="D41" i="8"/>
  <c r="C41" i="8"/>
  <c r="B41" i="8"/>
  <c r="A41" i="8"/>
  <c r="R5" i="8" s="1"/>
  <c r="AT5" i="8" s="1"/>
  <c r="H40" i="8"/>
  <c r="Y18" i="8" s="1"/>
  <c r="BA18" i="8" s="1"/>
  <c r="G40" i="8"/>
  <c r="X18" i="8" s="1"/>
  <c r="AZ18" i="8" s="1"/>
  <c r="F40" i="8"/>
  <c r="W18" i="8" s="1"/>
  <c r="AY18" i="8" s="1"/>
  <c r="E40" i="8"/>
  <c r="D40" i="8"/>
  <c r="U18" i="8" s="1"/>
  <c r="AW18" i="8" s="1"/>
  <c r="C40" i="8"/>
  <c r="T18" i="8" s="1"/>
  <c r="AV18" i="8" s="1"/>
  <c r="B40" i="8"/>
  <c r="S18" i="8" s="1"/>
  <c r="AU18" i="8" s="1"/>
  <c r="A40" i="8"/>
  <c r="H39" i="8"/>
  <c r="G39" i="8"/>
  <c r="F39" i="8"/>
  <c r="E39" i="8"/>
  <c r="D39" i="8"/>
  <c r="C39" i="8"/>
  <c r="B39" i="8"/>
  <c r="A39" i="8"/>
  <c r="H38" i="8"/>
  <c r="G38" i="8"/>
  <c r="F38" i="8"/>
  <c r="E38" i="8"/>
  <c r="D38" i="8"/>
  <c r="C38" i="8"/>
  <c r="B38" i="8"/>
  <c r="A38" i="8"/>
  <c r="H37" i="8"/>
  <c r="G37" i="8"/>
  <c r="F37" i="8"/>
  <c r="E37" i="8"/>
  <c r="D37" i="8"/>
  <c r="C37" i="8"/>
  <c r="B37" i="8"/>
  <c r="A37" i="8"/>
  <c r="H36" i="8"/>
  <c r="G36" i="8"/>
  <c r="F36" i="8"/>
  <c r="E36" i="8"/>
  <c r="D36" i="8"/>
  <c r="C36" i="8"/>
  <c r="B36" i="8"/>
  <c r="A36" i="8"/>
  <c r="H35" i="8"/>
  <c r="G35" i="8"/>
  <c r="F35" i="8"/>
  <c r="E35" i="8"/>
  <c r="D35" i="8"/>
  <c r="C35" i="8"/>
  <c r="B35" i="8"/>
  <c r="A35" i="8"/>
  <c r="H34" i="8"/>
  <c r="G34" i="8"/>
  <c r="F34" i="8"/>
  <c r="E34" i="8"/>
  <c r="D34" i="8"/>
  <c r="C34" i="8"/>
  <c r="B34" i="8"/>
  <c r="A34" i="8"/>
  <c r="H33" i="8"/>
  <c r="G33" i="8"/>
  <c r="F33" i="8"/>
  <c r="E33" i="8"/>
  <c r="D33" i="8"/>
  <c r="C33" i="8"/>
  <c r="B33" i="8"/>
  <c r="A33" i="8"/>
  <c r="H32" i="8"/>
  <c r="G32" i="8"/>
  <c r="F32" i="8"/>
  <c r="E32" i="8"/>
  <c r="D32" i="8"/>
  <c r="C32" i="8"/>
  <c r="B32" i="8"/>
  <c r="A32" i="8"/>
  <c r="H31" i="8"/>
  <c r="G31" i="8"/>
  <c r="F31" i="8"/>
  <c r="E31" i="8"/>
  <c r="D31" i="8"/>
  <c r="C31" i="8"/>
  <c r="B31" i="8"/>
  <c r="A31" i="8"/>
  <c r="H30" i="8"/>
  <c r="G30" i="8"/>
  <c r="F30" i="8"/>
  <c r="E30" i="8"/>
  <c r="D30" i="8"/>
  <c r="C30" i="8"/>
  <c r="B30" i="8"/>
  <c r="A30" i="8"/>
  <c r="H29" i="8"/>
  <c r="G29" i="8"/>
  <c r="X4" i="8" s="1"/>
  <c r="AZ4" i="8" s="1"/>
  <c r="F29" i="8"/>
  <c r="W4" i="8" s="1"/>
  <c r="AY4" i="8" s="1"/>
  <c r="E29" i="8"/>
  <c r="V4" i="8" s="1"/>
  <c r="AX4" i="8" s="1"/>
  <c r="D29" i="8"/>
  <c r="U4" i="8" s="1"/>
  <c r="AW4" i="8" s="1"/>
  <c r="C29" i="8"/>
  <c r="B29" i="8"/>
  <c r="A29" i="8"/>
  <c r="R4" i="8" s="1"/>
  <c r="AT4" i="8" s="1"/>
  <c r="H28" i="8"/>
  <c r="Y17" i="8" s="1"/>
  <c r="BA17" i="8" s="1"/>
  <c r="G28" i="8"/>
  <c r="X17" i="8" s="1"/>
  <c r="AZ17" i="8" s="1"/>
  <c r="F28" i="8"/>
  <c r="W17" i="8" s="1"/>
  <c r="AY17" i="8" s="1"/>
  <c r="E28" i="8"/>
  <c r="D28" i="8"/>
  <c r="U17" i="8" s="1"/>
  <c r="AW17" i="8" s="1"/>
  <c r="C28" i="8"/>
  <c r="T17" i="8" s="1"/>
  <c r="AV17" i="8" s="1"/>
  <c r="B28" i="8"/>
  <c r="S17" i="8" s="1"/>
  <c r="AU17" i="8" s="1"/>
  <c r="A28" i="8"/>
  <c r="H27" i="8"/>
  <c r="G27" i="8"/>
  <c r="F27" i="8"/>
  <c r="E27" i="8"/>
  <c r="D27" i="8"/>
  <c r="C27" i="8"/>
  <c r="B27" i="8"/>
  <c r="A27" i="8"/>
  <c r="H26" i="8"/>
  <c r="G26" i="8"/>
  <c r="F26" i="8"/>
  <c r="E26" i="8"/>
  <c r="D26" i="8"/>
  <c r="C26" i="8"/>
  <c r="B26" i="8"/>
  <c r="A26" i="8"/>
  <c r="H25" i="8"/>
  <c r="G25" i="8"/>
  <c r="F25" i="8"/>
  <c r="E25" i="8"/>
  <c r="D25" i="8"/>
  <c r="C25" i="8"/>
  <c r="B25" i="8"/>
  <c r="A25" i="8"/>
  <c r="Y24" i="8"/>
  <c r="BA24" i="8" s="1"/>
  <c r="W24" i="8"/>
  <c r="AY24" i="8" s="1"/>
  <c r="V24" i="8"/>
  <c r="AX24" i="8" s="1"/>
  <c r="S24" i="8"/>
  <c r="AU24" i="8" s="1"/>
  <c r="H24" i="8"/>
  <c r="G24" i="8"/>
  <c r="F24" i="8"/>
  <c r="E24" i="8"/>
  <c r="D24" i="8"/>
  <c r="C24" i="8"/>
  <c r="B24" i="8"/>
  <c r="A24" i="8"/>
  <c r="Z23" i="8"/>
  <c r="Y23" i="8"/>
  <c r="BA23" i="8" s="1"/>
  <c r="X23" i="8"/>
  <c r="AZ23" i="8" s="1"/>
  <c r="W23" i="8"/>
  <c r="AY23" i="8" s="1"/>
  <c r="V23" i="8"/>
  <c r="AX23" i="8" s="1"/>
  <c r="S23" i="8"/>
  <c r="AU23" i="8" s="1"/>
  <c r="R23" i="8"/>
  <c r="AT23" i="8" s="1"/>
  <c r="H23" i="8"/>
  <c r="G23" i="8"/>
  <c r="F23" i="8"/>
  <c r="E23" i="8"/>
  <c r="D23" i="8"/>
  <c r="C23" i="8"/>
  <c r="B23" i="8"/>
  <c r="A23" i="8"/>
  <c r="W22" i="8"/>
  <c r="AY22" i="8" s="1"/>
  <c r="U22" i="8"/>
  <c r="AW22" i="8" s="1"/>
  <c r="T22" i="8"/>
  <c r="AV22" i="8" s="1"/>
  <c r="S22" i="8"/>
  <c r="AU22" i="8" s="1"/>
  <c r="R22" i="8"/>
  <c r="AT22" i="8" s="1"/>
  <c r="H22" i="8"/>
  <c r="G22" i="8"/>
  <c r="F22" i="8"/>
  <c r="E22" i="8"/>
  <c r="D22" i="8"/>
  <c r="C22" i="8"/>
  <c r="B22" i="8"/>
  <c r="A22" i="8"/>
  <c r="Y21" i="8"/>
  <c r="BA21" i="8" s="1"/>
  <c r="W21" i="8"/>
  <c r="AY21" i="8" s="1"/>
  <c r="V21" i="8"/>
  <c r="AX21" i="8" s="1"/>
  <c r="T21" i="8"/>
  <c r="AV21" i="8" s="1"/>
  <c r="S21" i="8"/>
  <c r="AU21" i="8" s="1"/>
  <c r="H21" i="8"/>
  <c r="G21" i="8"/>
  <c r="F21" i="8"/>
  <c r="E21" i="8"/>
  <c r="D21" i="8"/>
  <c r="C21" i="8"/>
  <c r="B21" i="8"/>
  <c r="A21" i="8"/>
  <c r="Z20" i="8"/>
  <c r="V20" i="8"/>
  <c r="AX20" i="8" s="1"/>
  <c r="U20" i="8"/>
  <c r="AW20" i="8" s="1"/>
  <c r="S20" i="8"/>
  <c r="AU20" i="8" s="1"/>
  <c r="R20" i="8"/>
  <c r="AT20" i="8" s="1"/>
  <c r="H20" i="8"/>
  <c r="G20" i="8"/>
  <c r="F20" i="8"/>
  <c r="E20" i="8"/>
  <c r="D20" i="8"/>
  <c r="C20" i="8"/>
  <c r="B20" i="8"/>
  <c r="A20" i="8"/>
  <c r="V19" i="8"/>
  <c r="AX19" i="8" s="1"/>
  <c r="R19" i="8"/>
  <c r="AT19" i="8" s="1"/>
  <c r="H19" i="8"/>
  <c r="G19" i="8"/>
  <c r="F19" i="8"/>
  <c r="E19" i="8"/>
  <c r="D19" i="8"/>
  <c r="C19" i="8"/>
  <c r="B19" i="8"/>
  <c r="A19" i="8"/>
  <c r="V18" i="8"/>
  <c r="AX18" i="8" s="1"/>
  <c r="R18" i="8"/>
  <c r="AT18" i="8" s="1"/>
  <c r="H18" i="8"/>
  <c r="G18" i="8"/>
  <c r="F18" i="8"/>
  <c r="E18" i="8"/>
  <c r="D18" i="8"/>
  <c r="C18" i="8"/>
  <c r="B18" i="8"/>
  <c r="A18" i="8"/>
  <c r="V17" i="8"/>
  <c r="AX17" i="8" s="1"/>
  <c r="R17" i="8"/>
  <c r="AT17" i="8" s="1"/>
  <c r="H17" i="8"/>
  <c r="Y16" i="8" s="1"/>
  <c r="BA16" i="8" s="1"/>
  <c r="G17" i="8"/>
  <c r="X16" i="8" s="1"/>
  <c r="AZ16" i="8" s="1"/>
  <c r="F17" i="8"/>
  <c r="W16" i="8" s="1"/>
  <c r="AY16" i="8" s="1"/>
  <c r="E17" i="8"/>
  <c r="V16" i="8" s="1"/>
  <c r="AX16" i="8" s="1"/>
  <c r="D17" i="8"/>
  <c r="U16" i="8" s="1"/>
  <c r="AW16" i="8" s="1"/>
  <c r="C17" i="8"/>
  <c r="B17" i="8"/>
  <c r="S16" i="8" s="1"/>
  <c r="AU16" i="8" s="1"/>
  <c r="A17" i="8"/>
  <c r="R16" i="8" s="1"/>
  <c r="AT16" i="8" s="1"/>
  <c r="Z16" i="8"/>
  <c r="T16" i="8"/>
  <c r="AV16" i="8" s="1"/>
  <c r="H16" i="8"/>
  <c r="G16" i="8"/>
  <c r="F16" i="8"/>
  <c r="E16" i="8"/>
  <c r="D16" i="8"/>
  <c r="C16" i="8"/>
  <c r="B16" i="8"/>
  <c r="A16" i="8"/>
  <c r="Z15" i="8"/>
  <c r="H15" i="8"/>
  <c r="Y15" i="8" s="1"/>
  <c r="BA15" i="8" s="1"/>
  <c r="G15" i="8"/>
  <c r="X15" i="8" s="1"/>
  <c r="AZ15" i="8" s="1"/>
  <c r="F15" i="8"/>
  <c r="W15" i="8" s="1"/>
  <c r="AY15" i="8" s="1"/>
  <c r="E15" i="8"/>
  <c r="V15" i="8" s="1"/>
  <c r="AX15" i="8" s="1"/>
  <c r="D15" i="8"/>
  <c r="U15" i="8" s="1"/>
  <c r="AW15" i="8" s="1"/>
  <c r="C15" i="8"/>
  <c r="T15" i="8" s="1"/>
  <c r="AV15" i="8" s="1"/>
  <c r="B15" i="8"/>
  <c r="S15" i="8" s="1"/>
  <c r="AU15" i="8" s="1"/>
  <c r="A15" i="8"/>
  <c r="R15" i="8" s="1"/>
  <c r="AT15" i="8" s="1"/>
  <c r="H14" i="8"/>
  <c r="Y38" i="8" s="1"/>
  <c r="G14" i="8"/>
  <c r="X38" i="8" s="1"/>
  <c r="F14" i="8"/>
  <c r="W38" i="8" s="1"/>
  <c r="E14" i="8"/>
  <c r="V38" i="8" s="1"/>
  <c r="D14" i="8"/>
  <c r="U38" i="8" s="1"/>
  <c r="C14" i="8"/>
  <c r="T38" i="8" s="1"/>
  <c r="B14" i="8"/>
  <c r="S38" i="8" s="1"/>
  <c r="A14" i="8"/>
  <c r="R38" i="8" s="1"/>
  <c r="H13" i="8"/>
  <c r="Y37" i="8" s="1"/>
  <c r="G13" i="8"/>
  <c r="X37" i="8" s="1"/>
  <c r="F13" i="8"/>
  <c r="W37" i="8" s="1"/>
  <c r="E13" i="8"/>
  <c r="V37" i="8" s="1"/>
  <c r="D13" i="8"/>
  <c r="U37" i="8" s="1"/>
  <c r="C13" i="8"/>
  <c r="T37" i="8" s="1"/>
  <c r="B13" i="8"/>
  <c r="S37" i="8" s="1"/>
  <c r="A13" i="8"/>
  <c r="R37" i="8" s="1"/>
  <c r="H12" i="8"/>
  <c r="Y3" i="8" s="1"/>
  <c r="BA3" i="8" s="1"/>
  <c r="G12" i="8"/>
  <c r="X36" i="8" s="1"/>
  <c r="F12" i="8"/>
  <c r="W36" i="8" s="1"/>
  <c r="E12" i="8"/>
  <c r="V36" i="8" s="1"/>
  <c r="D12" i="8"/>
  <c r="U3" i="8" s="1"/>
  <c r="AW3" i="8" s="1"/>
  <c r="C12" i="8"/>
  <c r="T3" i="8" s="1"/>
  <c r="AV3" i="8" s="1"/>
  <c r="B12" i="8"/>
  <c r="S36" i="8" s="1"/>
  <c r="A12" i="8"/>
  <c r="R3" i="8" s="1"/>
  <c r="AT3" i="8" s="1"/>
  <c r="BO11" i="8"/>
  <c r="BN11" i="8"/>
  <c r="BM11" i="8"/>
  <c r="BL11" i="8"/>
  <c r="BK11" i="8"/>
  <c r="BJ11" i="8"/>
  <c r="BI11" i="8"/>
  <c r="BH11" i="8"/>
  <c r="BG11" i="8"/>
  <c r="BF11" i="8"/>
  <c r="BE11" i="8"/>
  <c r="BD11" i="8"/>
  <c r="H11" i="8"/>
  <c r="Y35" i="8" s="1"/>
  <c r="G11" i="8"/>
  <c r="X35" i="8" s="1"/>
  <c r="F11" i="8"/>
  <c r="W35" i="8" s="1"/>
  <c r="E11" i="8"/>
  <c r="V35" i="8" s="1"/>
  <c r="D11" i="8"/>
  <c r="U35" i="8" s="1"/>
  <c r="C11" i="8"/>
  <c r="T35" i="8" s="1"/>
  <c r="B11" i="8"/>
  <c r="S35" i="8" s="1"/>
  <c r="A11" i="8"/>
  <c r="R35" i="8" s="1"/>
  <c r="H10" i="8"/>
  <c r="Y34" i="8" s="1"/>
  <c r="G10" i="8"/>
  <c r="X34" i="8" s="1"/>
  <c r="F10" i="8"/>
  <c r="W34" i="8" s="1"/>
  <c r="E10" i="8"/>
  <c r="V34" i="8" s="1"/>
  <c r="D10" i="8"/>
  <c r="U34" i="8" s="1"/>
  <c r="C10" i="8"/>
  <c r="T34" i="8" s="1"/>
  <c r="B10" i="8"/>
  <c r="S34" i="8" s="1"/>
  <c r="A10" i="8"/>
  <c r="R34" i="8" s="1"/>
  <c r="H9" i="8"/>
  <c r="Y33" i="8" s="1"/>
  <c r="G9" i="8"/>
  <c r="X33" i="8" s="1"/>
  <c r="F9" i="8"/>
  <c r="W33" i="8" s="1"/>
  <c r="E9" i="8"/>
  <c r="V33" i="8" s="1"/>
  <c r="D9" i="8"/>
  <c r="U33" i="8" s="1"/>
  <c r="C9" i="8"/>
  <c r="T33" i="8" s="1"/>
  <c r="B9" i="8"/>
  <c r="S33" i="8" s="1"/>
  <c r="A9" i="8"/>
  <c r="R33" i="8" s="1"/>
  <c r="AY8" i="8"/>
  <c r="Z8" i="8"/>
  <c r="Y8" i="8"/>
  <c r="BA8" i="8" s="1"/>
  <c r="X8" i="8"/>
  <c r="AZ8" i="8" s="1"/>
  <c r="U8" i="8"/>
  <c r="AW8" i="8" s="1"/>
  <c r="T8" i="8"/>
  <c r="AV8" i="8" s="1"/>
  <c r="S8" i="8"/>
  <c r="AU8" i="8" s="1"/>
  <c r="R8" i="8"/>
  <c r="AT8" i="8" s="1"/>
  <c r="H8" i="8"/>
  <c r="Y32" i="8" s="1"/>
  <c r="G8" i="8"/>
  <c r="X32" i="8" s="1"/>
  <c r="F8" i="8"/>
  <c r="W32" i="8" s="1"/>
  <c r="E8" i="8"/>
  <c r="V32" i="8" s="1"/>
  <c r="D8" i="8"/>
  <c r="U32" i="8" s="1"/>
  <c r="C8" i="8"/>
  <c r="T32" i="8" s="1"/>
  <c r="B8" i="8"/>
  <c r="S32" i="8" s="1"/>
  <c r="A8" i="8"/>
  <c r="R32" i="8" s="1"/>
  <c r="AA7" i="8"/>
  <c r="Y7" i="8"/>
  <c r="BA7" i="8" s="1"/>
  <c r="U7" i="8"/>
  <c r="AW7" i="8" s="1"/>
  <c r="T7" i="8"/>
  <c r="AV7" i="8" s="1"/>
  <c r="S7" i="8"/>
  <c r="AU7" i="8" s="1"/>
  <c r="H7" i="8"/>
  <c r="Y31" i="8" s="1"/>
  <c r="G7" i="8"/>
  <c r="X31" i="8" s="1"/>
  <c r="F7" i="8"/>
  <c r="W31" i="8" s="1"/>
  <c r="E7" i="8"/>
  <c r="V31" i="8" s="1"/>
  <c r="D7" i="8"/>
  <c r="U31" i="8" s="1"/>
  <c r="C7" i="8"/>
  <c r="T31" i="8" s="1"/>
  <c r="A7" i="8"/>
  <c r="R31" i="8" s="1"/>
  <c r="AA6" i="8"/>
  <c r="Y6" i="8"/>
  <c r="BA6" i="8" s="1"/>
  <c r="W6" i="8"/>
  <c r="AY6" i="8" s="1"/>
  <c r="U6" i="8"/>
  <c r="AW6" i="8" s="1"/>
  <c r="T6" i="8"/>
  <c r="AV6" i="8" s="1"/>
  <c r="S6" i="8"/>
  <c r="AU6" i="8" s="1"/>
  <c r="H6" i="8"/>
  <c r="Y30" i="8" s="1"/>
  <c r="G6" i="8"/>
  <c r="X30" i="8" s="1"/>
  <c r="F6" i="8"/>
  <c r="W30" i="8" s="1"/>
  <c r="E6" i="8"/>
  <c r="V30" i="8" s="1"/>
  <c r="D6" i="8"/>
  <c r="U30" i="8" s="1"/>
  <c r="C6" i="8"/>
  <c r="T30" i="8" s="1"/>
  <c r="A6" i="8"/>
  <c r="R30" i="8" s="1"/>
  <c r="AA5" i="8"/>
  <c r="Y5" i="8"/>
  <c r="BA5" i="8" s="1"/>
  <c r="U5" i="8"/>
  <c r="AW5" i="8" s="1"/>
  <c r="T5" i="8"/>
  <c r="AV5" i="8" s="1"/>
  <c r="S5" i="8"/>
  <c r="AU5" i="8" s="1"/>
  <c r="AA14" i="8"/>
  <c r="H5" i="8"/>
  <c r="Y14" i="8" s="1"/>
  <c r="BA14" i="8" s="1"/>
  <c r="G5" i="8"/>
  <c r="X14" i="8" s="1"/>
  <c r="F5" i="8"/>
  <c r="W14" i="8" s="1"/>
  <c r="AY14" i="8" s="1"/>
  <c r="E5" i="8"/>
  <c r="V14" i="8" s="1"/>
  <c r="AX14" i="8" s="1"/>
  <c r="D5" i="8"/>
  <c r="U14" i="8" s="1"/>
  <c r="AW14" i="8" s="1"/>
  <c r="C5" i="8"/>
  <c r="T14" i="8" s="1"/>
  <c r="AV14" i="8" s="1"/>
  <c r="A5" i="8"/>
  <c r="R14" i="8" s="1"/>
  <c r="AT14" i="8" s="1"/>
  <c r="AA4" i="8"/>
  <c r="Z4" i="8"/>
  <c r="Y4" i="8"/>
  <c r="BA4" i="8" s="1"/>
  <c r="T4" i="8"/>
  <c r="AV4" i="8" s="1"/>
  <c r="S4" i="8"/>
  <c r="AU4" i="8" s="1"/>
  <c r="H4" i="8"/>
  <c r="Y13" i="8" s="1"/>
  <c r="BA13" i="8" s="1"/>
  <c r="G4" i="8"/>
  <c r="X13" i="8" s="1"/>
  <c r="F4" i="8"/>
  <c r="W13" i="8" s="1"/>
  <c r="AY13" i="8" s="1"/>
  <c r="E4" i="8"/>
  <c r="V13" i="8" s="1"/>
  <c r="AX13" i="8" s="1"/>
  <c r="D4" i="8"/>
  <c r="U13" i="8" s="1"/>
  <c r="AW13" i="8" s="1"/>
  <c r="C4" i="8"/>
  <c r="T13" i="8" s="1"/>
  <c r="AV13" i="8" s="1"/>
  <c r="B4" i="8"/>
  <c r="S13" i="8" s="1"/>
  <c r="AU13" i="8" s="1"/>
  <c r="A4" i="8"/>
  <c r="R13" i="8" s="1"/>
  <c r="AT13" i="8" s="1"/>
  <c r="Z12" i="8"/>
  <c r="H3" i="8"/>
  <c r="Y12" i="8" s="1"/>
  <c r="BA12" i="8" s="1"/>
  <c r="G3" i="8"/>
  <c r="X12" i="8" s="1"/>
  <c r="F3" i="8"/>
  <c r="W12" i="8" s="1"/>
  <c r="AY12" i="8" s="1"/>
  <c r="E3" i="8"/>
  <c r="V12" i="8" s="1"/>
  <c r="AX12" i="8" s="1"/>
  <c r="D3" i="8"/>
  <c r="U12" i="8" s="1"/>
  <c r="AW12" i="8" s="1"/>
  <c r="C3" i="8"/>
  <c r="T12" i="8" s="1"/>
  <c r="AV12" i="8" s="1"/>
  <c r="A3" i="8"/>
  <c r="R12" i="8" s="1"/>
  <c r="AT12" i="8" s="1"/>
  <c r="BK2" i="8"/>
  <c r="BJ2" i="8"/>
  <c r="BI2" i="8"/>
  <c r="BH2" i="8"/>
  <c r="BG2" i="8"/>
  <c r="BF2" i="8"/>
  <c r="BE2" i="8"/>
  <c r="BD2" i="8"/>
  <c r="T2" i="8"/>
  <c r="AV2" i="8" s="1"/>
  <c r="Z11" i="8"/>
  <c r="BB11" i="8" s="1"/>
  <c r="H2" i="8"/>
  <c r="Y11" i="8" s="1"/>
  <c r="BA11" i="8" s="1"/>
  <c r="G2" i="8"/>
  <c r="X2" i="8" s="1"/>
  <c r="AZ2" i="8" s="1"/>
  <c r="F2" i="8"/>
  <c r="W2" i="8" s="1"/>
  <c r="AY2" i="8" s="1"/>
  <c r="E2" i="8"/>
  <c r="V11" i="8" s="1"/>
  <c r="AX11" i="8" s="1"/>
  <c r="D2" i="8"/>
  <c r="U2" i="8" s="1"/>
  <c r="AW2" i="8" s="1"/>
  <c r="C2" i="8"/>
  <c r="T11" i="8" s="1"/>
  <c r="AV11" i="8" s="1"/>
  <c r="A2" i="8"/>
  <c r="R2" i="8" s="1"/>
  <c r="AT2" i="8" s="1"/>
  <c r="B1" i="8"/>
  <c r="S1" i="8" s="1"/>
  <c r="AU1" i="8" s="1"/>
  <c r="I1" i="7"/>
  <c r="Z28" i="7" s="1"/>
  <c r="J1" i="7"/>
  <c r="I2" i="7"/>
  <c r="Z29" i="7" s="1"/>
  <c r="J2" i="7"/>
  <c r="AA29" i="7" s="1"/>
  <c r="I3" i="7"/>
  <c r="J3" i="7"/>
  <c r="I4" i="7"/>
  <c r="Z13" i="7" s="1"/>
  <c r="J4" i="7"/>
  <c r="AA13" i="7" s="1"/>
  <c r="I5" i="7"/>
  <c r="Z14" i="7" s="1"/>
  <c r="J5" i="7"/>
  <c r="I6" i="7"/>
  <c r="Z30" i="7" s="1"/>
  <c r="J6" i="7"/>
  <c r="AA30" i="7" s="1"/>
  <c r="I7" i="7"/>
  <c r="Z31" i="7" s="1"/>
  <c r="J7" i="7"/>
  <c r="AA31" i="7" s="1"/>
  <c r="I8" i="7"/>
  <c r="Z32" i="7" s="1"/>
  <c r="J8" i="7"/>
  <c r="AA32" i="7" s="1"/>
  <c r="I9" i="7"/>
  <c r="Z33" i="7" s="1"/>
  <c r="J9" i="7"/>
  <c r="AA33" i="7" s="1"/>
  <c r="I10" i="7"/>
  <c r="Z34" i="7" s="1"/>
  <c r="J10" i="7"/>
  <c r="AA34" i="7" s="1"/>
  <c r="I11" i="7"/>
  <c r="Z35" i="7" s="1"/>
  <c r="J11" i="7"/>
  <c r="AA35" i="7" s="1"/>
  <c r="I12" i="7"/>
  <c r="Z36" i="7" s="1"/>
  <c r="J12" i="7"/>
  <c r="AA3" i="7" s="1"/>
  <c r="I13" i="7"/>
  <c r="Z37" i="7" s="1"/>
  <c r="J13" i="7"/>
  <c r="AA37" i="7" s="1"/>
  <c r="I14" i="7"/>
  <c r="Z38" i="7" s="1"/>
  <c r="J14" i="7"/>
  <c r="AA38" i="7" s="1"/>
  <c r="I15" i="7"/>
  <c r="J15" i="7"/>
  <c r="I16" i="7"/>
  <c r="J16" i="7"/>
  <c r="I17" i="7"/>
  <c r="Z16" i="7" s="1"/>
  <c r="J17" i="7"/>
  <c r="AA16" i="7" s="1"/>
  <c r="I18" i="7"/>
  <c r="J18" i="7"/>
  <c r="I19" i="7"/>
  <c r="J19" i="7"/>
  <c r="I20" i="7"/>
  <c r="J20" i="7"/>
  <c r="I21" i="7"/>
  <c r="J21" i="7"/>
  <c r="I22" i="7"/>
  <c r="J22" i="7"/>
  <c r="I23" i="7"/>
  <c r="J23" i="7"/>
  <c r="I24" i="7"/>
  <c r="J24" i="7"/>
  <c r="I25" i="7"/>
  <c r="J25" i="7"/>
  <c r="I26" i="7"/>
  <c r="J26" i="7"/>
  <c r="I27" i="7"/>
  <c r="J27" i="7"/>
  <c r="I28" i="7"/>
  <c r="J28" i="7"/>
  <c r="AA17" i="7" s="1"/>
  <c r="I29" i="7"/>
  <c r="Z4" i="7" s="1"/>
  <c r="J29" i="7"/>
  <c r="AA4" i="7" s="1"/>
  <c r="I30" i="7"/>
  <c r="J30" i="7"/>
  <c r="I31" i="7"/>
  <c r="J31" i="7"/>
  <c r="I32" i="7"/>
  <c r="J32" i="7"/>
  <c r="I33" i="7"/>
  <c r="J33" i="7"/>
  <c r="I34" i="7"/>
  <c r="J34" i="7"/>
  <c r="I35" i="7"/>
  <c r="J35" i="7"/>
  <c r="I36" i="7"/>
  <c r="J36" i="7"/>
  <c r="I37" i="7"/>
  <c r="J37" i="7"/>
  <c r="I38" i="7"/>
  <c r="J38" i="7"/>
  <c r="I39" i="7"/>
  <c r="J39" i="7"/>
  <c r="I40" i="7"/>
  <c r="Z18" i="7" s="1"/>
  <c r="J40" i="7"/>
  <c r="AA18" i="7" s="1"/>
  <c r="I41" i="7"/>
  <c r="Z5" i="7" s="1"/>
  <c r="J41" i="7"/>
  <c r="AA5" i="7" s="1"/>
  <c r="I42" i="7"/>
  <c r="J42" i="7"/>
  <c r="I43" i="7"/>
  <c r="J43" i="7"/>
  <c r="I44" i="7"/>
  <c r="J44" i="7"/>
  <c r="I45" i="7"/>
  <c r="J45" i="7"/>
  <c r="I46" i="7"/>
  <c r="J46" i="7"/>
  <c r="I47" i="7"/>
  <c r="J47" i="7"/>
  <c r="I48" i="7"/>
  <c r="J48" i="7"/>
  <c r="I49" i="7"/>
  <c r="J49" i="7"/>
  <c r="I50" i="7"/>
  <c r="J50" i="7"/>
  <c r="I51" i="7"/>
  <c r="J51" i="7"/>
  <c r="I52" i="7"/>
  <c r="Z19" i="7" s="1"/>
  <c r="J52" i="7"/>
  <c r="AA19" i="7" s="1"/>
  <c r="I53" i="7"/>
  <c r="Z6" i="7" s="1"/>
  <c r="J53" i="7"/>
  <c r="AA6" i="7" s="1"/>
  <c r="I54" i="7"/>
  <c r="J54" i="7"/>
  <c r="I55" i="7"/>
  <c r="J55" i="7"/>
  <c r="I56" i="7"/>
  <c r="J56" i="7"/>
  <c r="I57" i="7"/>
  <c r="J57" i="7"/>
  <c r="I58" i="7"/>
  <c r="J58" i="7"/>
  <c r="I59" i="7"/>
  <c r="J59" i="7"/>
  <c r="I60" i="7"/>
  <c r="J60" i="7"/>
  <c r="I61" i="7"/>
  <c r="J61" i="7"/>
  <c r="I62" i="7"/>
  <c r="J62" i="7"/>
  <c r="I63" i="7"/>
  <c r="J63" i="7"/>
  <c r="I64" i="7"/>
  <c r="Z20" i="7" s="1"/>
  <c r="J64" i="7"/>
  <c r="AA20" i="7" s="1"/>
  <c r="I65" i="7"/>
  <c r="Z7" i="7" s="1"/>
  <c r="J65" i="7"/>
  <c r="I66" i="7"/>
  <c r="J66" i="7"/>
  <c r="I67" i="7"/>
  <c r="J67" i="7"/>
  <c r="I68" i="7"/>
  <c r="J68" i="7"/>
  <c r="I69" i="7"/>
  <c r="J69" i="7"/>
  <c r="I70" i="7"/>
  <c r="J70" i="7"/>
  <c r="I71" i="7"/>
  <c r="J71" i="7"/>
  <c r="I72" i="7"/>
  <c r="J72" i="7"/>
  <c r="I73" i="7"/>
  <c r="J73" i="7"/>
  <c r="I74" i="7"/>
  <c r="J74" i="7"/>
  <c r="I75" i="7"/>
  <c r="J75" i="7"/>
  <c r="I76" i="7"/>
  <c r="J76" i="7"/>
  <c r="I77" i="7"/>
  <c r="J77" i="7"/>
  <c r="I78" i="7"/>
  <c r="J78" i="7"/>
  <c r="I79" i="7"/>
  <c r="J79" i="7"/>
  <c r="I80" i="7"/>
  <c r="J80" i="7"/>
  <c r="AA21" i="7" s="1"/>
  <c r="I81" i="7"/>
  <c r="J81" i="7"/>
  <c r="I82" i="7"/>
  <c r="Z39" i="7" s="1"/>
  <c r="J82" i="7"/>
  <c r="AA39" i="7" s="1"/>
  <c r="I83" i="7"/>
  <c r="Z40" i="7" s="1"/>
  <c r="J83" i="7"/>
  <c r="AA40" i="7" s="1"/>
  <c r="I84" i="7"/>
  <c r="J84" i="7"/>
  <c r="AA22" i="7" s="1"/>
  <c r="I85" i="7"/>
  <c r="J85" i="7"/>
  <c r="I86" i="7"/>
  <c r="J86" i="7"/>
  <c r="AA24" i="7" s="1"/>
  <c r="H86" i="7"/>
  <c r="G86" i="7"/>
  <c r="F86" i="7"/>
  <c r="W24" i="7" s="1"/>
  <c r="AY24" i="7" s="1"/>
  <c r="E86" i="7"/>
  <c r="V24" i="7" s="1"/>
  <c r="AX24" i="7" s="1"/>
  <c r="D86" i="7"/>
  <c r="U24" i="7" s="1"/>
  <c r="AW24" i="7" s="1"/>
  <c r="C86" i="7"/>
  <c r="T24" i="7" s="1"/>
  <c r="AV24" i="7" s="1"/>
  <c r="B86" i="7"/>
  <c r="S24" i="7" s="1"/>
  <c r="AU24" i="7" s="1"/>
  <c r="A86" i="7"/>
  <c r="H85" i="7"/>
  <c r="G85" i="7"/>
  <c r="F85" i="7"/>
  <c r="E85" i="7"/>
  <c r="V23" i="7" s="1"/>
  <c r="AX23" i="7" s="1"/>
  <c r="D85" i="7"/>
  <c r="U23" i="7" s="1"/>
  <c r="AW23" i="7" s="1"/>
  <c r="C85" i="7"/>
  <c r="B85" i="7"/>
  <c r="A85" i="7"/>
  <c r="H84" i="7"/>
  <c r="Y22" i="7" s="1"/>
  <c r="BA22" i="7" s="1"/>
  <c r="G84" i="7"/>
  <c r="X22" i="7" s="1"/>
  <c r="AZ22" i="7" s="1"/>
  <c r="F84" i="7"/>
  <c r="W22" i="7" s="1"/>
  <c r="AY22" i="7" s="1"/>
  <c r="E84" i="7"/>
  <c r="D84" i="7"/>
  <c r="C84" i="7"/>
  <c r="B84" i="7"/>
  <c r="A84" i="7"/>
  <c r="H83" i="7"/>
  <c r="Y40" i="7" s="1"/>
  <c r="G83" i="7"/>
  <c r="X40" i="7" s="1"/>
  <c r="F83" i="7"/>
  <c r="W40" i="7" s="1"/>
  <c r="E83" i="7"/>
  <c r="V40" i="7" s="1"/>
  <c r="D83" i="7"/>
  <c r="U40" i="7" s="1"/>
  <c r="C83" i="7"/>
  <c r="T40" i="7" s="1"/>
  <c r="B83" i="7"/>
  <c r="S40" i="7" s="1"/>
  <c r="A83" i="7"/>
  <c r="R40" i="7" s="1"/>
  <c r="H82" i="7"/>
  <c r="Y39" i="7" s="1"/>
  <c r="G82" i="7"/>
  <c r="X39" i="7" s="1"/>
  <c r="F82" i="7"/>
  <c r="W39" i="7" s="1"/>
  <c r="E82" i="7"/>
  <c r="V39" i="7" s="1"/>
  <c r="D82" i="7"/>
  <c r="U39" i="7" s="1"/>
  <c r="C82" i="7"/>
  <c r="T39" i="7" s="1"/>
  <c r="B82" i="7"/>
  <c r="S39" i="7" s="1"/>
  <c r="A82" i="7"/>
  <c r="R39" i="7" s="1"/>
  <c r="H81" i="7"/>
  <c r="Y8" i="7" s="1"/>
  <c r="BA8" i="7" s="1"/>
  <c r="G81" i="7"/>
  <c r="X8" i="7" s="1"/>
  <c r="AZ8" i="7" s="1"/>
  <c r="F81" i="7"/>
  <c r="W8" i="7" s="1"/>
  <c r="E81" i="7"/>
  <c r="V8" i="7" s="1"/>
  <c r="AX8" i="7" s="1"/>
  <c r="D81" i="7"/>
  <c r="U8" i="7" s="1"/>
  <c r="C81" i="7"/>
  <c r="B81" i="7"/>
  <c r="A81" i="7"/>
  <c r="H80" i="7"/>
  <c r="G80" i="7"/>
  <c r="X21" i="7" s="1"/>
  <c r="AZ21" i="7" s="1"/>
  <c r="F80" i="7"/>
  <c r="W21" i="7" s="1"/>
  <c r="AY21" i="7" s="1"/>
  <c r="E80" i="7"/>
  <c r="V21" i="7" s="1"/>
  <c r="AX21" i="7" s="1"/>
  <c r="D80" i="7"/>
  <c r="U21" i="7" s="1"/>
  <c r="AW21" i="7" s="1"/>
  <c r="C80" i="7"/>
  <c r="T21" i="7" s="1"/>
  <c r="AV21" i="7" s="1"/>
  <c r="B80" i="7"/>
  <c r="A80" i="7"/>
  <c r="H79" i="7"/>
  <c r="G79" i="7"/>
  <c r="F79" i="7"/>
  <c r="E79" i="7"/>
  <c r="D79" i="7"/>
  <c r="C79" i="7"/>
  <c r="B79" i="7"/>
  <c r="A79" i="7"/>
  <c r="H78" i="7"/>
  <c r="G78" i="7"/>
  <c r="F78" i="7"/>
  <c r="E78" i="7"/>
  <c r="D78" i="7"/>
  <c r="C78" i="7"/>
  <c r="B78" i="7"/>
  <c r="A78" i="7"/>
  <c r="H77" i="7"/>
  <c r="G77" i="7"/>
  <c r="F77" i="7"/>
  <c r="E77" i="7"/>
  <c r="D77" i="7"/>
  <c r="C77" i="7"/>
  <c r="B77" i="7"/>
  <c r="A77" i="7"/>
  <c r="H76" i="7"/>
  <c r="G76" i="7"/>
  <c r="F76" i="7"/>
  <c r="E76" i="7"/>
  <c r="D76" i="7"/>
  <c r="C76" i="7"/>
  <c r="B76" i="7"/>
  <c r="A76" i="7"/>
  <c r="H75" i="7"/>
  <c r="G75" i="7"/>
  <c r="F75" i="7"/>
  <c r="E75" i="7"/>
  <c r="D75" i="7"/>
  <c r="C75" i="7"/>
  <c r="B75" i="7"/>
  <c r="A75" i="7"/>
  <c r="H74" i="7"/>
  <c r="G74" i="7"/>
  <c r="F74" i="7"/>
  <c r="E74" i="7"/>
  <c r="D74" i="7"/>
  <c r="C74" i="7"/>
  <c r="B74" i="7"/>
  <c r="A74" i="7"/>
  <c r="H73" i="7"/>
  <c r="G73" i="7"/>
  <c r="F73" i="7"/>
  <c r="E73" i="7"/>
  <c r="D73" i="7"/>
  <c r="C73" i="7"/>
  <c r="B73" i="7"/>
  <c r="A73" i="7"/>
  <c r="H72" i="7"/>
  <c r="G72" i="7"/>
  <c r="F72" i="7"/>
  <c r="E72" i="7"/>
  <c r="D72" i="7"/>
  <c r="C72" i="7"/>
  <c r="B72" i="7"/>
  <c r="A72" i="7"/>
  <c r="H71" i="7"/>
  <c r="G71" i="7"/>
  <c r="F71" i="7"/>
  <c r="E71" i="7"/>
  <c r="D71" i="7"/>
  <c r="C71" i="7"/>
  <c r="B71" i="7"/>
  <c r="A71" i="7"/>
  <c r="H70" i="7"/>
  <c r="G70" i="7"/>
  <c r="F70" i="7"/>
  <c r="E70" i="7"/>
  <c r="D70" i="7"/>
  <c r="C70" i="7"/>
  <c r="B70" i="7"/>
  <c r="A70" i="7"/>
  <c r="H69" i="7"/>
  <c r="G69" i="7"/>
  <c r="F69" i="7"/>
  <c r="E69" i="7"/>
  <c r="D69" i="7"/>
  <c r="C69" i="7"/>
  <c r="B69" i="7"/>
  <c r="A69" i="7"/>
  <c r="H68" i="7"/>
  <c r="G68" i="7"/>
  <c r="F68" i="7"/>
  <c r="E68" i="7"/>
  <c r="D68" i="7"/>
  <c r="C68" i="7"/>
  <c r="B68" i="7"/>
  <c r="A68" i="7"/>
  <c r="H67" i="7"/>
  <c r="G67" i="7"/>
  <c r="F67" i="7"/>
  <c r="E67" i="7"/>
  <c r="D67" i="7"/>
  <c r="C67" i="7"/>
  <c r="B67" i="7"/>
  <c r="A67" i="7"/>
  <c r="H66" i="7"/>
  <c r="G66" i="7"/>
  <c r="F66" i="7"/>
  <c r="E66" i="7"/>
  <c r="D66" i="7"/>
  <c r="C66" i="7"/>
  <c r="B66" i="7"/>
  <c r="A66" i="7"/>
  <c r="H65" i="7"/>
  <c r="G65" i="7"/>
  <c r="F65" i="7"/>
  <c r="E65" i="7"/>
  <c r="V7" i="7" s="1"/>
  <c r="AX7" i="7" s="1"/>
  <c r="D65" i="7"/>
  <c r="U7" i="7" s="1"/>
  <c r="AW7" i="7" s="1"/>
  <c r="C65" i="7"/>
  <c r="T7" i="7" s="1"/>
  <c r="AV7" i="7" s="1"/>
  <c r="B65" i="7"/>
  <c r="A65" i="7"/>
  <c r="H64" i="7"/>
  <c r="Y20" i="7" s="1"/>
  <c r="BA20" i="7" s="1"/>
  <c r="G64" i="7"/>
  <c r="X20" i="7" s="1"/>
  <c r="AZ20" i="7" s="1"/>
  <c r="F64" i="7"/>
  <c r="W20" i="7" s="1"/>
  <c r="AY20" i="7" s="1"/>
  <c r="E64" i="7"/>
  <c r="D64" i="7"/>
  <c r="C64" i="7"/>
  <c r="B64" i="7"/>
  <c r="S20" i="7" s="1"/>
  <c r="AU20" i="7" s="1"/>
  <c r="A64" i="7"/>
  <c r="R20" i="7" s="1"/>
  <c r="AT20" i="7" s="1"/>
  <c r="H63" i="7"/>
  <c r="G63" i="7"/>
  <c r="F63" i="7"/>
  <c r="E63" i="7"/>
  <c r="D63" i="7"/>
  <c r="C63" i="7"/>
  <c r="B63" i="7"/>
  <c r="A63" i="7"/>
  <c r="H62" i="7"/>
  <c r="G62" i="7"/>
  <c r="F62" i="7"/>
  <c r="E62" i="7"/>
  <c r="D62" i="7"/>
  <c r="C62" i="7"/>
  <c r="B62" i="7"/>
  <c r="A62" i="7"/>
  <c r="H61" i="7"/>
  <c r="G61" i="7"/>
  <c r="F61" i="7"/>
  <c r="E61" i="7"/>
  <c r="D61" i="7"/>
  <c r="C61" i="7"/>
  <c r="B61" i="7"/>
  <c r="A61" i="7"/>
  <c r="H60" i="7"/>
  <c r="G60" i="7"/>
  <c r="F60" i="7"/>
  <c r="E60" i="7"/>
  <c r="D60" i="7"/>
  <c r="C60" i="7"/>
  <c r="B60" i="7"/>
  <c r="A60" i="7"/>
  <c r="H59" i="7"/>
  <c r="G59" i="7"/>
  <c r="F59" i="7"/>
  <c r="E59" i="7"/>
  <c r="D59" i="7"/>
  <c r="C59" i="7"/>
  <c r="B59" i="7"/>
  <c r="A59" i="7"/>
  <c r="H58" i="7"/>
  <c r="G58" i="7"/>
  <c r="F58" i="7"/>
  <c r="E58" i="7"/>
  <c r="D58" i="7"/>
  <c r="C58" i="7"/>
  <c r="B58" i="7"/>
  <c r="A58" i="7"/>
  <c r="H57" i="7"/>
  <c r="G57" i="7"/>
  <c r="F57" i="7"/>
  <c r="E57" i="7"/>
  <c r="D57" i="7"/>
  <c r="C57" i="7"/>
  <c r="B57" i="7"/>
  <c r="A57" i="7"/>
  <c r="H56" i="7"/>
  <c r="G56" i="7"/>
  <c r="F56" i="7"/>
  <c r="E56" i="7"/>
  <c r="D56" i="7"/>
  <c r="C56" i="7"/>
  <c r="B56" i="7"/>
  <c r="A56" i="7"/>
  <c r="H55" i="7"/>
  <c r="G55" i="7"/>
  <c r="F55" i="7"/>
  <c r="E55" i="7"/>
  <c r="D55" i="7"/>
  <c r="C55" i="7"/>
  <c r="B55" i="7"/>
  <c r="A55" i="7"/>
  <c r="H54" i="7"/>
  <c r="G54" i="7"/>
  <c r="F54" i="7"/>
  <c r="E54" i="7"/>
  <c r="D54" i="7"/>
  <c r="C54" i="7"/>
  <c r="B54" i="7"/>
  <c r="A54" i="7"/>
  <c r="H53" i="7"/>
  <c r="G53" i="7"/>
  <c r="F53" i="7"/>
  <c r="W6" i="7" s="1"/>
  <c r="AY6" i="7" s="1"/>
  <c r="E53" i="7"/>
  <c r="V6" i="7" s="1"/>
  <c r="AX6" i="7" s="1"/>
  <c r="D53" i="7"/>
  <c r="U6" i="7" s="1"/>
  <c r="AW6" i="7" s="1"/>
  <c r="C53" i="7"/>
  <c r="T6" i="7" s="1"/>
  <c r="AV6" i="7" s="1"/>
  <c r="B53" i="7"/>
  <c r="A53" i="7"/>
  <c r="H52" i="7"/>
  <c r="Y19" i="7" s="1"/>
  <c r="BA19" i="7" s="1"/>
  <c r="G52" i="7"/>
  <c r="X19" i="7" s="1"/>
  <c r="AZ19" i="7" s="1"/>
  <c r="F52" i="7"/>
  <c r="W19" i="7" s="1"/>
  <c r="AY19" i="7" s="1"/>
  <c r="E52" i="7"/>
  <c r="D52" i="7"/>
  <c r="C52" i="7"/>
  <c r="B52" i="7"/>
  <c r="A52" i="7"/>
  <c r="R19" i="7" s="1"/>
  <c r="AT19" i="7" s="1"/>
  <c r="H51" i="7"/>
  <c r="G51" i="7"/>
  <c r="F51" i="7"/>
  <c r="E51" i="7"/>
  <c r="D51" i="7"/>
  <c r="C51" i="7"/>
  <c r="B51" i="7"/>
  <c r="A51" i="7"/>
  <c r="H50" i="7"/>
  <c r="G50" i="7"/>
  <c r="F50" i="7"/>
  <c r="E50" i="7"/>
  <c r="D50" i="7"/>
  <c r="C50" i="7"/>
  <c r="B50" i="7"/>
  <c r="A50" i="7"/>
  <c r="H49" i="7"/>
  <c r="G49" i="7"/>
  <c r="F49" i="7"/>
  <c r="E49" i="7"/>
  <c r="D49" i="7"/>
  <c r="C49" i="7"/>
  <c r="B49" i="7"/>
  <c r="A49" i="7"/>
  <c r="H48" i="7"/>
  <c r="G48" i="7"/>
  <c r="F48" i="7"/>
  <c r="E48" i="7"/>
  <c r="D48" i="7"/>
  <c r="C48" i="7"/>
  <c r="B48" i="7"/>
  <c r="A48" i="7"/>
  <c r="H47" i="7"/>
  <c r="G47" i="7"/>
  <c r="F47" i="7"/>
  <c r="E47" i="7"/>
  <c r="D47" i="7"/>
  <c r="C47" i="7"/>
  <c r="B47" i="7"/>
  <c r="A47" i="7"/>
  <c r="H46" i="7"/>
  <c r="G46" i="7"/>
  <c r="F46" i="7"/>
  <c r="E46" i="7"/>
  <c r="D46" i="7"/>
  <c r="C46" i="7"/>
  <c r="B46" i="7"/>
  <c r="A46" i="7"/>
  <c r="H45" i="7"/>
  <c r="G45" i="7"/>
  <c r="F45" i="7"/>
  <c r="E45" i="7"/>
  <c r="D45" i="7"/>
  <c r="C45" i="7"/>
  <c r="B45" i="7"/>
  <c r="A45" i="7"/>
  <c r="H44" i="7"/>
  <c r="G44" i="7"/>
  <c r="F44" i="7"/>
  <c r="E44" i="7"/>
  <c r="D44" i="7"/>
  <c r="C44" i="7"/>
  <c r="B44" i="7"/>
  <c r="A44" i="7"/>
  <c r="H43" i="7"/>
  <c r="G43" i="7"/>
  <c r="F43" i="7"/>
  <c r="E43" i="7"/>
  <c r="D43" i="7"/>
  <c r="C43" i="7"/>
  <c r="B43" i="7"/>
  <c r="A43" i="7"/>
  <c r="H42" i="7"/>
  <c r="G42" i="7"/>
  <c r="F42" i="7"/>
  <c r="E42" i="7"/>
  <c r="D42" i="7"/>
  <c r="C42" i="7"/>
  <c r="B42" i="7"/>
  <c r="A42" i="7"/>
  <c r="H41" i="7"/>
  <c r="G41" i="7"/>
  <c r="F41" i="7"/>
  <c r="W5" i="7" s="1"/>
  <c r="AY5" i="7" s="1"/>
  <c r="E41" i="7"/>
  <c r="V5" i="7" s="1"/>
  <c r="AX5" i="7" s="1"/>
  <c r="D41" i="7"/>
  <c r="U5" i="7" s="1"/>
  <c r="AW5" i="7" s="1"/>
  <c r="C41" i="7"/>
  <c r="T5" i="7" s="1"/>
  <c r="AV5" i="7" s="1"/>
  <c r="B41" i="7"/>
  <c r="S5" i="7" s="1"/>
  <c r="AU5" i="7" s="1"/>
  <c r="A41" i="7"/>
  <c r="H40" i="7"/>
  <c r="Y18" i="7" s="1"/>
  <c r="BA18" i="7" s="1"/>
  <c r="G40" i="7"/>
  <c r="X18" i="7" s="1"/>
  <c r="AZ18" i="7" s="1"/>
  <c r="F40" i="7"/>
  <c r="W18" i="7" s="1"/>
  <c r="AY18" i="7" s="1"/>
  <c r="E40" i="7"/>
  <c r="D40" i="7"/>
  <c r="C40" i="7"/>
  <c r="B40" i="7"/>
  <c r="S18" i="7" s="1"/>
  <c r="AU18" i="7" s="1"/>
  <c r="A40" i="7"/>
  <c r="R18" i="7" s="1"/>
  <c r="AT18" i="7" s="1"/>
  <c r="H39" i="7"/>
  <c r="G39" i="7"/>
  <c r="F39" i="7"/>
  <c r="E39" i="7"/>
  <c r="D39" i="7"/>
  <c r="C39" i="7"/>
  <c r="B39" i="7"/>
  <c r="A39" i="7"/>
  <c r="H38" i="7"/>
  <c r="G38" i="7"/>
  <c r="F38" i="7"/>
  <c r="E38" i="7"/>
  <c r="D38" i="7"/>
  <c r="C38" i="7"/>
  <c r="B38" i="7"/>
  <c r="A38" i="7"/>
  <c r="H37" i="7"/>
  <c r="G37" i="7"/>
  <c r="F37" i="7"/>
  <c r="E37" i="7"/>
  <c r="D37" i="7"/>
  <c r="C37" i="7"/>
  <c r="B37" i="7"/>
  <c r="A37" i="7"/>
  <c r="H36" i="7"/>
  <c r="G36" i="7"/>
  <c r="F36" i="7"/>
  <c r="E36" i="7"/>
  <c r="D36" i="7"/>
  <c r="C36" i="7"/>
  <c r="B36" i="7"/>
  <c r="A36" i="7"/>
  <c r="H35" i="7"/>
  <c r="G35" i="7"/>
  <c r="F35" i="7"/>
  <c r="E35" i="7"/>
  <c r="D35" i="7"/>
  <c r="C35" i="7"/>
  <c r="B35" i="7"/>
  <c r="A35" i="7"/>
  <c r="H34" i="7"/>
  <c r="G34" i="7"/>
  <c r="F34" i="7"/>
  <c r="E34" i="7"/>
  <c r="D34" i="7"/>
  <c r="C34" i="7"/>
  <c r="B34" i="7"/>
  <c r="A34" i="7"/>
  <c r="H33" i="7"/>
  <c r="G33" i="7"/>
  <c r="F33" i="7"/>
  <c r="E33" i="7"/>
  <c r="D33" i="7"/>
  <c r="C33" i="7"/>
  <c r="B33" i="7"/>
  <c r="A33" i="7"/>
  <c r="H32" i="7"/>
  <c r="G32" i="7"/>
  <c r="F32" i="7"/>
  <c r="E32" i="7"/>
  <c r="D32" i="7"/>
  <c r="C32" i="7"/>
  <c r="B32" i="7"/>
  <c r="A32" i="7"/>
  <c r="H31" i="7"/>
  <c r="G31" i="7"/>
  <c r="F31" i="7"/>
  <c r="E31" i="7"/>
  <c r="D31" i="7"/>
  <c r="C31" i="7"/>
  <c r="B31" i="7"/>
  <c r="A31" i="7"/>
  <c r="H30" i="7"/>
  <c r="G30" i="7"/>
  <c r="F30" i="7"/>
  <c r="E30" i="7"/>
  <c r="D30" i="7"/>
  <c r="C30" i="7"/>
  <c r="B30" i="7"/>
  <c r="A30" i="7"/>
  <c r="H29" i="7"/>
  <c r="G29" i="7"/>
  <c r="F29" i="7"/>
  <c r="W4" i="7" s="1"/>
  <c r="AY4" i="7" s="1"/>
  <c r="E29" i="7"/>
  <c r="V4" i="7" s="1"/>
  <c r="AX4" i="7" s="1"/>
  <c r="D29" i="7"/>
  <c r="U4" i="7" s="1"/>
  <c r="AW4" i="7" s="1"/>
  <c r="C29" i="7"/>
  <c r="B29" i="7"/>
  <c r="S4" i="7" s="1"/>
  <c r="AU4" i="7" s="1"/>
  <c r="A29" i="7"/>
  <c r="H28" i="7"/>
  <c r="Y17" i="7" s="1"/>
  <c r="BA17" i="7" s="1"/>
  <c r="G28" i="7"/>
  <c r="X17" i="7" s="1"/>
  <c r="AZ17" i="7" s="1"/>
  <c r="F28" i="7"/>
  <c r="W17" i="7" s="1"/>
  <c r="AY17" i="7" s="1"/>
  <c r="E28" i="7"/>
  <c r="D28" i="7"/>
  <c r="C28" i="7"/>
  <c r="B28" i="7"/>
  <c r="S17" i="7" s="1"/>
  <c r="AU17" i="7" s="1"/>
  <c r="A28" i="7"/>
  <c r="R17" i="7" s="1"/>
  <c r="AT17" i="7" s="1"/>
  <c r="H27" i="7"/>
  <c r="G27" i="7"/>
  <c r="F27" i="7"/>
  <c r="E27" i="7"/>
  <c r="D27" i="7"/>
  <c r="C27" i="7"/>
  <c r="B27" i="7"/>
  <c r="A27" i="7"/>
  <c r="H26" i="7"/>
  <c r="G26" i="7"/>
  <c r="F26" i="7"/>
  <c r="E26" i="7"/>
  <c r="D26" i="7"/>
  <c r="C26" i="7"/>
  <c r="B26" i="7"/>
  <c r="A26" i="7"/>
  <c r="H25" i="7"/>
  <c r="G25" i="7"/>
  <c r="F25" i="7"/>
  <c r="E25" i="7"/>
  <c r="D25" i="7"/>
  <c r="C25" i="7"/>
  <c r="B25" i="7"/>
  <c r="A25" i="7"/>
  <c r="Z24" i="7"/>
  <c r="Y24" i="7"/>
  <c r="BA24" i="7" s="1"/>
  <c r="X24" i="7"/>
  <c r="AZ24" i="7" s="1"/>
  <c r="R24" i="7"/>
  <c r="AT24" i="7" s="1"/>
  <c r="H24" i="7"/>
  <c r="G24" i="7"/>
  <c r="F24" i="7"/>
  <c r="E24" i="7"/>
  <c r="D24" i="7"/>
  <c r="C24" i="7"/>
  <c r="B24" i="7"/>
  <c r="A24" i="7"/>
  <c r="BA23" i="7"/>
  <c r="AA23" i="7"/>
  <c r="Z23" i="7"/>
  <c r="Y23" i="7"/>
  <c r="X23" i="7"/>
  <c r="AZ23" i="7" s="1"/>
  <c r="W23" i="7"/>
  <c r="AY23" i="7" s="1"/>
  <c r="T23" i="7"/>
  <c r="AV23" i="7" s="1"/>
  <c r="S23" i="7"/>
  <c r="AU23" i="7" s="1"/>
  <c r="R23" i="7"/>
  <c r="AT23" i="7" s="1"/>
  <c r="H23" i="7"/>
  <c r="G23" i="7"/>
  <c r="F23" i="7"/>
  <c r="E23" i="7"/>
  <c r="D23" i="7"/>
  <c r="C23" i="7"/>
  <c r="B23" i="7"/>
  <c r="A23" i="7"/>
  <c r="Z22" i="7"/>
  <c r="V22" i="7"/>
  <c r="AX22" i="7" s="1"/>
  <c r="U22" i="7"/>
  <c r="AW22" i="7" s="1"/>
  <c r="T22" i="7"/>
  <c r="AV22" i="7" s="1"/>
  <c r="S22" i="7"/>
  <c r="AU22" i="7" s="1"/>
  <c r="R22" i="7"/>
  <c r="AT22" i="7" s="1"/>
  <c r="H22" i="7"/>
  <c r="G22" i="7"/>
  <c r="F22" i="7"/>
  <c r="E22" i="7"/>
  <c r="D22" i="7"/>
  <c r="C22" i="7"/>
  <c r="B22" i="7"/>
  <c r="A22" i="7"/>
  <c r="Z21" i="7"/>
  <c r="Y21" i="7"/>
  <c r="BA21" i="7" s="1"/>
  <c r="S21" i="7"/>
  <c r="AU21" i="7" s="1"/>
  <c r="R21" i="7"/>
  <c r="AT21" i="7" s="1"/>
  <c r="H21" i="7"/>
  <c r="G21" i="7"/>
  <c r="F21" i="7"/>
  <c r="E21" i="7"/>
  <c r="D21" i="7"/>
  <c r="C21" i="7"/>
  <c r="B21" i="7"/>
  <c r="A21" i="7"/>
  <c r="V20" i="7"/>
  <c r="AX20" i="7" s="1"/>
  <c r="U20" i="7"/>
  <c r="AW20" i="7" s="1"/>
  <c r="T20" i="7"/>
  <c r="AV20" i="7" s="1"/>
  <c r="H20" i="7"/>
  <c r="G20" i="7"/>
  <c r="F20" i="7"/>
  <c r="E20" i="7"/>
  <c r="D20" i="7"/>
  <c r="C20" i="7"/>
  <c r="B20" i="7"/>
  <c r="A20" i="7"/>
  <c r="V19" i="7"/>
  <c r="AX19" i="7" s="1"/>
  <c r="U19" i="7"/>
  <c r="AW19" i="7" s="1"/>
  <c r="T19" i="7"/>
  <c r="AV19" i="7" s="1"/>
  <c r="S19" i="7"/>
  <c r="AU19" i="7" s="1"/>
  <c r="H19" i="7"/>
  <c r="G19" i="7"/>
  <c r="F19" i="7"/>
  <c r="E19" i="7"/>
  <c r="D19" i="7"/>
  <c r="C19" i="7"/>
  <c r="B19" i="7"/>
  <c r="A19" i="7"/>
  <c r="V18" i="7"/>
  <c r="AX18" i="7" s="1"/>
  <c r="U18" i="7"/>
  <c r="AW18" i="7" s="1"/>
  <c r="T18" i="7"/>
  <c r="AV18" i="7" s="1"/>
  <c r="H18" i="7"/>
  <c r="G18" i="7"/>
  <c r="F18" i="7"/>
  <c r="E18" i="7"/>
  <c r="D18" i="7"/>
  <c r="C18" i="7"/>
  <c r="B18" i="7"/>
  <c r="A18" i="7"/>
  <c r="Z17" i="7"/>
  <c r="V17" i="7"/>
  <c r="AX17" i="7" s="1"/>
  <c r="U17" i="7"/>
  <c r="AW17" i="7" s="1"/>
  <c r="T17" i="7"/>
  <c r="AV17" i="7" s="1"/>
  <c r="H17" i="7"/>
  <c r="Y16" i="7" s="1"/>
  <c r="BA16" i="7" s="1"/>
  <c r="G17" i="7"/>
  <c r="X16" i="7" s="1"/>
  <c r="AZ16" i="7" s="1"/>
  <c r="F17" i="7"/>
  <c r="W16" i="7" s="1"/>
  <c r="AY16" i="7" s="1"/>
  <c r="E17" i="7"/>
  <c r="V16" i="7" s="1"/>
  <c r="AX16" i="7" s="1"/>
  <c r="D17" i="7"/>
  <c r="U16" i="7" s="1"/>
  <c r="AW16" i="7" s="1"/>
  <c r="C17" i="7"/>
  <c r="T16" i="7" s="1"/>
  <c r="AV16" i="7" s="1"/>
  <c r="B17" i="7"/>
  <c r="S16" i="7" s="1"/>
  <c r="AU16" i="7" s="1"/>
  <c r="A17" i="7"/>
  <c r="R16" i="7" s="1"/>
  <c r="AT16" i="7" s="1"/>
  <c r="H16" i="7"/>
  <c r="G16" i="7"/>
  <c r="F16" i="7"/>
  <c r="E16" i="7"/>
  <c r="D16" i="7"/>
  <c r="C16" i="7"/>
  <c r="B16" i="7"/>
  <c r="A16" i="7"/>
  <c r="AA15" i="7"/>
  <c r="Z15" i="7"/>
  <c r="H15" i="7"/>
  <c r="Y15" i="7" s="1"/>
  <c r="BA15" i="7" s="1"/>
  <c r="G15" i="7"/>
  <c r="X15" i="7" s="1"/>
  <c r="AZ15" i="7" s="1"/>
  <c r="F15" i="7"/>
  <c r="W15" i="7" s="1"/>
  <c r="AY15" i="7" s="1"/>
  <c r="E15" i="7"/>
  <c r="V15" i="7" s="1"/>
  <c r="AX15" i="7" s="1"/>
  <c r="D15" i="7"/>
  <c r="U15" i="7" s="1"/>
  <c r="AW15" i="7" s="1"/>
  <c r="C15" i="7"/>
  <c r="T15" i="7" s="1"/>
  <c r="AV15" i="7" s="1"/>
  <c r="B15" i="7"/>
  <c r="S15" i="7" s="1"/>
  <c r="AU15" i="7" s="1"/>
  <c r="A15" i="7"/>
  <c r="R15" i="7" s="1"/>
  <c r="AT15" i="7" s="1"/>
  <c r="H14" i="7"/>
  <c r="Y38" i="7" s="1"/>
  <c r="G14" i="7"/>
  <c r="X38" i="7" s="1"/>
  <c r="F14" i="7"/>
  <c r="W38" i="7" s="1"/>
  <c r="E14" i="7"/>
  <c r="V38" i="7" s="1"/>
  <c r="D14" i="7"/>
  <c r="U38" i="7" s="1"/>
  <c r="C14" i="7"/>
  <c r="T38" i="7" s="1"/>
  <c r="B14" i="7"/>
  <c r="S38" i="7" s="1"/>
  <c r="A14" i="7"/>
  <c r="R38" i="7" s="1"/>
  <c r="H13" i="7"/>
  <c r="Y37" i="7" s="1"/>
  <c r="G13" i="7"/>
  <c r="X37" i="7" s="1"/>
  <c r="F13" i="7"/>
  <c r="W37" i="7" s="1"/>
  <c r="E13" i="7"/>
  <c r="V37" i="7" s="1"/>
  <c r="D13" i="7"/>
  <c r="U37" i="7" s="1"/>
  <c r="C13" i="7"/>
  <c r="T37" i="7" s="1"/>
  <c r="B13" i="7"/>
  <c r="S37" i="7" s="1"/>
  <c r="A13" i="7"/>
  <c r="R37" i="7" s="1"/>
  <c r="AA12" i="7"/>
  <c r="Z12" i="7"/>
  <c r="Z3" i="7"/>
  <c r="H12" i="7"/>
  <c r="Y36" i="7" s="1"/>
  <c r="G12" i="7"/>
  <c r="X36" i="7" s="1"/>
  <c r="F12" i="7"/>
  <c r="W3" i="7" s="1"/>
  <c r="AY3" i="7" s="1"/>
  <c r="E12" i="7"/>
  <c r="V36" i="7" s="1"/>
  <c r="D12" i="7"/>
  <c r="U3" i="7" s="1"/>
  <c r="AW3" i="7" s="1"/>
  <c r="C12" i="7"/>
  <c r="T3" i="7" s="1"/>
  <c r="AV3" i="7" s="1"/>
  <c r="B12" i="7"/>
  <c r="S3" i="7" s="1"/>
  <c r="AU3" i="7" s="1"/>
  <c r="A12" i="7"/>
  <c r="R3" i="7" s="1"/>
  <c r="AT3" i="7" s="1"/>
  <c r="BO11" i="7"/>
  <c r="BN11" i="7"/>
  <c r="BM11" i="7"/>
  <c r="BL11" i="7"/>
  <c r="BK11" i="7"/>
  <c r="BJ11" i="7"/>
  <c r="BI11" i="7"/>
  <c r="BH11" i="7"/>
  <c r="BG11" i="7"/>
  <c r="BF11" i="7"/>
  <c r="BE11" i="7"/>
  <c r="BD11" i="7"/>
  <c r="H11" i="7"/>
  <c r="Y35" i="7" s="1"/>
  <c r="G11" i="7"/>
  <c r="X35" i="7" s="1"/>
  <c r="F11" i="7"/>
  <c r="W35" i="7" s="1"/>
  <c r="E11" i="7"/>
  <c r="V35" i="7" s="1"/>
  <c r="D11" i="7"/>
  <c r="U35" i="7" s="1"/>
  <c r="C11" i="7"/>
  <c r="T35" i="7" s="1"/>
  <c r="B11" i="7"/>
  <c r="S35" i="7" s="1"/>
  <c r="A11" i="7"/>
  <c r="R35" i="7" s="1"/>
  <c r="H10" i="7"/>
  <c r="Y34" i="7" s="1"/>
  <c r="G10" i="7"/>
  <c r="X34" i="7" s="1"/>
  <c r="F10" i="7"/>
  <c r="W34" i="7" s="1"/>
  <c r="E10" i="7"/>
  <c r="V34" i="7" s="1"/>
  <c r="D10" i="7"/>
  <c r="U34" i="7" s="1"/>
  <c r="C10" i="7"/>
  <c r="T34" i="7" s="1"/>
  <c r="B10" i="7"/>
  <c r="S34" i="7" s="1"/>
  <c r="A10" i="7"/>
  <c r="R34" i="7" s="1"/>
  <c r="H9" i="7"/>
  <c r="Y33" i="7" s="1"/>
  <c r="G9" i="7"/>
  <c r="X33" i="7" s="1"/>
  <c r="F9" i="7"/>
  <c r="W33" i="7" s="1"/>
  <c r="E9" i="7"/>
  <c r="V33" i="7" s="1"/>
  <c r="D9" i="7"/>
  <c r="U33" i="7" s="1"/>
  <c r="C9" i="7"/>
  <c r="T33" i="7" s="1"/>
  <c r="B9" i="7"/>
  <c r="S33" i="7" s="1"/>
  <c r="A9" i="7"/>
  <c r="R33" i="7" s="1"/>
  <c r="AY8" i="7"/>
  <c r="AW8" i="7"/>
  <c r="AA8" i="7"/>
  <c r="Z8" i="7"/>
  <c r="T8" i="7"/>
  <c r="AV8" i="7" s="1"/>
  <c r="S8" i="7"/>
  <c r="AU8" i="7" s="1"/>
  <c r="R8" i="7"/>
  <c r="AT8" i="7" s="1"/>
  <c r="H8" i="7"/>
  <c r="Y32" i="7" s="1"/>
  <c r="G8" i="7"/>
  <c r="X32" i="7" s="1"/>
  <c r="F8" i="7"/>
  <c r="W32" i="7" s="1"/>
  <c r="E8" i="7"/>
  <c r="V32" i="7" s="1"/>
  <c r="D8" i="7"/>
  <c r="U32" i="7" s="1"/>
  <c r="C8" i="7"/>
  <c r="T32" i="7" s="1"/>
  <c r="B8" i="7"/>
  <c r="S32" i="7" s="1"/>
  <c r="A8" i="7"/>
  <c r="R32" i="7" s="1"/>
  <c r="AA7" i="7"/>
  <c r="Y7" i="7"/>
  <c r="BA7" i="7" s="1"/>
  <c r="X7" i="7"/>
  <c r="AZ7" i="7" s="1"/>
  <c r="W7" i="7"/>
  <c r="AY7" i="7" s="1"/>
  <c r="S7" i="7"/>
  <c r="AU7" i="7" s="1"/>
  <c r="R7" i="7"/>
  <c r="AT7" i="7" s="1"/>
  <c r="H7" i="7"/>
  <c r="Y31" i="7" s="1"/>
  <c r="G7" i="7"/>
  <c r="X31" i="7" s="1"/>
  <c r="F7" i="7"/>
  <c r="W31" i="7" s="1"/>
  <c r="E7" i="7"/>
  <c r="V31" i="7" s="1"/>
  <c r="D7" i="7"/>
  <c r="U31" i="7" s="1"/>
  <c r="C7" i="7"/>
  <c r="T31" i="7" s="1"/>
  <c r="A7" i="7"/>
  <c r="R31" i="7" s="1"/>
  <c r="Y6" i="7"/>
  <c r="BA6" i="7" s="1"/>
  <c r="X6" i="7"/>
  <c r="AZ6" i="7" s="1"/>
  <c r="S6" i="7"/>
  <c r="AU6" i="7" s="1"/>
  <c r="R6" i="7"/>
  <c r="AT6" i="7" s="1"/>
  <c r="H6" i="7"/>
  <c r="Y30" i="7" s="1"/>
  <c r="G6" i="7"/>
  <c r="X30" i="7" s="1"/>
  <c r="F6" i="7"/>
  <c r="W30" i="7" s="1"/>
  <c r="E6" i="7"/>
  <c r="V30" i="7" s="1"/>
  <c r="D6" i="7"/>
  <c r="U30" i="7" s="1"/>
  <c r="C6" i="7"/>
  <c r="T30" i="7" s="1"/>
  <c r="A6" i="7"/>
  <c r="R30" i="7" s="1"/>
  <c r="Y5" i="7"/>
  <c r="BA5" i="7" s="1"/>
  <c r="X5" i="7"/>
  <c r="AZ5" i="7" s="1"/>
  <c r="R5" i="7"/>
  <c r="AT5" i="7" s="1"/>
  <c r="AA14" i="7"/>
  <c r="H5" i="7"/>
  <c r="Y14" i="7" s="1"/>
  <c r="BA14" i="7" s="1"/>
  <c r="G5" i="7"/>
  <c r="X14" i="7" s="1"/>
  <c r="F5" i="7"/>
  <c r="W14" i="7" s="1"/>
  <c r="AY14" i="7" s="1"/>
  <c r="E5" i="7"/>
  <c r="V14" i="7" s="1"/>
  <c r="AX14" i="7" s="1"/>
  <c r="D5" i="7"/>
  <c r="U14" i="7" s="1"/>
  <c r="AW14" i="7" s="1"/>
  <c r="C5" i="7"/>
  <c r="T14" i="7" s="1"/>
  <c r="AV14" i="7" s="1"/>
  <c r="A5" i="7"/>
  <c r="R14" i="7" s="1"/>
  <c r="AT14" i="7" s="1"/>
  <c r="Y4" i="7"/>
  <c r="BA4" i="7" s="1"/>
  <c r="X4" i="7"/>
  <c r="AZ4" i="7" s="1"/>
  <c r="T4" i="7"/>
  <c r="AV4" i="7" s="1"/>
  <c r="R4" i="7"/>
  <c r="AT4" i="7" s="1"/>
  <c r="H4" i="7"/>
  <c r="Y13" i="7" s="1"/>
  <c r="BA13" i="7" s="1"/>
  <c r="G4" i="7"/>
  <c r="X13" i="7" s="1"/>
  <c r="F4" i="7"/>
  <c r="W13" i="7" s="1"/>
  <c r="AY13" i="7" s="1"/>
  <c r="E4" i="7"/>
  <c r="V13" i="7" s="1"/>
  <c r="AX13" i="7" s="1"/>
  <c r="D4" i="7"/>
  <c r="U13" i="7" s="1"/>
  <c r="AW13" i="7" s="1"/>
  <c r="C4" i="7"/>
  <c r="T13" i="7" s="1"/>
  <c r="AV13" i="7" s="1"/>
  <c r="B4" i="7"/>
  <c r="S13" i="7" s="1"/>
  <c r="AU13" i="7" s="1"/>
  <c r="A4" i="7"/>
  <c r="R13" i="7" s="1"/>
  <c r="AT13" i="7" s="1"/>
  <c r="Y3" i="7"/>
  <c r="BA3" i="7" s="1"/>
  <c r="X3" i="7"/>
  <c r="AZ3" i="7" s="1"/>
  <c r="H3" i="7"/>
  <c r="Y12" i="7" s="1"/>
  <c r="BA12" i="7" s="1"/>
  <c r="G3" i="7"/>
  <c r="X12" i="7" s="1"/>
  <c r="F3" i="7"/>
  <c r="W12" i="7" s="1"/>
  <c r="AY12" i="7" s="1"/>
  <c r="E3" i="7"/>
  <c r="V12" i="7" s="1"/>
  <c r="AX12" i="7" s="1"/>
  <c r="D3" i="7"/>
  <c r="U12" i="7" s="1"/>
  <c r="AW12" i="7" s="1"/>
  <c r="C3" i="7"/>
  <c r="T12" i="7" s="1"/>
  <c r="AV12" i="7" s="1"/>
  <c r="A3" i="7"/>
  <c r="R12" i="7" s="1"/>
  <c r="AT12" i="7" s="1"/>
  <c r="BK2" i="7"/>
  <c r="BJ2" i="7"/>
  <c r="BI2" i="7"/>
  <c r="BH2" i="7"/>
  <c r="BG2" i="7"/>
  <c r="BF2" i="7"/>
  <c r="BE2" i="7"/>
  <c r="BD2" i="7"/>
  <c r="Z2" i="7"/>
  <c r="BB2" i="7" s="1"/>
  <c r="AA2" i="7"/>
  <c r="BC2" i="7" s="1"/>
  <c r="Z11" i="7"/>
  <c r="BB11" i="7" s="1"/>
  <c r="H2" i="7"/>
  <c r="Y11" i="7" s="1"/>
  <c r="BA11" i="7" s="1"/>
  <c r="G2" i="7"/>
  <c r="X11" i="7" s="1"/>
  <c r="AZ11" i="7" s="1"/>
  <c r="F2" i="7"/>
  <c r="W11" i="7" s="1"/>
  <c r="AY11" i="7" s="1"/>
  <c r="E2" i="7"/>
  <c r="V2" i="7" s="1"/>
  <c r="AX2" i="7" s="1"/>
  <c r="D2" i="7"/>
  <c r="U11" i="7" s="1"/>
  <c r="AW11" i="7" s="1"/>
  <c r="C2" i="7"/>
  <c r="T29" i="7" s="1"/>
  <c r="A2" i="7"/>
  <c r="R2" i="7" s="1"/>
  <c r="AT2" i="7" s="1"/>
  <c r="Z1" i="7"/>
  <c r="Z10" i="7"/>
  <c r="BB10" i="7" s="1"/>
  <c r="B1" i="7"/>
  <c r="S1" i="7" s="1"/>
  <c r="AU1" i="7" s="1"/>
  <c r="I1" i="6"/>
  <c r="Z28" i="6" s="1"/>
  <c r="J1" i="6"/>
  <c r="I2" i="6"/>
  <c r="J2" i="6"/>
  <c r="AA29" i="6" s="1"/>
  <c r="I3" i="6"/>
  <c r="J3" i="6"/>
  <c r="I4" i="6"/>
  <c r="J4" i="6"/>
  <c r="I5" i="6"/>
  <c r="Z14" i="6" s="1"/>
  <c r="J5" i="6"/>
  <c r="I6" i="6"/>
  <c r="Z30" i="6" s="1"/>
  <c r="J6" i="6"/>
  <c r="AA30" i="6" s="1"/>
  <c r="I7" i="6"/>
  <c r="Z31" i="6" s="1"/>
  <c r="J7" i="6"/>
  <c r="AA31" i="6" s="1"/>
  <c r="I8" i="6"/>
  <c r="Z32" i="6" s="1"/>
  <c r="J8" i="6"/>
  <c r="AA32" i="6" s="1"/>
  <c r="I9" i="6"/>
  <c r="Z33" i="6" s="1"/>
  <c r="J9" i="6"/>
  <c r="AA33" i="6" s="1"/>
  <c r="I10" i="6"/>
  <c r="Z34" i="6" s="1"/>
  <c r="J10" i="6"/>
  <c r="AA34" i="6" s="1"/>
  <c r="I11" i="6"/>
  <c r="Z35" i="6" s="1"/>
  <c r="J11" i="6"/>
  <c r="AA35" i="6" s="1"/>
  <c r="I12" i="6"/>
  <c r="Z3" i="6" s="1"/>
  <c r="J12" i="6"/>
  <c r="AA36" i="6" s="1"/>
  <c r="I13" i="6"/>
  <c r="Z37" i="6" s="1"/>
  <c r="J13" i="6"/>
  <c r="AA37" i="6" s="1"/>
  <c r="I14" i="6"/>
  <c r="Z38" i="6" s="1"/>
  <c r="J14" i="6"/>
  <c r="AA38" i="6" s="1"/>
  <c r="I15" i="6"/>
  <c r="J15" i="6"/>
  <c r="I16" i="6"/>
  <c r="J16" i="6"/>
  <c r="I17" i="6"/>
  <c r="Z16" i="6" s="1"/>
  <c r="J17" i="6"/>
  <c r="AA16" i="6" s="1"/>
  <c r="I18" i="6"/>
  <c r="J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Z17" i="6" s="1"/>
  <c r="J28" i="6"/>
  <c r="I29" i="6"/>
  <c r="Z4" i="6" s="1"/>
  <c r="J29" i="6"/>
  <c r="AA4" i="6" s="1"/>
  <c r="I30" i="6"/>
  <c r="J30" i="6"/>
  <c r="I31" i="6"/>
  <c r="J31" i="6"/>
  <c r="I32" i="6"/>
  <c r="J32" i="6"/>
  <c r="I33" i="6"/>
  <c r="J33" i="6"/>
  <c r="I34" i="6"/>
  <c r="J34" i="6"/>
  <c r="I35" i="6"/>
  <c r="J35" i="6"/>
  <c r="I36" i="6"/>
  <c r="J36" i="6"/>
  <c r="I37" i="6"/>
  <c r="J37" i="6"/>
  <c r="I38" i="6"/>
  <c r="J38" i="6"/>
  <c r="I39" i="6"/>
  <c r="J39" i="6"/>
  <c r="I40" i="6"/>
  <c r="Z18" i="6" s="1"/>
  <c r="J40" i="6"/>
  <c r="I41" i="6"/>
  <c r="Z5" i="6" s="1"/>
  <c r="J41" i="6"/>
  <c r="AA5" i="6" s="1"/>
  <c r="I42" i="6"/>
  <c r="J42" i="6"/>
  <c r="I43" i="6"/>
  <c r="J43" i="6"/>
  <c r="I44" i="6"/>
  <c r="J44" i="6"/>
  <c r="I45" i="6"/>
  <c r="J45" i="6"/>
  <c r="I46" i="6"/>
  <c r="J46" i="6"/>
  <c r="I47" i="6"/>
  <c r="J47" i="6"/>
  <c r="I48" i="6"/>
  <c r="J48" i="6"/>
  <c r="I49" i="6"/>
  <c r="J49" i="6"/>
  <c r="I50" i="6"/>
  <c r="J50" i="6"/>
  <c r="I51" i="6"/>
  <c r="J51" i="6"/>
  <c r="I52" i="6"/>
  <c r="Z19" i="6" s="1"/>
  <c r="J52" i="6"/>
  <c r="I53" i="6"/>
  <c r="Z6" i="6" s="1"/>
  <c r="J53" i="6"/>
  <c r="AA6" i="6" s="1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4" i="6"/>
  <c r="Z20" i="6" s="1"/>
  <c r="J64" i="6"/>
  <c r="I65" i="6"/>
  <c r="Z7" i="6" s="1"/>
  <c r="J65" i="6"/>
  <c r="AA7" i="6" s="1"/>
  <c r="I66" i="6"/>
  <c r="J66" i="6"/>
  <c r="I67" i="6"/>
  <c r="J67" i="6"/>
  <c r="I68" i="6"/>
  <c r="J68" i="6"/>
  <c r="I69" i="6"/>
  <c r="J69" i="6"/>
  <c r="I70" i="6"/>
  <c r="J70" i="6"/>
  <c r="I71" i="6"/>
  <c r="J71" i="6"/>
  <c r="I72" i="6"/>
  <c r="J72" i="6"/>
  <c r="I73" i="6"/>
  <c r="J73" i="6"/>
  <c r="I74" i="6"/>
  <c r="J74" i="6"/>
  <c r="I75" i="6"/>
  <c r="J75" i="6"/>
  <c r="I76" i="6"/>
  <c r="J76" i="6"/>
  <c r="I77" i="6"/>
  <c r="J77" i="6"/>
  <c r="I78" i="6"/>
  <c r="J78" i="6"/>
  <c r="I79" i="6"/>
  <c r="J79" i="6"/>
  <c r="I80" i="6"/>
  <c r="Z21" i="6" s="1"/>
  <c r="J80" i="6"/>
  <c r="I81" i="6"/>
  <c r="Z8" i="6" s="1"/>
  <c r="J81" i="6"/>
  <c r="AA8" i="6" s="1"/>
  <c r="I82" i="6"/>
  <c r="Z39" i="6" s="1"/>
  <c r="J82" i="6"/>
  <c r="AA39" i="6" s="1"/>
  <c r="I83" i="6"/>
  <c r="Z40" i="6" s="1"/>
  <c r="J83" i="6"/>
  <c r="AA40" i="6" s="1"/>
  <c r="I84" i="6"/>
  <c r="Z22" i="6" s="1"/>
  <c r="J84" i="6"/>
  <c r="AA22" i="6" s="1"/>
  <c r="I85" i="6"/>
  <c r="Z23" i="6" s="1"/>
  <c r="J85" i="6"/>
  <c r="AA23" i="6" s="1"/>
  <c r="I86" i="6"/>
  <c r="J86" i="6"/>
  <c r="H86" i="6"/>
  <c r="G86" i="6"/>
  <c r="F86" i="6"/>
  <c r="E86" i="6"/>
  <c r="D86" i="6"/>
  <c r="U24" i="6" s="1"/>
  <c r="AW24" i="6" s="1"/>
  <c r="C86" i="6"/>
  <c r="T24" i="6" s="1"/>
  <c r="AV24" i="6" s="1"/>
  <c r="B86" i="6"/>
  <c r="A86" i="6"/>
  <c r="R24" i="6" s="1"/>
  <c r="AT24" i="6" s="1"/>
  <c r="H85" i="6"/>
  <c r="G85" i="6"/>
  <c r="F85" i="6"/>
  <c r="E85" i="6"/>
  <c r="V23" i="6" s="1"/>
  <c r="AX23" i="6" s="1"/>
  <c r="D85" i="6"/>
  <c r="C85" i="6"/>
  <c r="B85" i="6"/>
  <c r="A85" i="6"/>
  <c r="H84" i="6"/>
  <c r="Y22" i="6" s="1"/>
  <c r="BA22" i="6" s="1"/>
  <c r="G84" i="6"/>
  <c r="X22" i="6" s="1"/>
  <c r="AZ22" i="6" s="1"/>
  <c r="F84" i="6"/>
  <c r="E84" i="6"/>
  <c r="D84" i="6"/>
  <c r="C84" i="6"/>
  <c r="B84" i="6"/>
  <c r="A84" i="6"/>
  <c r="H83" i="6"/>
  <c r="Y40" i="6" s="1"/>
  <c r="G83" i="6"/>
  <c r="X40" i="6" s="1"/>
  <c r="F83" i="6"/>
  <c r="W40" i="6" s="1"/>
  <c r="E83" i="6"/>
  <c r="V40" i="6" s="1"/>
  <c r="D83" i="6"/>
  <c r="U40" i="6" s="1"/>
  <c r="C83" i="6"/>
  <c r="T40" i="6" s="1"/>
  <c r="B83" i="6"/>
  <c r="S40" i="6" s="1"/>
  <c r="A83" i="6"/>
  <c r="R40" i="6" s="1"/>
  <c r="H82" i="6"/>
  <c r="Y39" i="6" s="1"/>
  <c r="G82" i="6"/>
  <c r="X39" i="6" s="1"/>
  <c r="F82" i="6"/>
  <c r="W39" i="6" s="1"/>
  <c r="E82" i="6"/>
  <c r="V39" i="6" s="1"/>
  <c r="D82" i="6"/>
  <c r="U39" i="6" s="1"/>
  <c r="C82" i="6"/>
  <c r="T39" i="6" s="1"/>
  <c r="B82" i="6"/>
  <c r="S39" i="6" s="1"/>
  <c r="A82" i="6"/>
  <c r="R39" i="6" s="1"/>
  <c r="H81" i="6"/>
  <c r="Y8" i="6" s="1"/>
  <c r="BA8" i="6" s="1"/>
  <c r="G81" i="6"/>
  <c r="F81" i="6"/>
  <c r="E81" i="6"/>
  <c r="V8" i="6" s="1"/>
  <c r="AX8" i="6" s="1"/>
  <c r="D81" i="6"/>
  <c r="C81" i="6"/>
  <c r="B81" i="6"/>
  <c r="A81" i="6"/>
  <c r="H80" i="6"/>
  <c r="G80" i="6"/>
  <c r="F80" i="6"/>
  <c r="E80" i="6"/>
  <c r="D80" i="6"/>
  <c r="U21" i="6" s="1"/>
  <c r="AW21" i="6" s="1"/>
  <c r="C80" i="6"/>
  <c r="B80" i="6"/>
  <c r="A80" i="6"/>
  <c r="R21" i="6" s="1"/>
  <c r="AT21" i="6" s="1"/>
  <c r="H79" i="6"/>
  <c r="G79" i="6"/>
  <c r="F79" i="6"/>
  <c r="E79" i="6"/>
  <c r="D79" i="6"/>
  <c r="C79" i="6"/>
  <c r="B79" i="6"/>
  <c r="A79" i="6"/>
  <c r="H78" i="6"/>
  <c r="G78" i="6"/>
  <c r="F78" i="6"/>
  <c r="E78" i="6"/>
  <c r="D78" i="6"/>
  <c r="C78" i="6"/>
  <c r="B78" i="6"/>
  <c r="A78" i="6"/>
  <c r="H77" i="6"/>
  <c r="G77" i="6"/>
  <c r="F77" i="6"/>
  <c r="E77" i="6"/>
  <c r="D77" i="6"/>
  <c r="C77" i="6"/>
  <c r="B77" i="6"/>
  <c r="A77" i="6"/>
  <c r="H76" i="6"/>
  <c r="G76" i="6"/>
  <c r="F76" i="6"/>
  <c r="E76" i="6"/>
  <c r="D76" i="6"/>
  <c r="C76" i="6"/>
  <c r="B76" i="6"/>
  <c r="A76" i="6"/>
  <c r="H75" i="6"/>
  <c r="G75" i="6"/>
  <c r="F75" i="6"/>
  <c r="E75" i="6"/>
  <c r="D75" i="6"/>
  <c r="C75" i="6"/>
  <c r="B75" i="6"/>
  <c r="A75" i="6"/>
  <c r="H74" i="6"/>
  <c r="G74" i="6"/>
  <c r="F74" i="6"/>
  <c r="E74" i="6"/>
  <c r="D74" i="6"/>
  <c r="C74" i="6"/>
  <c r="B74" i="6"/>
  <c r="A74" i="6"/>
  <c r="H73" i="6"/>
  <c r="G73" i="6"/>
  <c r="F73" i="6"/>
  <c r="E73" i="6"/>
  <c r="D73" i="6"/>
  <c r="C73" i="6"/>
  <c r="B73" i="6"/>
  <c r="A73" i="6"/>
  <c r="H72" i="6"/>
  <c r="G72" i="6"/>
  <c r="F72" i="6"/>
  <c r="E72" i="6"/>
  <c r="D72" i="6"/>
  <c r="C72" i="6"/>
  <c r="B72" i="6"/>
  <c r="A72" i="6"/>
  <c r="H71" i="6"/>
  <c r="G71" i="6"/>
  <c r="F71" i="6"/>
  <c r="E71" i="6"/>
  <c r="D71" i="6"/>
  <c r="C71" i="6"/>
  <c r="B71" i="6"/>
  <c r="A71" i="6"/>
  <c r="H70" i="6"/>
  <c r="G70" i="6"/>
  <c r="F70" i="6"/>
  <c r="E70" i="6"/>
  <c r="D70" i="6"/>
  <c r="C70" i="6"/>
  <c r="B70" i="6"/>
  <c r="A70" i="6"/>
  <c r="H69" i="6"/>
  <c r="G69" i="6"/>
  <c r="F69" i="6"/>
  <c r="E69" i="6"/>
  <c r="D69" i="6"/>
  <c r="C69" i="6"/>
  <c r="B69" i="6"/>
  <c r="A69" i="6"/>
  <c r="H68" i="6"/>
  <c r="G68" i="6"/>
  <c r="F68" i="6"/>
  <c r="E68" i="6"/>
  <c r="D68" i="6"/>
  <c r="C68" i="6"/>
  <c r="B68" i="6"/>
  <c r="A68" i="6"/>
  <c r="H67" i="6"/>
  <c r="G67" i="6"/>
  <c r="F67" i="6"/>
  <c r="E67" i="6"/>
  <c r="D67" i="6"/>
  <c r="C67" i="6"/>
  <c r="B67" i="6"/>
  <c r="A67" i="6"/>
  <c r="H66" i="6"/>
  <c r="G66" i="6"/>
  <c r="F66" i="6"/>
  <c r="E66" i="6"/>
  <c r="D66" i="6"/>
  <c r="C66" i="6"/>
  <c r="B66" i="6"/>
  <c r="A66" i="6"/>
  <c r="H65" i="6"/>
  <c r="G65" i="6"/>
  <c r="F65" i="6"/>
  <c r="E65" i="6"/>
  <c r="V7" i="6" s="1"/>
  <c r="AX7" i="6" s="1"/>
  <c r="D65" i="6"/>
  <c r="U7" i="6" s="1"/>
  <c r="AW7" i="6" s="1"/>
  <c r="C65" i="6"/>
  <c r="B65" i="6"/>
  <c r="A65" i="6"/>
  <c r="H64" i="6"/>
  <c r="G64" i="6"/>
  <c r="X20" i="6" s="1"/>
  <c r="AZ20" i="6" s="1"/>
  <c r="F64" i="6"/>
  <c r="E64" i="6"/>
  <c r="D64" i="6"/>
  <c r="C64" i="6"/>
  <c r="B64" i="6"/>
  <c r="S20" i="6" s="1"/>
  <c r="AU20" i="6" s="1"/>
  <c r="A64" i="6"/>
  <c r="H63" i="6"/>
  <c r="G63" i="6"/>
  <c r="F63" i="6"/>
  <c r="E63" i="6"/>
  <c r="D63" i="6"/>
  <c r="C63" i="6"/>
  <c r="B63" i="6"/>
  <c r="A63" i="6"/>
  <c r="H62" i="6"/>
  <c r="G62" i="6"/>
  <c r="F62" i="6"/>
  <c r="E62" i="6"/>
  <c r="D62" i="6"/>
  <c r="C62" i="6"/>
  <c r="B62" i="6"/>
  <c r="A62" i="6"/>
  <c r="H61" i="6"/>
  <c r="G61" i="6"/>
  <c r="F61" i="6"/>
  <c r="E61" i="6"/>
  <c r="D61" i="6"/>
  <c r="C61" i="6"/>
  <c r="B61" i="6"/>
  <c r="A61" i="6"/>
  <c r="H60" i="6"/>
  <c r="G60" i="6"/>
  <c r="F60" i="6"/>
  <c r="E60" i="6"/>
  <c r="D60" i="6"/>
  <c r="C60" i="6"/>
  <c r="B60" i="6"/>
  <c r="A60" i="6"/>
  <c r="H59" i="6"/>
  <c r="G59" i="6"/>
  <c r="F59" i="6"/>
  <c r="E59" i="6"/>
  <c r="D59" i="6"/>
  <c r="C59" i="6"/>
  <c r="B59" i="6"/>
  <c r="A59" i="6"/>
  <c r="H58" i="6"/>
  <c r="G58" i="6"/>
  <c r="F58" i="6"/>
  <c r="E58" i="6"/>
  <c r="D58" i="6"/>
  <c r="C58" i="6"/>
  <c r="B58" i="6"/>
  <c r="A58" i="6"/>
  <c r="H57" i="6"/>
  <c r="G57" i="6"/>
  <c r="F57" i="6"/>
  <c r="E57" i="6"/>
  <c r="D57" i="6"/>
  <c r="C57" i="6"/>
  <c r="B57" i="6"/>
  <c r="A57" i="6"/>
  <c r="H56" i="6"/>
  <c r="G56" i="6"/>
  <c r="F56" i="6"/>
  <c r="E56" i="6"/>
  <c r="D56" i="6"/>
  <c r="C56" i="6"/>
  <c r="B56" i="6"/>
  <c r="A56" i="6"/>
  <c r="H55" i="6"/>
  <c r="G55" i="6"/>
  <c r="F55" i="6"/>
  <c r="E55" i="6"/>
  <c r="D55" i="6"/>
  <c r="C55" i="6"/>
  <c r="B55" i="6"/>
  <c r="A55" i="6"/>
  <c r="H54" i="6"/>
  <c r="G54" i="6"/>
  <c r="F54" i="6"/>
  <c r="E54" i="6"/>
  <c r="D54" i="6"/>
  <c r="C54" i="6"/>
  <c r="B54" i="6"/>
  <c r="A54" i="6"/>
  <c r="H53" i="6"/>
  <c r="G53" i="6"/>
  <c r="F53" i="6"/>
  <c r="E53" i="6"/>
  <c r="D53" i="6"/>
  <c r="U6" i="6" s="1"/>
  <c r="AW6" i="6" s="1"/>
  <c r="C53" i="6"/>
  <c r="B53" i="6"/>
  <c r="A53" i="6"/>
  <c r="R6" i="6" s="1"/>
  <c r="AT6" i="6" s="1"/>
  <c r="H52" i="6"/>
  <c r="G52" i="6"/>
  <c r="X19" i="6" s="1"/>
  <c r="AZ19" i="6" s="1"/>
  <c r="F52" i="6"/>
  <c r="W19" i="6" s="1"/>
  <c r="AY19" i="6" s="1"/>
  <c r="E52" i="6"/>
  <c r="D52" i="6"/>
  <c r="C52" i="6"/>
  <c r="B52" i="6"/>
  <c r="S19" i="6" s="1"/>
  <c r="AU19" i="6" s="1"/>
  <c r="A52" i="6"/>
  <c r="H51" i="6"/>
  <c r="G51" i="6"/>
  <c r="F51" i="6"/>
  <c r="E51" i="6"/>
  <c r="D51" i="6"/>
  <c r="C51" i="6"/>
  <c r="B51" i="6"/>
  <c r="A51" i="6"/>
  <c r="H50" i="6"/>
  <c r="G50" i="6"/>
  <c r="F50" i="6"/>
  <c r="E50" i="6"/>
  <c r="D50" i="6"/>
  <c r="C50" i="6"/>
  <c r="B50" i="6"/>
  <c r="A50" i="6"/>
  <c r="H49" i="6"/>
  <c r="G49" i="6"/>
  <c r="F49" i="6"/>
  <c r="E49" i="6"/>
  <c r="D49" i="6"/>
  <c r="C49" i="6"/>
  <c r="B49" i="6"/>
  <c r="A49" i="6"/>
  <c r="H48" i="6"/>
  <c r="G48" i="6"/>
  <c r="F48" i="6"/>
  <c r="E48" i="6"/>
  <c r="D48" i="6"/>
  <c r="C48" i="6"/>
  <c r="B48" i="6"/>
  <c r="A48" i="6"/>
  <c r="H47" i="6"/>
  <c r="G47" i="6"/>
  <c r="F47" i="6"/>
  <c r="E47" i="6"/>
  <c r="D47" i="6"/>
  <c r="C47" i="6"/>
  <c r="B47" i="6"/>
  <c r="A47" i="6"/>
  <c r="H46" i="6"/>
  <c r="G46" i="6"/>
  <c r="F46" i="6"/>
  <c r="E46" i="6"/>
  <c r="D46" i="6"/>
  <c r="C46" i="6"/>
  <c r="B46" i="6"/>
  <c r="A46" i="6"/>
  <c r="H45" i="6"/>
  <c r="G45" i="6"/>
  <c r="F45" i="6"/>
  <c r="E45" i="6"/>
  <c r="D45" i="6"/>
  <c r="C45" i="6"/>
  <c r="B45" i="6"/>
  <c r="A45" i="6"/>
  <c r="H44" i="6"/>
  <c r="G44" i="6"/>
  <c r="F44" i="6"/>
  <c r="E44" i="6"/>
  <c r="D44" i="6"/>
  <c r="C44" i="6"/>
  <c r="B44" i="6"/>
  <c r="A44" i="6"/>
  <c r="H43" i="6"/>
  <c r="G43" i="6"/>
  <c r="F43" i="6"/>
  <c r="E43" i="6"/>
  <c r="D43" i="6"/>
  <c r="C43" i="6"/>
  <c r="B43" i="6"/>
  <c r="A43" i="6"/>
  <c r="H42" i="6"/>
  <c r="G42" i="6"/>
  <c r="F42" i="6"/>
  <c r="E42" i="6"/>
  <c r="D42" i="6"/>
  <c r="C42" i="6"/>
  <c r="B42" i="6"/>
  <c r="A42" i="6"/>
  <c r="H41" i="6"/>
  <c r="G41" i="6"/>
  <c r="F41" i="6"/>
  <c r="W5" i="6" s="1"/>
  <c r="AY5" i="6" s="1"/>
  <c r="E41" i="6"/>
  <c r="V5" i="6" s="1"/>
  <c r="AX5" i="6" s="1"/>
  <c r="D41" i="6"/>
  <c r="U5" i="6" s="1"/>
  <c r="AW5" i="6" s="1"/>
  <c r="C41" i="6"/>
  <c r="B41" i="6"/>
  <c r="A41" i="6"/>
  <c r="R5" i="6" s="1"/>
  <c r="AT5" i="6" s="1"/>
  <c r="H40" i="6"/>
  <c r="G40" i="6"/>
  <c r="X18" i="6" s="1"/>
  <c r="AZ18" i="6" s="1"/>
  <c r="F40" i="6"/>
  <c r="W18" i="6" s="1"/>
  <c r="AY18" i="6" s="1"/>
  <c r="E40" i="6"/>
  <c r="D40" i="6"/>
  <c r="C40" i="6"/>
  <c r="B40" i="6"/>
  <c r="S18" i="6" s="1"/>
  <c r="AU18" i="6" s="1"/>
  <c r="A40" i="6"/>
  <c r="H39" i="6"/>
  <c r="G39" i="6"/>
  <c r="F39" i="6"/>
  <c r="E39" i="6"/>
  <c r="D39" i="6"/>
  <c r="C39" i="6"/>
  <c r="B39" i="6"/>
  <c r="A39" i="6"/>
  <c r="H38" i="6"/>
  <c r="G38" i="6"/>
  <c r="F38" i="6"/>
  <c r="E38" i="6"/>
  <c r="D38" i="6"/>
  <c r="C38" i="6"/>
  <c r="B38" i="6"/>
  <c r="A38" i="6"/>
  <c r="H37" i="6"/>
  <c r="G37" i="6"/>
  <c r="F37" i="6"/>
  <c r="E37" i="6"/>
  <c r="D37" i="6"/>
  <c r="C37" i="6"/>
  <c r="B37" i="6"/>
  <c r="A37" i="6"/>
  <c r="H36" i="6"/>
  <c r="G36" i="6"/>
  <c r="F36" i="6"/>
  <c r="E36" i="6"/>
  <c r="D36" i="6"/>
  <c r="C36" i="6"/>
  <c r="B36" i="6"/>
  <c r="A36" i="6"/>
  <c r="H35" i="6"/>
  <c r="G35" i="6"/>
  <c r="F35" i="6"/>
  <c r="E35" i="6"/>
  <c r="D35" i="6"/>
  <c r="C35" i="6"/>
  <c r="B35" i="6"/>
  <c r="A35" i="6"/>
  <c r="H34" i="6"/>
  <c r="G34" i="6"/>
  <c r="F34" i="6"/>
  <c r="E34" i="6"/>
  <c r="D34" i="6"/>
  <c r="C34" i="6"/>
  <c r="B34" i="6"/>
  <c r="A34" i="6"/>
  <c r="H33" i="6"/>
  <c r="G33" i="6"/>
  <c r="F33" i="6"/>
  <c r="E33" i="6"/>
  <c r="D33" i="6"/>
  <c r="C33" i="6"/>
  <c r="B33" i="6"/>
  <c r="A33" i="6"/>
  <c r="H32" i="6"/>
  <c r="G32" i="6"/>
  <c r="F32" i="6"/>
  <c r="E32" i="6"/>
  <c r="D32" i="6"/>
  <c r="C32" i="6"/>
  <c r="B32" i="6"/>
  <c r="A32" i="6"/>
  <c r="H31" i="6"/>
  <c r="G31" i="6"/>
  <c r="F31" i="6"/>
  <c r="E31" i="6"/>
  <c r="D31" i="6"/>
  <c r="C31" i="6"/>
  <c r="B31" i="6"/>
  <c r="A31" i="6"/>
  <c r="H30" i="6"/>
  <c r="G30" i="6"/>
  <c r="F30" i="6"/>
  <c r="E30" i="6"/>
  <c r="D30" i="6"/>
  <c r="C30" i="6"/>
  <c r="B30" i="6"/>
  <c r="A30" i="6"/>
  <c r="H29" i="6"/>
  <c r="G29" i="6"/>
  <c r="F29" i="6"/>
  <c r="E29" i="6"/>
  <c r="V4" i="6" s="1"/>
  <c r="AX4" i="6" s="1"/>
  <c r="D29" i="6"/>
  <c r="U4" i="6" s="1"/>
  <c r="AW4" i="6" s="1"/>
  <c r="C29" i="6"/>
  <c r="B29" i="6"/>
  <c r="S4" i="6" s="1"/>
  <c r="AU4" i="6" s="1"/>
  <c r="A29" i="6"/>
  <c r="R4" i="6" s="1"/>
  <c r="AT4" i="6" s="1"/>
  <c r="H28" i="6"/>
  <c r="Y17" i="6" s="1"/>
  <c r="BA17" i="6" s="1"/>
  <c r="G28" i="6"/>
  <c r="X17" i="6" s="1"/>
  <c r="AZ17" i="6" s="1"/>
  <c r="F28" i="6"/>
  <c r="W17" i="6" s="1"/>
  <c r="AY17" i="6" s="1"/>
  <c r="E28" i="6"/>
  <c r="D28" i="6"/>
  <c r="U17" i="6" s="1"/>
  <c r="AW17" i="6" s="1"/>
  <c r="C28" i="6"/>
  <c r="B28" i="6"/>
  <c r="S17" i="6" s="1"/>
  <c r="AU17" i="6" s="1"/>
  <c r="A28" i="6"/>
  <c r="H27" i="6"/>
  <c r="G27" i="6"/>
  <c r="F27" i="6"/>
  <c r="E27" i="6"/>
  <c r="D27" i="6"/>
  <c r="C27" i="6"/>
  <c r="B27" i="6"/>
  <c r="A27" i="6"/>
  <c r="H26" i="6"/>
  <c r="G26" i="6"/>
  <c r="F26" i="6"/>
  <c r="E26" i="6"/>
  <c r="D26" i="6"/>
  <c r="C26" i="6"/>
  <c r="B26" i="6"/>
  <c r="A26" i="6"/>
  <c r="H25" i="6"/>
  <c r="G25" i="6"/>
  <c r="F25" i="6"/>
  <c r="E25" i="6"/>
  <c r="D25" i="6"/>
  <c r="C25" i="6"/>
  <c r="B25" i="6"/>
  <c r="A25" i="6"/>
  <c r="AA24" i="6"/>
  <c r="Z24" i="6"/>
  <c r="Y24" i="6"/>
  <c r="BA24" i="6" s="1"/>
  <c r="X24" i="6"/>
  <c r="AZ24" i="6" s="1"/>
  <c r="W24" i="6"/>
  <c r="AY24" i="6" s="1"/>
  <c r="V24" i="6"/>
  <c r="AX24" i="6" s="1"/>
  <c r="S24" i="6"/>
  <c r="AU24" i="6" s="1"/>
  <c r="H24" i="6"/>
  <c r="G24" i="6"/>
  <c r="F24" i="6"/>
  <c r="E24" i="6"/>
  <c r="D24" i="6"/>
  <c r="C24" i="6"/>
  <c r="B24" i="6"/>
  <c r="A24" i="6"/>
  <c r="Y23" i="6"/>
  <c r="BA23" i="6" s="1"/>
  <c r="X23" i="6"/>
  <c r="AZ23" i="6" s="1"/>
  <c r="W23" i="6"/>
  <c r="AY23" i="6" s="1"/>
  <c r="U23" i="6"/>
  <c r="AW23" i="6" s="1"/>
  <c r="T23" i="6"/>
  <c r="AV23" i="6" s="1"/>
  <c r="S23" i="6"/>
  <c r="AU23" i="6" s="1"/>
  <c r="R23" i="6"/>
  <c r="AT23" i="6" s="1"/>
  <c r="H23" i="6"/>
  <c r="G23" i="6"/>
  <c r="F23" i="6"/>
  <c r="E23" i="6"/>
  <c r="D23" i="6"/>
  <c r="C23" i="6"/>
  <c r="B23" i="6"/>
  <c r="A23" i="6"/>
  <c r="W22" i="6"/>
  <c r="AY22" i="6" s="1"/>
  <c r="V22" i="6"/>
  <c r="AX22" i="6" s="1"/>
  <c r="U22" i="6"/>
  <c r="AW22" i="6" s="1"/>
  <c r="T22" i="6"/>
  <c r="AV22" i="6" s="1"/>
  <c r="S22" i="6"/>
  <c r="AU22" i="6" s="1"/>
  <c r="R22" i="6"/>
  <c r="AT22" i="6" s="1"/>
  <c r="H22" i="6"/>
  <c r="G22" i="6"/>
  <c r="F22" i="6"/>
  <c r="E22" i="6"/>
  <c r="D22" i="6"/>
  <c r="C22" i="6"/>
  <c r="B22" i="6"/>
  <c r="A22" i="6"/>
  <c r="AA21" i="6"/>
  <c r="Y21" i="6"/>
  <c r="BA21" i="6" s="1"/>
  <c r="X21" i="6"/>
  <c r="AZ21" i="6" s="1"/>
  <c r="W21" i="6"/>
  <c r="AY21" i="6" s="1"/>
  <c r="V21" i="6"/>
  <c r="AX21" i="6" s="1"/>
  <c r="T21" i="6"/>
  <c r="AV21" i="6" s="1"/>
  <c r="S21" i="6"/>
  <c r="AU21" i="6" s="1"/>
  <c r="H21" i="6"/>
  <c r="G21" i="6"/>
  <c r="F21" i="6"/>
  <c r="E21" i="6"/>
  <c r="D21" i="6"/>
  <c r="C21" i="6"/>
  <c r="B21" i="6"/>
  <c r="A21" i="6"/>
  <c r="AT20" i="6"/>
  <c r="AA20" i="6"/>
  <c r="Y20" i="6"/>
  <c r="BA20" i="6" s="1"/>
  <c r="W20" i="6"/>
  <c r="AY20" i="6" s="1"/>
  <c r="V20" i="6"/>
  <c r="AX20" i="6" s="1"/>
  <c r="U20" i="6"/>
  <c r="AW20" i="6" s="1"/>
  <c r="T20" i="6"/>
  <c r="AV20" i="6" s="1"/>
  <c r="R20" i="6"/>
  <c r="H20" i="6"/>
  <c r="G20" i="6"/>
  <c r="F20" i="6"/>
  <c r="E20" i="6"/>
  <c r="D20" i="6"/>
  <c r="C20" i="6"/>
  <c r="B20" i="6"/>
  <c r="A20" i="6"/>
  <c r="AA19" i="6"/>
  <c r="Y19" i="6"/>
  <c r="BA19" i="6" s="1"/>
  <c r="V19" i="6"/>
  <c r="AX19" i="6" s="1"/>
  <c r="U19" i="6"/>
  <c r="AW19" i="6" s="1"/>
  <c r="T19" i="6"/>
  <c r="AV19" i="6" s="1"/>
  <c r="R19" i="6"/>
  <c r="AT19" i="6" s="1"/>
  <c r="H19" i="6"/>
  <c r="G19" i="6"/>
  <c r="F19" i="6"/>
  <c r="E19" i="6"/>
  <c r="D19" i="6"/>
  <c r="C19" i="6"/>
  <c r="B19" i="6"/>
  <c r="A19" i="6"/>
  <c r="AA18" i="6"/>
  <c r="Y18" i="6"/>
  <c r="BA18" i="6" s="1"/>
  <c r="V18" i="6"/>
  <c r="AX18" i="6" s="1"/>
  <c r="U18" i="6"/>
  <c r="AW18" i="6" s="1"/>
  <c r="T18" i="6"/>
  <c r="AV18" i="6" s="1"/>
  <c r="R18" i="6"/>
  <c r="AT18" i="6" s="1"/>
  <c r="H18" i="6"/>
  <c r="G18" i="6"/>
  <c r="F18" i="6"/>
  <c r="E18" i="6"/>
  <c r="D18" i="6"/>
  <c r="C18" i="6"/>
  <c r="B18" i="6"/>
  <c r="A18" i="6"/>
  <c r="AA17" i="6"/>
  <c r="V17" i="6"/>
  <c r="AX17" i="6" s="1"/>
  <c r="T17" i="6"/>
  <c r="AV17" i="6" s="1"/>
  <c r="R17" i="6"/>
  <c r="AT17" i="6" s="1"/>
  <c r="H17" i="6"/>
  <c r="Y16" i="6" s="1"/>
  <c r="BA16" i="6" s="1"/>
  <c r="G17" i="6"/>
  <c r="X16" i="6" s="1"/>
  <c r="AZ16" i="6" s="1"/>
  <c r="F17" i="6"/>
  <c r="W16" i="6" s="1"/>
  <c r="AY16" i="6" s="1"/>
  <c r="E17" i="6"/>
  <c r="V16" i="6" s="1"/>
  <c r="AX16" i="6" s="1"/>
  <c r="D17" i="6"/>
  <c r="U16" i="6" s="1"/>
  <c r="AW16" i="6" s="1"/>
  <c r="C17" i="6"/>
  <c r="B17" i="6"/>
  <c r="S16" i="6" s="1"/>
  <c r="AU16" i="6" s="1"/>
  <c r="A17" i="6"/>
  <c r="R16" i="6" s="1"/>
  <c r="AT16" i="6" s="1"/>
  <c r="T16" i="6"/>
  <c r="AV16" i="6" s="1"/>
  <c r="H16" i="6"/>
  <c r="G16" i="6"/>
  <c r="F16" i="6"/>
  <c r="E16" i="6"/>
  <c r="D16" i="6"/>
  <c r="C16" i="6"/>
  <c r="B16" i="6"/>
  <c r="A16" i="6"/>
  <c r="AA15" i="6"/>
  <c r="Z15" i="6"/>
  <c r="H15" i="6"/>
  <c r="Y15" i="6" s="1"/>
  <c r="BA15" i="6" s="1"/>
  <c r="G15" i="6"/>
  <c r="X15" i="6" s="1"/>
  <c r="AZ15" i="6" s="1"/>
  <c r="F15" i="6"/>
  <c r="W15" i="6" s="1"/>
  <c r="AY15" i="6" s="1"/>
  <c r="E15" i="6"/>
  <c r="V15" i="6" s="1"/>
  <c r="AX15" i="6" s="1"/>
  <c r="D15" i="6"/>
  <c r="U15" i="6" s="1"/>
  <c r="AW15" i="6" s="1"/>
  <c r="C15" i="6"/>
  <c r="T15" i="6" s="1"/>
  <c r="AV15" i="6" s="1"/>
  <c r="B15" i="6"/>
  <c r="S15" i="6" s="1"/>
  <c r="AU15" i="6" s="1"/>
  <c r="A15" i="6"/>
  <c r="R15" i="6" s="1"/>
  <c r="AT15" i="6" s="1"/>
  <c r="H14" i="6"/>
  <c r="Y38" i="6" s="1"/>
  <c r="G14" i="6"/>
  <c r="X38" i="6" s="1"/>
  <c r="F14" i="6"/>
  <c r="W38" i="6" s="1"/>
  <c r="E14" i="6"/>
  <c r="V38" i="6" s="1"/>
  <c r="D14" i="6"/>
  <c r="U38" i="6" s="1"/>
  <c r="C14" i="6"/>
  <c r="T38" i="6" s="1"/>
  <c r="B14" i="6"/>
  <c r="S38" i="6" s="1"/>
  <c r="A14" i="6"/>
  <c r="R38" i="6" s="1"/>
  <c r="H13" i="6"/>
  <c r="Y37" i="6" s="1"/>
  <c r="G13" i="6"/>
  <c r="X37" i="6" s="1"/>
  <c r="F13" i="6"/>
  <c r="W37" i="6" s="1"/>
  <c r="E13" i="6"/>
  <c r="V37" i="6" s="1"/>
  <c r="D13" i="6"/>
  <c r="U37" i="6" s="1"/>
  <c r="C13" i="6"/>
  <c r="T37" i="6" s="1"/>
  <c r="B13" i="6"/>
  <c r="S37" i="6" s="1"/>
  <c r="A13" i="6"/>
  <c r="R37" i="6" s="1"/>
  <c r="AA12" i="6"/>
  <c r="H12" i="6"/>
  <c r="Y36" i="6" s="1"/>
  <c r="G12" i="6"/>
  <c r="X3" i="6" s="1"/>
  <c r="AZ3" i="6" s="1"/>
  <c r="F12" i="6"/>
  <c r="W36" i="6" s="1"/>
  <c r="E12" i="6"/>
  <c r="V36" i="6" s="1"/>
  <c r="D12" i="6"/>
  <c r="U36" i="6" s="1"/>
  <c r="C12" i="6"/>
  <c r="T3" i="6" s="1"/>
  <c r="AV3" i="6" s="1"/>
  <c r="B12" i="6"/>
  <c r="S36" i="6" s="1"/>
  <c r="A12" i="6"/>
  <c r="R36" i="6" s="1"/>
  <c r="BO11" i="6"/>
  <c r="BN11" i="6"/>
  <c r="BM11" i="6"/>
  <c r="BL11" i="6"/>
  <c r="BK11" i="6"/>
  <c r="BJ11" i="6"/>
  <c r="BI11" i="6"/>
  <c r="BH11" i="6"/>
  <c r="BG11" i="6"/>
  <c r="BF11" i="6"/>
  <c r="BE11" i="6"/>
  <c r="BD11" i="6"/>
  <c r="AA11" i="6"/>
  <c r="BC11" i="6" s="1"/>
  <c r="H11" i="6"/>
  <c r="Y35" i="6" s="1"/>
  <c r="G11" i="6"/>
  <c r="X35" i="6" s="1"/>
  <c r="F11" i="6"/>
  <c r="W35" i="6" s="1"/>
  <c r="E11" i="6"/>
  <c r="V35" i="6" s="1"/>
  <c r="D11" i="6"/>
  <c r="U35" i="6" s="1"/>
  <c r="C11" i="6"/>
  <c r="T35" i="6" s="1"/>
  <c r="B11" i="6"/>
  <c r="S35" i="6" s="1"/>
  <c r="A11" i="6"/>
  <c r="R35" i="6" s="1"/>
  <c r="H10" i="6"/>
  <c r="Y34" i="6" s="1"/>
  <c r="G10" i="6"/>
  <c r="X34" i="6" s="1"/>
  <c r="F10" i="6"/>
  <c r="W34" i="6" s="1"/>
  <c r="E10" i="6"/>
  <c r="V34" i="6" s="1"/>
  <c r="D10" i="6"/>
  <c r="U34" i="6" s="1"/>
  <c r="C10" i="6"/>
  <c r="T34" i="6" s="1"/>
  <c r="B10" i="6"/>
  <c r="S34" i="6" s="1"/>
  <c r="A10" i="6"/>
  <c r="R34" i="6" s="1"/>
  <c r="H9" i="6"/>
  <c r="Y33" i="6" s="1"/>
  <c r="G9" i="6"/>
  <c r="X33" i="6" s="1"/>
  <c r="F9" i="6"/>
  <c r="W33" i="6" s="1"/>
  <c r="E9" i="6"/>
  <c r="V33" i="6" s="1"/>
  <c r="D9" i="6"/>
  <c r="U33" i="6" s="1"/>
  <c r="C9" i="6"/>
  <c r="T33" i="6" s="1"/>
  <c r="B9" i="6"/>
  <c r="S33" i="6" s="1"/>
  <c r="A9" i="6"/>
  <c r="R33" i="6" s="1"/>
  <c r="X8" i="6"/>
  <c r="AZ8" i="6" s="1"/>
  <c r="W8" i="6"/>
  <c r="AY8" i="6" s="1"/>
  <c r="U8" i="6"/>
  <c r="AW8" i="6" s="1"/>
  <c r="T8" i="6"/>
  <c r="AV8" i="6" s="1"/>
  <c r="S8" i="6"/>
  <c r="AU8" i="6" s="1"/>
  <c r="R8" i="6"/>
  <c r="AT8" i="6" s="1"/>
  <c r="H8" i="6"/>
  <c r="Y32" i="6" s="1"/>
  <c r="G8" i="6"/>
  <c r="X32" i="6" s="1"/>
  <c r="F8" i="6"/>
  <c r="W32" i="6" s="1"/>
  <c r="E8" i="6"/>
  <c r="V32" i="6" s="1"/>
  <c r="D8" i="6"/>
  <c r="U32" i="6" s="1"/>
  <c r="C8" i="6"/>
  <c r="T32" i="6" s="1"/>
  <c r="B8" i="6"/>
  <c r="S32" i="6" s="1"/>
  <c r="A8" i="6"/>
  <c r="R32" i="6" s="1"/>
  <c r="Y7" i="6"/>
  <c r="BA7" i="6" s="1"/>
  <c r="X7" i="6"/>
  <c r="AZ7" i="6" s="1"/>
  <c r="W7" i="6"/>
  <c r="AY7" i="6" s="1"/>
  <c r="T7" i="6"/>
  <c r="AV7" i="6" s="1"/>
  <c r="S7" i="6"/>
  <c r="AU7" i="6" s="1"/>
  <c r="R7" i="6"/>
  <c r="AT7" i="6" s="1"/>
  <c r="H7" i="6"/>
  <c r="Y31" i="6" s="1"/>
  <c r="G7" i="6"/>
  <c r="X31" i="6" s="1"/>
  <c r="F7" i="6"/>
  <c r="W31" i="6" s="1"/>
  <c r="E7" i="6"/>
  <c r="V31" i="6" s="1"/>
  <c r="D7" i="6"/>
  <c r="U31" i="6" s="1"/>
  <c r="C7" i="6"/>
  <c r="T31" i="6" s="1"/>
  <c r="A7" i="6"/>
  <c r="R31" i="6" s="1"/>
  <c r="Y6" i="6"/>
  <c r="BA6" i="6" s="1"/>
  <c r="X6" i="6"/>
  <c r="AZ6" i="6" s="1"/>
  <c r="W6" i="6"/>
  <c r="AY6" i="6" s="1"/>
  <c r="V6" i="6"/>
  <c r="AX6" i="6" s="1"/>
  <c r="T6" i="6"/>
  <c r="AV6" i="6" s="1"/>
  <c r="S6" i="6"/>
  <c r="AU6" i="6" s="1"/>
  <c r="H6" i="6"/>
  <c r="Y30" i="6" s="1"/>
  <c r="G6" i="6"/>
  <c r="X30" i="6" s="1"/>
  <c r="F6" i="6"/>
  <c r="W30" i="6" s="1"/>
  <c r="E6" i="6"/>
  <c r="V30" i="6" s="1"/>
  <c r="D6" i="6"/>
  <c r="U30" i="6" s="1"/>
  <c r="C6" i="6"/>
  <c r="T30" i="6" s="1"/>
  <c r="A6" i="6"/>
  <c r="R30" i="6" s="1"/>
  <c r="Y5" i="6"/>
  <c r="BA5" i="6" s="1"/>
  <c r="X5" i="6"/>
  <c r="AZ5" i="6" s="1"/>
  <c r="T5" i="6"/>
  <c r="AV5" i="6" s="1"/>
  <c r="S5" i="6"/>
  <c r="AU5" i="6" s="1"/>
  <c r="AA14" i="6"/>
  <c r="H5" i="6"/>
  <c r="Y14" i="6" s="1"/>
  <c r="BA14" i="6" s="1"/>
  <c r="G5" i="6"/>
  <c r="X14" i="6" s="1"/>
  <c r="F5" i="6"/>
  <c r="W14" i="6" s="1"/>
  <c r="AY14" i="6" s="1"/>
  <c r="E5" i="6"/>
  <c r="V14" i="6" s="1"/>
  <c r="AX14" i="6" s="1"/>
  <c r="D5" i="6"/>
  <c r="U14" i="6" s="1"/>
  <c r="AW14" i="6" s="1"/>
  <c r="C5" i="6"/>
  <c r="T14" i="6" s="1"/>
  <c r="AV14" i="6" s="1"/>
  <c r="A5" i="6"/>
  <c r="R14" i="6" s="1"/>
  <c r="AT14" i="6" s="1"/>
  <c r="Y4" i="6"/>
  <c r="BA4" i="6" s="1"/>
  <c r="X4" i="6"/>
  <c r="AZ4" i="6" s="1"/>
  <c r="W4" i="6"/>
  <c r="AY4" i="6" s="1"/>
  <c r="T4" i="6"/>
  <c r="AV4" i="6" s="1"/>
  <c r="AA13" i="6"/>
  <c r="Z13" i="6"/>
  <c r="H4" i="6"/>
  <c r="Y13" i="6" s="1"/>
  <c r="BA13" i="6" s="1"/>
  <c r="G4" i="6"/>
  <c r="X13" i="6" s="1"/>
  <c r="F4" i="6"/>
  <c r="W13" i="6" s="1"/>
  <c r="AY13" i="6" s="1"/>
  <c r="E4" i="6"/>
  <c r="V13" i="6" s="1"/>
  <c r="AX13" i="6" s="1"/>
  <c r="D4" i="6"/>
  <c r="U13" i="6" s="1"/>
  <c r="AW13" i="6" s="1"/>
  <c r="C4" i="6"/>
  <c r="T13" i="6" s="1"/>
  <c r="AV13" i="6" s="1"/>
  <c r="B4" i="6"/>
  <c r="S13" i="6" s="1"/>
  <c r="AU13" i="6" s="1"/>
  <c r="A4" i="6"/>
  <c r="R13" i="6" s="1"/>
  <c r="AT13" i="6" s="1"/>
  <c r="AA3" i="6"/>
  <c r="Y3" i="6"/>
  <c r="BA3" i="6" s="1"/>
  <c r="S3" i="6"/>
  <c r="AU3" i="6" s="1"/>
  <c r="R3" i="6"/>
  <c r="AT3" i="6" s="1"/>
  <c r="Z12" i="6"/>
  <c r="H3" i="6"/>
  <c r="Y12" i="6" s="1"/>
  <c r="BA12" i="6" s="1"/>
  <c r="G3" i="6"/>
  <c r="X12" i="6" s="1"/>
  <c r="F3" i="6"/>
  <c r="W12" i="6" s="1"/>
  <c r="AY12" i="6" s="1"/>
  <c r="E3" i="6"/>
  <c r="V12" i="6" s="1"/>
  <c r="AX12" i="6" s="1"/>
  <c r="D3" i="6"/>
  <c r="U12" i="6" s="1"/>
  <c r="AW12" i="6" s="1"/>
  <c r="C3" i="6"/>
  <c r="T12" i="6" s="1"/>
  <c r="AV12" i="6" s="1"/>
  <c r="A3" i="6"/>
  <c r="R12" i="6" s="1"/>
  <c r="AT12" i="6" s="1"/>
  <c r="BK2" i="6"/>
  <c r="BJ2" i="6"/>
  <c r="BI2" i="6"/>
  <c r="BH2" i="6"/>
  <c r="BG2" i="6"/>
  <c r="BF2" i="6"/>
  <c r="BE2" i="6"/>
  <c r="BD2" i="6"/>
  <c r="AA2" i="6"/>
  <c r="BC2" i="6" s="1"/>
  <c r="H2" i="6"/>
  <c r="Y11" i="6" s="1"/>
  <c r="BA11" i="6" s="1"/>
  <c r="G2" i="6"/>
  <c r="X2" i="6" s="1"/>
  <c r="AZ2" i="6" s="1"/>
  <c r="F2" i="6"/>
  <c r="W2" i="6" s="1"/>
  <c r="AY2" i="6" s="1"/>
  <c r="E2" i="6"/>
  <c r="V11" i="6" s="1"/>
  <c r="AX11" i="6" s="1"/>
  <c r="D2" i="6"/>
  <c r="U2" i="6" s="1"/>
  <c r="AW2" i="6" s="1"/>
  <c r="C2" i="6"/>
  <c r="T2" i="6" s="1"/>
  <c r="AV2" i="6" s="1"/>
  <c r="A2" i="6"/>
  <c r="R2" i="6" s="1"/>
  <c r="AT2" i="6" s="1"/>
  <c r="Z1" i="6"/>
  <c r="B1" i="6"/>
  <c r="S1" i="6" s="1"/>
  <c r="AU1" i="6" s="1"/>
  <c r="I1" i="5"/>
  <c r="Z28" i="5" s="1"/>
  <c r="J1" i="5"/>
  <c r="I2" i="5"/>
  <c r="Z29" i="5" s="1"/>
  <c r="J2" i="5"/>
  <c r="AA29" i="5" s="1"/>
  <c r="I3" i="5"/>
  <c r="J3" i="5"/>
  <c r="I4" i="5"/>
  <c r="Z13" i="5" s="1"/>
  <c r="J4" i="5"/>
  <c r="AA13" i="5" s="1"/>
  <c r="I5" i="5"/>
  <c r="J5" i="5"/>
  <c r="I6" i="5"/>
  <c r="Z30" i="5" s="1"/>
  <c r="J6" i="5"/>
  <c r="AA30" i="5" s="1"/>
  <c r="I7" i="5"/>
  <c r="Z31" i="5" s="1"/>
  <c r="J7" i="5"/>
  <c r="AA31" i="5" s="1"/>
  <c r="I8" i="5"/>
  <c r="Z32" i="5" s="1"/>
  <c r="J8" i="5"/>
  <c r="AA32" i="5" s="1"/>
  <c r="I9" i="5"/>
  <c r="Z33" i="5" s="1"/>
  <c r="J9" i="5"/>
  <c r="AA33" i="5" s="1"/>
  <c r="I10" i="5"/>
  <c r="Z34" i="5" s="1"/>
  <c r="J10" i="5"/>
  <c r="AA34" i="5" s="1"/>
  <c r="I11" i="5"/>
  <c r="Z35" i="5" s="1"/>
  <c r="J11" i="5"/>
  <c r="AA35" i="5" s="1"/>
  <c r="I12" i="5"/>
  <c r="Z3" i="5" s="1"/>
  <c r="J12" i="5"/>
  <c r="AA3" i="5" s="1"/>
  <c r="I13" i="5"/>
  <c r="Z37" i="5" s="1"/>
  <c r="J13" i="5"/>
  <c r="AA37" i="5" s="1"/>
  <c r="I14" i="5"/>
  <c r="Z38" i="5" s="1"/>
  <c r="J14" i="5"/>
  <c r="AA38" i="5" s="1"/>
  <c r="I15" i="5"/>
  <c r="J15" i="5"/>
  <c r="I16" i="5"/>
  <c r="J16" i="5"/>
  <c r="I17" i="5"/>
  <c r="J17" i="5"/>
  <c r="AA16" i="5" s="1"/>
  <c r="I18" i="5"/>
  <c r="J18" i="5"/>
  <c r="I19" i="5"/>
  <c r="J19" i="5"/>
  <c r="I20" i="5"/>
  <c r="J20" i="5"/>
  <c r="I21" i="5"/>
  <c r="J21" i="5"/>
  <c r="I22" i="5"/>
  <c r="J22" i="5"/>
  <c r="I23" i="5"/>
  <c r="J23" i="5"/>
  <c r="I24" i="5"/>
  <c r="J24" i="5"/>
  <c r="I25" i="5"/>
  <c r="J25" i="5"/>
  <c r="I26" i="5"/>
  <c r="J26" i="5"/>
  <c r="I27" i="5"/>
  <c r="J27" i="5"/>
  <c r="I28" i="5"/>
  <c r="Z17" i="5" s="1"/>
  <c r="J28" i="5"/>
  <c r="AA17" i="5" s="1"/>
  <c r="I29" i="5"/>
  <c r="J29" i="5"/>
  <c r="AA4" i="5" s="1"/>
  <c r="I30" i="5"/>
  <c r="J30" i="5"/>
  <c r="I31" i="5"/>
  <c r="J31" i="5"/>
  <c r="I32" i="5"/>
  <c r="J32" i="5"/>
  <c r="I33" i="5"/>
  <c r="J33" i="5"/>
  <c r="I34" i="5"/>
  <c r="J34" i="5"/>
  <c r="I35" i="5"/>
  <c r="J35" i="5"/>
  <c r="I36" i="5"/>
  <c r="J36" i="5"/>
  <c r="I37" i="5"/>
  <c r="J37" i="5"/>
  <c r="I38" i="5"/>
  <c r="J38" i="5"/>
  <c r="I39" i="5"/>
  <c r="J39" i="5"/>
  <c r="I40" i="5"/>
  <c r="Z18" i="5" s="1"/>
  <c r="J40" i="5"/>
  <c r="AA18" i="5" s="1"/>
  <c r="I41" i="5"/>
  <c r="J41" i="5"/>
  <c r="I42" i="5"/>
  <c r="J42" i="5"/>
  <c r="I43" i="5"/>
  <c r="J43" i="5"/>
  <c r="I44" i="5"/>
  <c r="J44" i="5"/>
  <c r="I45" i="5"/>
  <c r="J45" i="5"/>
  <c r="I46" i="5"/>
  <c r="J46" i="5"/>
  <c r="I47" i="5"/>
  <c r="J47" i="5"/>
  <c r="I48" i="5"/>
  <c r="J48" i="5"/>
  <c r="I49" i="5"/>
  <c r="J49" i="5"/>
  <c r="I50" i="5"/>
  <c r="J50" i="5"/>
  <c r="I51" i="5"/>
  <c r="J51" i="5"/>
  <c r="I52" i="5"/>
  <c r="Z19" i="5" s="1"/>
  <c r="J52" i="5"/>
  <c r="I53" i="5"/>
  <c r="J53" i="5"/>
  <c r="AA6" i="5" s="1"/>
  <c r="I54" i="5"/>
  <c r="J54" i="5"/>
  <c r="I55" i="5"/>
  <c r="J55" i="5"/>
  <c r="I56" i="5"/>
  <c r="J56" i="5"/>
  <c r="I57" i="5"/>
  <c r="J57" i="5"/>
  <c r="I58" i="5"/>
  <c r="J58" i="5"/>
  <c r="I59" i="5"/>
  <c r="J59" i="5"/>
  <c r="I60" i="5"/>
  <c r="J60" i="5"/>
  <c r="I61" i="5"/>
  <c r="J61" i="5"/>
  <c r="I62" i="5"/>
  <c r="J62" i="5"/>
  <c r="I63" i="5"/>
  <c r="J63" i="5"/>
  <c r="I64" i="5"/>
  <c r="Z20" i="5" s="1"/>
  <c r="J64" i="5"/>
  <c r="AA20" i="5" s="1"/>
  <c r="I65" i="5"/>
  <c r="J65" i="5"/>
  <c r="AA7" i="5" s="1"/>
  <c r="I66" i="5"/>
  <c r="J66" i="5"/>
  <c r="I67" i="5"/>
  <c r="J67" i="5"/>
  <c r="I68" i="5"/>
  <c r="J68" i="5"/>
  <c r="I69" i="5"/>
  <c r="J69" i="5"/>
  <c r="I70" i="5"/>
  <c r="J70" i="5"/>
  <c r="I71" i="5"/>
  <c r="J71" i="5"/>
  <c r="I72" i="5"/>
  <c r="J72" i="5"/>
  <c r="I73" i="5"/>
  <c r="J73" i="5"/>
  <c r="I74" i="5"/>
  <c r="J74" i="5"/>
  <c r="I75" i="5"/>
  <c r="J75" i="5"/>
  <c r="I76" i="5"/>
  <c r="J76" i="5"/>
  <c r="I77" i="5"/>
  <c r="J77" i="5"/>
  <c r="I78" i="5"/>
  <c r="J78" i="5"/>
  <c r="I79" i="5"/>
  <c r="J79" i="5"/>
  <c r="I80" i="5"/>
  <c r="Z21" i="5" s="1"/>
  <c r="J80" i="5"/>
  <c r="AA21" i="5" s="1"/>
  <c r="I81" i="5"/>
  <c r="J81" i="5"/>
  <c r="I82" i="5"/>
  <c r="J82" i="5"/>
  <c r="I83" i="5"/>
  <c r="J83" i="5"/>
  <c r="I84" i="5"/>
  <c r="Z22" i="5" s="1"/>
  <c r="J84" i="5"/>
  <c r="AA22" i="5" s="1"/>
  <c r="I85" i="5"/>
  <c r="J85" i="5"/>
  <c r="I86" i="5"/>
  <c r="J86" i="5"/>
  <c r="H86" i="5"/>
  <c r="G86" i="5"/>
  <c r="F86" i="5"/>
  <c r="W24" i="5" s="1"/>
  <c r="AY24" i="5" s="1"/>
  <c r="E86" i="5"/>
  <c r="D86" i="5"/>
  <c r="U24" i="5" s="1"/>
  <c r="AW24" i="5" s="1"/>
  <c r="C86" i="5"/>
  <c r="T24" i="5" s="1"/>
  <c r="AV24" i="5" s="1"/>
  <c r="B86" i="5"/>
  <c r="S24" i="5" s="1"/>
  <c r="AU24" i="5" s="1"/>
  <c r="A86" i="5"/>
  <c r="H85" i="5"/>
  <c r="G85" i="5"/>
  <c r="F85" i="5"/>
  <c r="E85" i="5"/>
  <c r="D85" i="5"/>
  <c r="C85" i="5"/>
  <c r="B85" i="5"/>
  <c r="S23" i="5" s="1"/>
  <c r="AU23" i="5" s="1"/>
  <c r="A85" i="5"/>
  <c r="H84" i="5"/>
  <c r="Y22" i="5" s="1"/>
  <c r="BA22" i="5" s="1"/>
  <c r="G84" i="5"/>
  <c r="X22" i="5" s="1"/>
  <c r="AZ22" i="5" s="1"/>
  <c r="F84" i="5"/>
  <c r="W22" i="5" s="1"/>
  <c r="AY22" i="5" s="1"/>
  <c r="E84" i="5"/>
  <c r="D84" i="5"/>
  <c r="C84" i="5"/>
  <c r="B84" i="5"/>
  <c r="A84" i="5"/>
  <c r="H83" i="5"/>
  <c r="G83" i="5"/>
  <c r="F83" i="5"/>
  <c r="E83" i="5"/>
  <c r="D83" i="5"/>
  <c r="C83" i="5"/>
  <c r="B83" i="5"/>
  <c r="A83" i="5"/>
  <c r="H82" i="5"/>
  <c r="G82" i="5"/>
  <c r="F82" i="5"/>
  <c r="E82" i="5"/>
  <c r="D82" i="5"/>
  <c r="C82" i="5"/>
  <c r="B82" i="5"/>
  <c r="A82" i="5"/>
  <c r="H81" i="5"/>
  <c r="G81" i="5"/>
  <c r="F81" i="5"/>
  <c r="W8" i="5" s="1"/>
  <c r="AY8" i="5" s="1"/>
  <c r="E81" i="5"/>
  <c r="D81" i="5"/>
  <c r="C81" i="5"/>
  <c r="B81" i="5"/>
  <c r="A81" i="5"/>
  <c r="H80" i="5"/>
  <c r="G80" i="5"/>
  <c r="F80" i="5"/>
  <c r="E80" i="5"/>
  <c r="D80" i="5"/>
  <c r="C80" i="5"/>
  <c r="T21" i="5" s="1"/>
  <c r="AV21" i="5" s="1"/>
  <c r="B80" i="5"/>
  <c r="S21" i="5" s="1"/>
  <c r="AU21" i="5" s="1"/>
  <c r="A80" i="5"/>
  <c r="H79" i="5"/>
  <c r="G79" i="5"/>
  <c r="F79" i="5"/>
  <c r="E79" i="5"/>
  <c r="D79" i="5"/>
  <c r="C79" i="5"/>
  <c r="B79" i="5"/>
  <c r="A79" i="5"/>
  <c r="H78" i="5"/>
  <c r="G78" i="5"/>
  <c r="F78" i="5"/>
  <c r="E78" i="5"/>
  <c r="D78" i="5"/>
  <c r="C78" i="5"/>
  <c r="B78" i="5"/>
  <c r="A78" i="5"/>
  <c r="H77" i="5"/>
  <c r="G77" i="5"/>
  <c r="F77" i="5"/>
  <c r="E77" i="5"/>
  <c r="D77" i="5"/>
  <c r="C77" i="5"/>
  <c r="B77" i="5"/>
  <c r="A77" i="5"/>
  <c r="H76" i="5"/>
  <c r="G76" i="5"/>
  <c r="F76" i="5"/>
  <c r="E76" i="5"/>
  <c r="D76" i="5"/>
  <c r="C76" i="5"/>
  <c r="B76" i="5"/>
  <c r="A76" i="5"/>
  <c r="H75" i="5"/>
  <c r="G75" i="5"/>
  <c r="F75" i="5"/>
  <c r="E75" i="5"/>
  <c r="D75" i="5"/>
  <c r="C75" i="5"/>
  <c r="B75" i="5"/>
  <c r="A75" i="5"/>
  <c r="H74" i="5"/>
  <c r="G74" i="5"/>
  <c r="F74" i="5"/>
  <c r="E74" i="5"/>
  <c r="D74" i="5"/>
  <c r="C74" i="5"/>
  <c r="B74" i="5"/>
  <c r="A74" i="5"/>
  <c r="H73" i="5"/>
  <c r="G73" i="5"/>
  <c r="F73" i="5"/>
  <c r="E73" i="5"/>
  <c r="D73" i="5"/>
  <c r="C73" i="5"/>
  <c r="B73" i="5"/>
  <c r="A73" i="5"/>
  <c r="H72" i="5"/>
  <c r="G72" i="5"/>
  <c r="F72" i="5"/>
  <c r="E72" i="5"/>
  <c r="D72" i="5"/>
  <c r="C72" i="5"/>
  <c r="B72" i="5"/>
  <c r="A72" i="5"/>
  <c r="H71" i="5"/>
  <c r="G71" i="5"/>
  <c r="F71" i="5"/>
  <c r="E71" i="5"/>
  <c r="D71" i="5"/>
  <c r="C71" i="5"/>
  <c r="B71" i="5"/>
  <c r="A71" i="5"/>
  <c r="H70" i="5"/>
  <c r="G70" i="5"/>
  <c r="F70" i="5"/>
  <c r="E70" i="5"/>
  <c r="D70" i="5"/>
  <c r="C70" i="5"/>
  <c r="B70" i="5"/>
  <c r="A70" i="5"/>
  <c r="H69" i="5"/>
  <c r="G69" i="5"/>
  <c r="F69" i="5"/>
  <c r="E69" i="5"/>
  <c r="D69" i="5"/>
  <c r="C69" i="5"/>
  <c r="B69" i="5"/>
  <c r="A69" i="5"/>
  <c r="H68" i="5"/>
  <c r="G68" i="5"/>
  <c r="F68" i="5"/>
  <c r="E68" i="5"/>
  <c r="D68" i="5"/>
  <c r="C68" i="5"/>
  <c r="B68" i="5"/>
  <c r="A68" i="5"/>
  <c r="H67" i="5"/>
  <c r="G67" i="5"/>
  <c r="F67" i="5"/>
  <c r="E67" i="5"/>
  <c r="D67" i="5"/>
  <c r="C67" i="5"/>
  <c r="B67" i="5"/>
  <c r="A67" i="5"/>
  <c r="H66" i="5"/>
  <c r="G66" i="5"/>
  <c r="F66" i="5"/>
  <c r="E66" i="5"/>
  <c r="D66" i="5"/>
  <c r="C66" i="5"/>
  <c r="B66" i="5"/>
  <c r="A66" i="5"/>
  <c r="H65" i="5"/>
  <c r="G65" i="5"/>
  <c r="F65" i="5"/>
  <c r="W7" i="5" s="1"/>
  <c r="AY7" i="5" s="1"/>
  <c r="E65" i="5"/>
  <c r="D65" i="5"/>
  <c r="C65" i="5"/>
  <c r="B65" i="5"/>
  <c r="S7" i="5" s="1"/>
  <c r="AU7" i="5" s="1"/>
  <c r="A65" i="5"/>
  <c r="H64" i="5"/>
  <c r="Y20" i="5" s="1"/>
  <c r="BA20" i="5" s="1"/>
  <c r="G64" i="5"/>
  <c r="F64" i="5"/>
  <c r="W20" i="5" s="1"/>
  <c r="AY20" i="5" s="1"/>
  <c r="E64" i="5"/>
  <c r="V20" i="5" s="1"/>
  <c r="AX20" i="5" s="1"/>
  <c r="D64" i="5"/>
  <c r="U20" i="5" s="1"/>
  <c r="AW20" i="5" s="1"/>
  <c r="C64" i="5"/>
  <c r="B64" i="5"/>
  <c r="S20" i="5" s="1"/>
  <c r="AU20" i="5" s="1"/>
  <c r="A64" i="5"/>
  <c r="H63" i="5"/>
  <c r="G63" i="5"/>
  <c r="F63" i="5"/>
  <c r="E63" i="5"/>
  <c r="D63" i="5"/>
  <c r="C63" i="5"/>
  <c r="B63" i="5"/>
  <c r="A63" i="5"/>
  <c r="H62" i="5"/>
  <c r="G62" i="5"/>
  <c r="F62" i="5"/>
  <c r="E62" i="5"/>
  <c r="D62" i="5"/>
  <c r="C62" i="5"/>
  <c r="B62" i="5"/>
  <c r="A62" i="5"/>
  <c r="H61" i="5"/>
  <c r="G61" i="5"/>
  <c r="F61" i="5"/>
  <c r="E61" i="5"/>
  <c r="D61" i="5"/>
  <c r="C61" i="5"/>
  <c r="B61" i="5"/>
  <c r="A61" i="5"/>
  <c r="H60" i="5"/>
  <c r="G60" i="5"/>
  <c r="F60" i="5"/>
  <c r="E60" i="5"/>
  <c r="D60" i="5"/>
  <c r="C60" i="5"/>
  <c r="B60" i="5"/>
  <c r="A60" i="5"/>
  <c r="H59" i="5"/>
  <c r="G59" i="5"/>
  <c r="F59" i="5"/>
  <c r="E59" i="5"/>
  <c r="D59" i="5"/>
  <c r="C59" i="5"/>
  <c r="B59" i="5"/>
  <c r="A59" i="5"/>
  <c r="H58" i="5"/>
  <c r="G58" i="5"/>
  <c r="F58" i="5"/>
  <c r="E58" i="5"/>
  <c r="D58" i="5"/>
  <c r="C58" i="5"/>
  <c r="B58" i="5"/>
  <c r="A58" i="5"/>
  <c r="H57" i="5"/>
  <c r="G57" i="5"/>
  <c r="F57" i="5"/>
  <c r="E57" i="5"/>
  <c r="D57" i="5"/>
  <c r="C57" i="5"/>
  <c r="B57" i="5"/>
  <c r="A57" i="5"/>
  <c r="H56" i="5"/>
  <c r="G56" i="5"/>
  <c r="F56" i="5"/>
  <c r="E56" i="5"/>
  <c r="D56" i="5"/>
  <c r="C56" i="5"/>
  <c r="B56" i="5"/>
  <c r="A56" i="5"/>
  <c r="H55" i="5"/>
  <c r="G55" i="5"/>
  <c r="F55" i="5"/>
  <c r="E55" i="5"/>
  <c r="D55" i="5"/>
  <c r="C55" i="5"/>
  <c r="B55" i="5"/>
  <c r="A55" i="5"/>
  <c r="H54" i="5"/>
  <c r="G54" i="5"/>
  <c r="F54" i="5"/>
  <c r="E54" i="5"/>
  <c r="D54" i="5"/>
  <c r="C54" i="5"/>
  <c r="B54" i="5"/>
  <c r="A54" i="5"/>
  <c r="H53" i="5"/>
  <c r="G53" i="5"/>
  <c r="F53" i="5"/>
  <c r="W6" i="5" s="1"/>
  <c r="AY6" i="5" s="1"/>
  <c r="E53" i="5"/>
  <c r="D53" i="5"/>
  <c r="C53" i="5"/>
  <c r="B53" i="5"/>
  <c r="S6" i="5" s="1"/>
  <c r="AU6" i="5" s="1"/>
  <c r="A53" i="5"/>
  <c r="H52" i="5"/>
  <c r="Y19" i="5" s="1"/>
  <c r="BA19" i="5" s="1"/>
  <c r="G52" i="5"/>
  <c r="F52" i="5"/>
  <c r="W19" i="5" s="1"/>
  <c r="AY19" i="5" s="1"/>
  <c r="E52" i="5"/>
  <c r="D52" i="5"/>
  <c r="C52" i="5"/>
  <c r="B52" i="5"/>
  <c r="S19" i="5" s="1"/>
  <c r="AU19" i="5" s="1"/>
  <c r="A52" i="5"/>
  <c r="H51" i="5"/>
  <c r="G51" i="5"/>
  <c r="F51" i="5"/>
  <c r="E51" i="5"/>
  <c r="D51" i="5"/>
  <c r="C51" i="5"/>
  <c r="B51" i="5"/>
  <c r="A51" i="5"/>
  <c r="H50" i="5"/>
  <c r="G50" i="5"/>
  <c r="F50" i="5"/>
  <c r="E50" i="5"/>
  <c r="D50" i="5"/>
  <c r="C50" i="5"/>
  <c r="B50" i="5"/>
  <c r="A50" i="5"/>
  <c r="H49" i="5"/>
  <c r="G49" i="5"/>
  <c r="F49" i="5"/>
  <c r="E49" i="5"/>
  <c r="D49" i="5"/>
  <c r="C49" i="5"/>
  <c r="B49" i="5"/>
  <c r="A49" i="5"/>
  <c r="H48" i="5"/>
  <c r="G48" i="5"/>
  <c r="F48" i="5"/>
  <c r="E48" i="5"/>
  <c r="D48" i="5"/>
  <c r="C48" i="5"/>
  <c r="B48" i="5"/>
  <c r="A48" i="5"/>
  <c r="H47" i="5"/>
  <c r="G47" i="5"/>
  <c r="F47" i="5"/>
  <c r="E47" i="5"/>
  <c r="D47" i="5"/>
  <c r="C47" i="5"/>
  <c r="B47" i="5"/>
  <c r="A47" i="5"/>
  <c r="H46" i="5"/>
  <c r="G46" i="5"/>
  <c r="F46" i="5"/>
  <c r="E46" i="5"/>
  <c r="D46" i="5"/>
  <c r="C46" i="5"/>
  <c r="B46" i="5"/>
  <c r="A46" i="5"/>
  <c r="H45" i="5"/>
  <c r="G45" i="5"/>
  <c r="F45" i="5"/>
  <c r="E45" i="5"/>
  <c r="D45" i="5"/>
  <c r="C45" i="5"/>
  <c r="B45" i="5"/>
  <c r="A45" i="5"/>
  <c r="H44" i="5"/>
  <c r="G44" i="5"/>
  <c r="F44" i="5"/>
  <c r="E44" i="5"/>
  <c r="D44" i="5"/>
  <c r="C44" i="5"/>
  <c r="B44" i="5"/>
  <c r="A44" i="5"/>
  <c r="H43" i="5"/>
  <c r="G43" i="5"/>
  <c r="F43" i="5"/>
  <c r="E43" i="5"/>
  <c r="D43" i="5"/>
  <c r="C43" i="5"/>
  <c r="B43" i="5"/>
  <c r="A43" i="5"/>
  <c r="H42" i="5"/>
  <c r="G42" i="5"/>
  <c r="F42" i="5"/>
  <c r="E42" i="5"/>
  <c r="D42" i="5"/>
  <c r="C42" i="5"/>
  <c r="B42" i="5"/>
  <c r="A42" i="5"/>
  <c r="H41" i="5"/>
  <c r="G41" i="5"/>
  <c r="F41" i="5"/>
  <c r="W5" i="5" s="1"/>
  <c r="AY5" i="5" s="1"/>
  <c r="E41" i="5"/>
  <c r="D41" i="5"/>
  <c r="C41" i="5"/>
  <c r="B41" i="5"/>
  <c r="S5" i="5" s="1"/>
  <c r="AU5" i="5" s="1"/>
  <c r="A41" i="5"/>
  <c r="H40" i="5"/>
  <c r="Y18" i="5" s="1"/>
  <c r="BA18" i="5" s="1"/>
  <c r="G40" i="5"/>
  <c r="F40" i="5"/>
  <c r="W18" i="5" s="1"/>
  <c r="AY18" i="5" s="1"/>
  <c r="E40" i="5"/>
  <c r="D40" i="5"/>
  <c r="U18" i="5" s="1"/>
  <c r="AW18" i="5" s="1"/>
  <c r="C40" i="5"/>
  <c r="B40" i="5"/>
  <c r="S18" i="5" s="1"/>
  <c r="AU18" i="5" s="1"/>
  <c r="A40" i="5"/>
  <c r="H39" i="5"/>
  <c r="G39" i="5"/>
  <c r="F39" i="5"/>
  <c r="E39" i="5"/>
  <c r="D39" i="5"/>
  <c r="C39" i="5"/>
  <c r="B39" i="5"/>
  <c r="A39" i="5"/>
  <c r="H38" i="5"/>
  <c r="G38" i="5"/>
  <c r="F38" i="5"/>
  <c r="E38" i="5"/>
  <c r="D38" i="5"/>
  <c r="C38" i="5"/>
  <c r="B38" i="5"/>
  <c r="A38" i="5"/>
  <c r="H37" i="5"/>
  <c r="G37" i="5"/>
  <c r="F37" i="5"/>
  <c r="E37" i="5"/>
  <c r="D37" i="5"/>
  <c r="C37" i="5"/>
  <c r="B37" i="5"/>
  <c r="A37" i="5"/>
  <c r="H36" i="5"/>
  <c r="G36" i="5"/>
  <c r="F36" i="5"/>
  <c r="E36" i="5"/>
  <c r="D36" i="5"/>
  <c r="C36" i="5"/>
  <c r="B36" i="5"/>
  <c r="A36" i="5"/>
  <c r="H35" i="5"/>
  <c r="G35" i="5"/>
  <c r="F35" i="5"/>
  <c r="E35" i="5"/>
  <c r="D35" i="5"/>
  <c r="C35" i="5"/>
  <c r="B35" i="5"/>
  <c r="A35" i="5"/>
  <c r="H34" i="5"/>
  <c r="G34" i="5"/>
  <c r="F34" i="5"/>
  <c r="E34" i="5"/>
  <c r="D34" i="5"/>
  <c r="C34" i="5"/>
  <c r="B34" i="5"/>
  <c r="A34" i="5"/>
  <c r="H33" i="5"/>
  <c r="G33" i="5"/>
  <c r="F33" i="5"/>
  <c r="E33" i="5"/>
  <c r="D33" i="5"/>
  <c r="C33" i="5"/>
  <c r="B33" i="5"/>
  <c r="A33" i="5"/>
  <c r="H32" i="5"/>
  <c r="G32" i="5"/>
  <c r="F32" i="5"/>
  <c r="E32" i="5"/>
  <c r="D32" i="5"/>
  <c r="C32" i="5"/>
  <c r="B32" i="5"/>
  <c r="A32" i="5"/>
  <c r="H31" i="5"/>
  <c r="G31" i="5"/>
  <c r="F31" i="5"/>
  <c r="E31" i="5"/>
  <c r="D31" i="5"/>
  <c r="C31" i="5"/>
  <c r="B31" i="5"/>
  <c r="A31" i="5"/>
  <c r="H30" i="5"/>
  <c r="G30" i="5"/>
  <c r="F30" i="5"/>
  <c r="E30" i="5"/>
  <c r="D30" i="5"/>
  <c r="C30" i="5"/>
  <c r="B30" i="5"/>
  <c r="A30" i="5"/>
  <c r="H29" i="5"/>
  <c r="G29" i="5"/>
  <c r="F29" i="5"/>
  <c r="W4" i="5" s="1"/>
  <c r="AY4" i="5" s="1"/>
  <c r="E29" i="5"/>
  <c r="D29" i="5"/>
  <c r="C29" i="5"/>
  <c r="T4" i="5" s="1"/>
  <c r="AV4" i="5" s="1"/>
  <c r="B29" i="5"/>
  <c r="S4" i="5" s="1"/>
  <c r="AU4" i="5" s="1"/>
  <c r="A29" i="5"/>
  <c r="H28" i="5"/>
  <c r="Y17" i="5" s="1"/>
  <c r="BA17" i="5" s="1"/>
  <c r="G28" i="5"/>
  <c r="F28" i="5"/>
  <c r="W17" i="5" s="1"/>
  <c r="AY17" i="5" s="1"/>
  <c r="E28" i="5"/>
  <c r="D28" i="5"/>
  <c r="U17" i="5" s="1"/>
  <c r="AW17" i="5" s="1"/>
  <c r="C28" i="5"/>
  <c r="B28" i="5"/>
  <c r="S17" i="5" s="1"/>
  <c r="AU17" i="5" s="1"/>
  <c r="A28" i="5"/>
  <c r="R17" i="5" s="1"/>
  <c r="AT17" i="5" s="1"/>
  <c r="H27" i="5"/>
  <c r="G27" i="5"/>
  <c r="F27" i="5"/>
  <c r="E27" i="5"/>
  <c r="D27" i="5"/>
  <c r="C27" i="5"/>
  <c r="B27" i="5"/>
  <c r="A27" i="5"/>
  <c r="H26" i="5"/>
  <c r="G26" i="5"/>
  <c r="F26" i="5"/>
  <c r="E26" i="5"/>
  <c r="D26" i="5"/>
  <c r="C26" i="5"/>
  <c r="B26" i="5"/>
  <c r="A26" i="5"/>
  <c r="H25" i="5"/>
  <c r="G25" i="5"/>
  <c r="F25" i="5"/>
  <c r="E25" i="5"/>
  <c r="D25" i="5"/>
  <c r="C25" i="5"/>
  <c r="B25" i="5"/>
  <c r="A25" i="5"/>
  <c r="AA24" i="5"/>
  <c r="Z24" i="5"/>
  <c r="Y24" i="5"/>
  <c r="BA24" i="5" s="1"/>
  <c r="X24" i="5"/>
  <c r="AZ24" i="5" s="1"/>
  <c r="V24" i="5"/>
  <c r="AX24" i="5" s="1"/>
  <c r="R24" i="5"/>
  <c r="AT24" i="5" s="1"/>
  <c r="H24" i="5"/>
  <c r="G24" i="5"/>
  <c r="F24" i="5"/>
  <c r="E24" i="5"/>
  <c r="D24" i="5"/>
  <c r="C24" i="5"/>
  <c r="B24" i="5"/>
  <c r="A24" i="5"/>
  <c r="AA23" i="5"/>
  <c r="Z23" i="5"/>
  <c r="Y23" i="5"/>
  <c r="BA23" i="5" s="1"/>
  <c r="X23" i="5"/>
  <c r="AZ23" i="5" s="1"/>
  <c r="W23" i="5"/>
  <c r="AY23" i="5" s="1"/>
  <c r="V23" i="5"/>
  <c r="AX23" i="5" s="1"/>
  <c r="U23" i="5"/>
  <c r="AW23" i="5" s="1"/>
  <c r="T23" i="5"/>
  <c r="AV23" i="5" s="1"/>
  <c r="R23" i="5"/>
  <c r="AT23" i="5" s="1"/>
  <c r="H23" i="5"/>
  <c r="G23" i="5"/>
  <c r="F23" i="5"/>
  <c r="E23" i="5"/>
  <c r="D23" i="5"/>
  <c r="C23" i="5"/>
  <c r="B23" i="5"/>
  <c r="A23" i="5"/>
  <c r="V22" i="5"/>
  <c r="AX22" i="5" s="1"/>
  <c r="U22" i="5"/>
  <c r="AW22" i="5" s="1"/>
  <c r="T22" i="5"/>
  <c r="AV22" i="5" s="1"/>
  <c r="S22" i="5"/>
  <c r="AU22" i="5" s="1"/>
  <c r="R22" i="5"/>
  <c r="AT22" i="5" s="1"/>
  <c r="H22" i="5"/>
  <c r="G22" i="5"/>
  <c r="F22" i="5"/>
  <c r="E22" i="5"/>
  <c r="D22" i="5"/>
  <c r="C22" i="5"/>
  <c r="B22" i="5"/>
  <c r="A22" i="5"/>
  <c r="Y21" i="5"/>
  <c r="BA21" i="5" s="1"/>
  <c r="X21" i="5"/>
  <c r="AZ21" i="5" s="1"/>
  <c r="W21" i="5"/>
  <c r="AY21" i="5" s="1"/>
  <c r="V21" i="5"/>
  <c r="AX21" i="5" s="1"/>
  <c r="U21" i="5"/>
  <c r="AW21" i="5" s="1"/>
  <c r="R21" i="5"/>
  <c r="AT21" i="5" s="1"/>
  <c r="H21" i="5"/>
  <c r="G21" i="5"/>
  <c r="F21" i="5"/>
  <c r="E21" i="5"/>
  <c r="D21" i="5"/>
  <c r="C21" i="5"/>
  <c r="B21" i="5"/>
  <c r="A21" i="5"/>
  <c r="X20" i="5"/>
  <c r="AZ20" i="5" s="1"/>
  <c r="T20" i="5"/>
  <c r="AV20" i="5" s="1"/>
  <c r="R20" i="5"/>
  <c r="AT20" i="5" s="1"/>
  <c r="H20" i="5"/>
  <c r="G20" i="5"/>
  <c r="F20" i="5"/>
  <c r="E20" i="5"/>
  <c r="D20" i="5"/>
  <c r="C20" i="5"/>
  <c r="B20" i="5"/>
  <c r="A20" i="5"/>
  <c r="AA19" i="5"/>
  <c r="X19" i="5"/>
  <c r="AZ19" i="5" s="1"/>
  <c r="V19" i="5"/>
  <c r="AX19" i="5" s="1"/>
  <c r="U19" i="5"/>
  <c r="AW19" i="5" s="1"/>
  <c r="T19" i="5"/>
  <c r="AV19" i="5" s="1"/>
  <c r="R19" i="5"/>
  <c r="AT19" i="5" s="1"/>
  <c r="H19" i="5"/>
  <c r="G19" i="5"/>
  <c r="F19" i="5"/>
  <c r="E19" i="5"/>
  <c r="D19" i="5"/>
  <c r="C19" i="5"/>
  <c r="B19" i="5"/>
  <c r="A19" i="5"/>
  <c r="X18" i="5"/>
  <c r="AZ18" i="5" s="1"/>
  <c r="V18" i="5"/>
  <c r="AX18" i="5" s="1"/>
  <c r="T18" i="5"/>
  <c r="AV18" i="5" s="1"/>
  <c r="R18" i="5"/>
  <c r="AT18" i="5" s="1"/>
  <c r="H18" i="5"/>
  <c r="G18" i="5"/>
  <c r="F18" i="5"/>
  <c r="E18" i="5"/>
  <c r="D18" i="5"/>
  <c r="C18" i="5"/>
  <c r="B18" i="5"/>
  <c r="A18" i="5"/>
  <c r="X17" i="5"/>
  <c r="AZ17" i="5" s="1"/>
  <c r="V17" i="5"/>
  <c r="AX17" i="5" s="1"/>
  <c r="T17" i="5"/>
  <c r="AV17" i="5" s="1"/>
  <c r="H17" i="5"/>
  <c r="Y16" i="5" s="1"/>
  <c r="BA16" i="5" s="1"/>
  <c r="G17" i="5"/>
  <c r="X16" i="5" s="1"/>
  <c r="AZ16" i="5" s="1"/>
  <c r="F17" i="5"/>
  <c r="W16" i="5" s="1"/>
  <c r="AY16" i="5" s="1"/>
  <c r="E17" i="5"/>
  <c r="D17" i="5"/>
  <c r="U16" i="5" s="1"/>
  <c r="AW16" i="5" s="1"/>
  <c r="C17" i="5"/>
  <c r="T16" i="5" s="1"/>
  <c r="AV16" i="5" s="1"/>
  <c r="B17" i="5"/>
  <c r="S16" i="5" s="1"/>
  <c r="AU16" i="5" s="1"/>
  <c r="A17" i="5"/>
  <c r="R16" i="5" s="1"/>
  <c r="AT16" i="5" s="1"/>
  <c r="Z16" i="5"/>
  <c r="V16" i="5"/>
  <c r="AX16" i="5" s="1"/>
  <c r="H16" i="5"/>
  <c r="G16" i="5"/>
  <c r="F16" i="5"/>
  <c r="E16" i="5"/>
  <c r="D16" i="5"/>
  <c r="C16" i="5"/>
  <c r="B16" i="5"/>
  <c r="A16" i="5"/>
  <c r="X15" i="5"/>
  <c r="AZ15" i="5" s="1"/>
  <c r="AA15" i="5"/>
  <c r="Z15" i="5"/>
  <c r="H15" i="5"/>
  <c r="Y15" i="5" s="1"/>
  <c r="BA15" i="5" s="1"/>
  <c r="G15" i="5"/>
  <c r="F15" i="5"/>
  <c r="W15" i="5" s="1"/>
  <c r="AY15" i="5" s="1"/>
  <c r="E15" i="5"/>
  <c r="V15" i="5" s="1"/>
  <c r="AX15" i="5" s="1"/>
  <c r="D15" i="5"/>
  <c r="U15" i="5" s="1"/>
  <c r="AW15" i="5" s="1"/>
  <c r="C15" i="5"/>
  <c r="T15" i="5" s="1"/>
  <c r="AV15" i="5" s="1"/>
  <c r="B15" i="5"/>
  <c r="S15" i="5" s="1"/>
  <c r="AU15" i="5" s="1"/>
  <c r="A15" i="5"/>
  <c r="R15" i="5" s="1"/>
  <c r="AT15" i="5" s="1"/>
  <c r="AA14" i="5"/>
  <c r="Z14" i="5"/>
  <c r="H14" i="5"/>
  <c r="Y38" i="5" s="1"/>
  <c r="G14" i="5"/>
  <c r="X38" i="5" s="1"/>
  <c r="F14" i="5"/>
  <c r="W38" i="5" s="1"/>
  <c r="E14" i="5"/>
  <c r="V38" i="5" s="1"/>
  <c r="D14" i="5"/>
  <c r="U38" i="5" s="1"/>
  <c r="C14" i="5"/>
  <c r="T38" i="5" s="1"/>
  <c r="B14" i="5"/>
  <c r="S38" i="5" s="1"/>
  <c r="A14" i="5"/>
  <c r="R38" i="5" s="1"/>
  <c r="H13" i="5"/>
  <c r="Y37" i="5" s="1"/>
  <c r="G13" i="5"/>
  <c r="X37" i="5" s="1"/>
  <c r="F13" i="5"/>
  <c r="W37" i="5" s="1"/>
  <c r="E13" i="5"/>
  <c r="V37" i="5" s="1"/>
  <c r="D13" i="5"/>
  <c r="U37" i="5" s="1"/>
  <c r="C13" i="5"/>
  <c r="T37" i="5" s="1"/>
  <c r="B13" i="5"/>
  <c r="S37" i="5" s="1"/>
  <c r="A13" i="5"/>
  <c r="R37" i="5" s="1"/>
  <c r="H12" i="5"/>
  <c r="Y3" i="5" s="1"/>
  <c r="BA3" i="5" s="1"/>
  <c r="G12" i="5"/>
  <c r="X36" i="5" s="1"/>
  <c r="F12" i="5"/>
  <c r="W36" i="5" s="1"/>
  <c r="E12" i="5"/>
  <c r="V3" i="5" s="1"/>
  <c r="D12" i="5"/>
  <c r="U3" i="5" s="1"/>
  <c r="AW3" i="5" s="1"/>
  <c r="C12" i="5"/>
  <c r="T36" i="5" s="1"/>
  <c r="B12" i="5"/>
  <c r="S36" i="5" s="1"/>
  <c r="A12" i="5"/>
  <c r="R36" i="5" s="1"/>
  <c r="BO11" i="5"/>
  <c r="BN11" i="5"/>
  <c r="BM11" i="5"/>
  <c r="BL11" i="5"/>
  <c r="BK11" i="5"/>
  <c r="BJ11" i="5"/>
  <c r="BI11" i="5"/>
  <c r="BH11" i="5"/>
  <c r="BG11" i="5"/>
  <c r="BF11" i="5"/>
  <c r="BE11" i="5"/>
  <c r="BD11" i="5"/>
  <c r="H11" i="5"/>
  <c r="Y35" i="5" s="1"/>
  <c r="G11" i="5"/>
  <c r="X35" i="5" s="1"/>
  <c r="F11" i="5"/>
  <c r="W35" i="5" s="1"/>
  <c r="E11" i="5"/>
  <c r="V35" i="5" s="1"/>
  <c r="D11" i="5"/>
  <c r="U35" i="5" s="1"/>
  <c r="C11" i="5"/>
  <c r="T35" i="5" s="1"/>
  <c r="B11" i="5"/>
  <c r="S35" i="5" s="1"/>
  <c r="A11" i="5"/>
  <c r="R35" i="5" s="1"/>
  <c r="Z10" i="5"/>
  <c r="BB10" i="5" s="1"/>
  <c r="H10" i="5"/>
  <c r="Y34" i="5" s="1"/>
  <c r="G10" i="5"/>
  <c r="X34" i="5" s="1"/>
  <c r="F10" i="5"/>
  <c r="W34" i="5" s="1"/>
  <c r="E10" i="5"/>
  <c r="V34" i="5" s="1"/>
  <c r="D10" i="5"/>
  <c r="U34" i="5" s="1"/>
  <c r="C10" i="5"/>
  <c r="T34" i="5" s="1"/>
  <c r="B10" i="5"/>
  <c r="S34" i="5" s="1"/>
  <c r="A10" i="5"/>
  <c r="R34" i="5" s="1"/>
  <c r="H9" i="5"/>
  <c r="Y33" i="5" s="1"/>
  <c r="G9" i="5"/>
  <c r="X33" i="5" s="1"/>
  <c r="F9" i="5"/>
  <c r="W33" i="5" s="1"/>
  <c r="E9" i="5"/>
  <c r="V33" i="5" s="1"/>
  <c r="D9" i="5"/>
  <c r="U33" i="5" s="1"/>
  <c r="C9" i="5"/>
  <c r="T33" i="5" s="1"/>
  <c r="B9" i="5"/>
  <c r="S33" i="5" s="1"/>
  <c r="A9" i="5"/>
  <c r="R33" i="5" s="1"/>
  <c r="AA8" i="5"/>
  <c r="Z8" i="5"/>
  <c r="Y8" i="5"/>
  <c r="BA8" i="5" s="1"/>
  <c r="X8" i="5"/>
  <c r="AZ8" i="5" s="1"/>
  <c r="V8" i="5"/>
  <c r="AX8" i="5" s="1"/>
  <c r="U8" i="5"/>
  <c r="AW8" i="5" s="1"/>
  <c r="T8" i="5"/>
  <c r="AV8" i="5" s="1"/>
  <c r="S8" i="5"/>
  <c r="AU8" i="5" s="1"/>
  <c r="R8" i="5"/>
  <c r="AT8" i="5" s="1"/>
  <c r="H8" i="5"/>
  <c r="Y32" i="5" s="1"/>
  <c r="G8" i="5"/>
  <c r="X32" i="5" s="1"/>
  <c r="F8" i="5"/>
  <c r="W32" i="5" s="1"/>
  <c r="E8" i="5"/>
  <c r="V32" i="5" s="1"/>
  <c r="D8" i="5"/>
  <c r="U32" i="5" s="1"/>
  <c r="C8" i="5"/>
  <c r="T32" i="5" s="1"/>
  <c r="B8" i="5"/>
  <c r="S32" i="5" s="1"/>
  <c r="A8" i="5"/>
  <c r="R32" i="5" s="1"/>
  <c r="Z7" i="5"/>
  <c r="Y7" i="5"/>
  <c r="BA7" i="5" s="1"/>
  <c r="X7" i="5"/>
  <c r="AZ7" i="5" s="1"/>
  <c r="V7" i="5"/>
  <c r="AX7" i="5" s="1"/>
  <c r="U7" i="5"/>
  <c r="AW7" i="5" s="1"/>
  <c r="T7" i="5"/>
  <c r="AV7" i="5" s="1"/>
  <c r="R7" i="5"/>
  <c r="AT7" i="5" s="1"/>
  <c r="H7" i="5"/>
  <c r="Y31" i="5" s="1"/>
  <c r="G7" i="5"/>
  <c r="X31" i="5" s="1"/>
  <c r="F7" i="5"/>
  <c r="W31" i="5" s="1"/>
  <c r="E7" i="5"/>
  <c r="V31" i="5" s="1"/>
  <c r="D7" i="5"/>
  <c r="U31" i="5" s="1"/>
  <c r="C7" i="5"/>
  <c r="T31" i="5" s="1"/>
  <c r="A7" i="5"/>
  <c r="R31" i="5" s="1"/>
  <c r="Z6" i="5"/>
  <c r="Y6" i="5"/>
  <c r="BA6" i="5" s="1"/>
  <c r="X6" i="5"/>
  <c r="AZ6" i="5" s="1"/>
  <c r="V6" i="5"/>
  <c r="AX6" i="5" s="1"/>
  <c r="U6" i="5"/>
  <c r="AW6" i="5" s="1"/>
  <c r="T6" i="5"/>
  <c r="AV6" i="5" s="1"/>
  <c r="R6" i="5"/>
  <c r="AT6" i="5" s="1"/>
  <c r="H6" i="5"/>
  <c r="Y30" i="5" s="1"/>
  <c r="G6" i="5"/>
  <c r="X30" i="5" s="1"/>
  <c r="F6" i="5"/>
  <c r="W30" i="5" s="1"/>
  <c r="E6" i="5"/>
  <c r="V30" i="5" s="1"/>
  <c r="D6" i="5"/>
  <c r="U30" i="5" s="1"/>
  <c r="C6" i="5"/>
  <c r="T30" i="5" s="1"/>
  <c r="A6" i="5"/>
  <c r="R30" i="5" s="1"/>
  <c r="AA5" i="5"/>
  <c r="Z5" i="5"/>
  <c r="Y5" i="5"/>
  <c r="BA5" i="5" s="1"/>
  <c r="X5" i="5"/>
  <c r="AZ5" i="5" s="1"/>
  <c r="V5" i="5"/>
  <c r="AX5" i="5" s="1"/>
  <c r="U5" i="5"/>
  <c r="AW5" i="5" s="1"/>
  <c r="T5" i="5"/>
  <c r="AV5" i="5" s="1"/>
  <c r="R5" i="5"/>
  <c r="AT5" i="5" s="1"/>
  <c r="H5" i="5"/>
  <c r="Y14" i="5" s="1"/>
  <c r="BA14" i="5" s="1"/>
  <c r="G5" i="5"/>
  <c r="X14" i="5" s="1"/>
  <c r="F5" i="5"/>
  <c r="W14" i="5" s="1"/>
  <c r="AY14" i="5" s="1"/>
  <c r="E5" i="5"/>
  <c r="V14" i="5" s="1"/>
  <c r="AX14" i="5" s="1"/>
  <c r="D5" i="5"/>
  <c r="U14" i="5" s="1"/>
  <c r="AW14" i="5" s="1"/>
  <c r="C5" i="5"/>
  <c r="T14" i="5" s="1"/>
  <c r="AV14" i="5" s="1"/>
  <c r="A5" i="5"/>
  <c r="R14" i="5" s="1"/>
  <c r="AT14" i="5" s="1"/>
  <c r="Z4" i="5"/>
  <c r="Y4" i="5"/>
  <c r="BA4" i="5" s="1"/>
  <c r="X4" i="5"/>
  <c r="AZ4" i="5" s="1"/>
  <c r="V4" i="5"/>
  <c r="AX4" i="5" s="1"/>
  <c r="U4" i="5"/>
  <c r="AW4" i="5" s="1"/>
  <c r="R4" i="5"/>
  <c r="AT4" i="5" s="1"/>
  <c r="H4" i="5"/>
  <c r="Y13" i="5" s="1"/>
  <c r="BA13" i="5" s="1"/>
  <c r="G4" i="5"/>
  <c r="X13" i="5" s="1"/>
  <c r="F4" i="5"/>
  <c r="W13" i="5" s="1"/>
  <c r="AY13" i="5" s="1"/>
  <c r="E4" i="5"/>
  <c r="V13" i="5" s="1"/>
  <c r="AX13" i="5" s="1"/>
  <c r="D4" i="5"/>
  <c r="U13" i="5" s="1"/>
  <c r="AW13" i="5" s="1"/>
  <c r="C4" i="5"/>
  <c r="T13" i="5" s="1"/>
  <c r="AV13" i="5" s="1"/>
  <c r="B4" i="5"/>
  <c r="S13" i="5" s="1"/>
  <c r="AU13" i="5" s="1"/>
  <c r="A4" i="5"/>
  <c r="R13" i="5" s="1"/>
  <c r="AT13" i="5" s="1"/>
  <c r="S3" i="5"/>
  <c r="AU3" i="5" s="1"/>
  <c r="R3" i="5"/>
  <c r="AT3" i="5" s="1"/>
  <c r="AA12" i="5"/>
  <c r="Z12" i="5"/>
  <c r="H3" i="5"/>
  <c r="Y12" i="5" s="1"/>
  <c r="BA12" i="5" s="1"/>
  <c r="G3" i="5"/>
  <c r="X12" i="5" s="1"/>
  <c r="F3" i="5"/>
  <c r="W12" i="5" s="1"/>
  <c r="AY12" i="5" s="1"/>
  <c r="E3" i="5"/>
  <c r="V12" i="5" s="1"/>
  <c r="AX12" i="5" s="1"/>
  <c r="D3" i="5"/>
  <c r="U12" i="5" s="1"/>
  <c r="AW12" i="5" s="1"/>
  <c r="C3" i="5"/>
  <c r="T12" i="5" s="1"/>
  <c r="AV12" i="5" s="1"/>
  <c r="A3" i="5"/>
  <c r="R12" i="5" s="1"/>
  <c r="AT12" i="5" s="1"/>
  <c r="BK2" i="5"/>
  <c r="BJ2" i="5"/>
  <c r="BI2" i="5"/>
  <c r="BH2" i="5"/>
  <c r="BG2" i="5"/>
  <c r="BF2" i="5"/>
  <c r="BE2" i="5"/>
  <c r="BD2" i="5"/>
  <c r="AA2" i="5"/>
  <c r="BC2" i="5" s="1"/>
  <c r="AA11" i="5"/>
  <c r="BC11" i="5" s="1"/>
  <c r="Z11" i="5"/>
  <c r="BB11" i="5" s="1"/>
  <c r="H2" i="5"/>
  <c r="Y11" i="5" s="1"/>
  <c r="BA11" i="5" s="1"/>
  <c r="G2" i="5"/>
  <c r="X2" i="5" s="1"/>
  <c r="AZ2" i="5" s="1"/>
  <c r="F2" i="5"/>
  <c r="W2" i="5" s="1"/>
  <c r="AY2" i="5" s="1"/>
  <c r="E2" i="5"/>
  <c r="V2" i="5" s="1"/>
  <c r="AX2" i="5" s="1"/>
  <c r="D2" i="5"/>
  <c r="U2" i="5" s="1"/>
  <c r="AW2" i="5" s="1"/>
  <c r="C2" i="5"/>
  <c r="T2" i="5" s="1"/>
  <c r="AV2" i="5" s="1"/>
  <c r="A2" i="5"/>
  <c r="R11" i="5" s="1"/>
  <c r="AT11" i="5" s="1"/>
  <c r="Z1" i="5"/>
  <c r="B1" i="5"/>
  <c r="S1" i="5" s="1"/>
  <c r="AU1" i="5" s="1"/>
  <c r="BD11" i="4"/>
  <c r="BD27" i="4" s="1"/>
  <c r="BE11" i="4"/>
  <c r="BE27" i="4" s="1"/>
  <c r="BF11" i="4"/>
  <c r="BF27" i="4" s="1"/>
  <c r="BG11" i="4"/>
  <c r="BG27" i="4" s="1"/>
  <c r="BH11" i="4"/>
  <c r="BH27" i="4" s="1"/>
  <c r="BI11" i="4"/>
  <c r="BI27" i="4" s="1"/>
  <c r="BJ11" i="4"/>
  <c r="BJ27" i="4" s="1"/>
  <c r="BK11" i="4"/>
  <c r="BK27" i="4" s="1"/>
  <c r="BL11" i="4"/>
  <c r="BL27" i="4" s="1"/>
  <c r="BM11" i="4"/>
  <c r="BM27" i="4" s="1"/>
  <c r="BN11" i="4"/>
  <c r="BN27" i="4" s="1"/>
  <c r="BO11" i="4"/>
  <c r="BO27" i="4" s="1"/>
  <c r="A6" i="1"/>
  <c r="A7" i="1"/>
  <c r="A8" i="1"/>
  <c r="A9" i="1"/>
  <c r="A10" i="1"/>
  <c r="A11" i="1"/>
  <c r="A12" i="1"/>
  <c r="A12" i="4" s="1"/>
  <c r="R3" i="4" s="1"/>
  <c r="AT3" i="4" s="1"/>
  <c r="A13" i="1"/>
  <c r="A14" i="1"/>
  <c r="A15" i="1"/>
  <c r="A16" i="1"/>
  <c r="A17" i="1"/>
  <c r="A18" i="1"/>
  <c r="A19" i="1"/>
  <c r="A20" i="1"/>
  <c r="A20" i="4" s="1"/>
  <c r="A21" i="1"/>
  <c r="A22" i="1"/>
  <c r="A23" i="1"/>
  <c r="A24" i="1"/>
  <c r="A25" i="1"/>
  <c r="A26" i="1"/>
  <c r="A27" i="1"/>
  <c r="A28" i="1"/>
  <c r="A28" i="4" s="1"/>
  <c r="R17" i="4" s="1"/>
  <c r="AT17" i="4" s="1"/>
  <c r="AT33" i="4" s="1"/>
  <c r="A29" i="1"/>
  <c r="A30" i="1"/>
  <c r="A31" i="1"/>
  <c r="A32" i="1"/>
  <c r="A33" i="1"/>
  <c r="A34" i="1"/>
  <c r="A35" i="1"/>
  <c r="A36" i="1"/>
  <c r="A36" i="4" s="1"/>
  <c r="A37" i="1"/>
  <c r="A38" i="1"/>
  <c r="A39" i="1"/>
  <c r="A40" i="1"/>
  <c r="A41" i="1"/>
  <c r="A42" i="1"/>
  <c r="A43" i="1"/>
  <c r="A44" i="1"/>
  <c r="A44" i="4" s="1"/>
  <c r="A45" i="1"/>
  <c r="A46" i="1"/>
  <c r="A47" i="1"/>
  <c r="A48" i="1"/>
  <c r="A49" i="1"/>
  <c r="A50" i="1"/>
  <c r="A51" i="1"/>
  <c r="A52" i="1"/>
  <c r="A52" i="4" s="1"/>
  <c r="R19" i="4" s="1"/>
  <c r="AT19" i="4" s="1"/>
  <c r="AT35" i="4" s="1"/>
  <c r="A53" i="1"/>
  <c r="A54" i="1"/>
  <c r="A55" i="1"/>
  <c r="A56" i="1"/>
  <c r="A57" i="1"/>
  <c r="A58" i="1"/>
  <c r="A59" i="1"/>
  <c r="A60" i="1"/>
  <c r="A60" i="4" s="1"/>
  <c r="A61" i="1"/>
  <c r="A62" i="1"/>
  <c r="A63" i="1"/>
  <c r="A64" i="1"/>
  <c r="A65" i="1"/>
  <c r="A66" i="1"/>
  <c r="A67" i="1"/>
  <c r="A68" i="1"/>
  <c r="A68" i="4" s="1"/>
  <c r="A69" i="1"/>
  <c r="A70" i="1"/>
  <c r="A71" i="1"/>
  <c r="A72" i="1"/>
  <c r="A73" i="1"/>
  <c r="A74" i="1"/>
  <c r="A75" i="1"/>
  <c r="A76" i="1"/>
  <c r="A76" i="4" s="1"/>
  <c r="A77" i="1"/>
  <c r="A78" i="1"/>
  <c r="A79" i="1"/>
  <c r="A80" i="1"/>
  <c r="A81" i="1"/>
  <c r="A82" i="1"/>
  <c r="A83" i="1"/>
  <c r="A84" i="1"/>
  <c r="A84" i="4" s="1"/>
  <c r="R22" i="4" s="1"/>
  <c r="AT22" i="4" s="1"/>
  <c r="AT38" i="4" s="1"/>
  <c r="A85" i="1"/>
  <c r="A86" i="1"/>
  <c r="A5" i="1"/>
  <c r="A4" i="1"/>
  <c r="BD2" i="4"/>
  <c r="BE2" i="4"/>
  <c r="BF2" i="4"/>
  <c r="BG2" i="4"/>
  <c r="BH2" i="4"/>
  <c r="BI2" i="4"/>
  <c r="BJ2" i="4"/>
  <c r="BK2" i="4"/>
  <c r="I1" i="4"/>
  <c r="Z1" i="4" s="1"/>
  <c r="I2" i="4"/>
  <c r="Z2" i="4" s="1"/>
  <c r="BB2" i="4" s="1"/>
  <c r="J2" i="4"/>
  <c r="AA2" i="4" s="1"/>
  <c r="BC2" i="4" s="1"/>
  <c r="I3" i="4"/>
  <c r="Z12" i="4" s="1"/>
  <c r="J3" i="4"/>
  <c r="AA12" i="4" s="1"/>
  <c r="I4" i="4"/>
  <c r="Z13" i="4" s="1"/>
  <c r="J4" i="4"/>
  <c r="AA13" i="4" s="1"/>
  <c r="I5" i="4"/>
  <c r="Z14" i="4" s="1"/>
  <c r="J5" i="4"/>
  <c r="AA14" i="4" s="1"/>
  <c r="I6" i="4"/>
  <c r="Z30" i="4" s="1"/>
  <c r="J6" i="4"/>
  <c r="AA30" i="4" s="1"/>
  <c r="I7" i="4"/>
  <c r="Z31" i="4" s="1"/>
  <c r="J7" i="4"/>
  <c r="AA31" i="4" s="1"/>
  <c r="I8" i="4"/>
  <c r="Z32" i="4" s="1"/>
  <c r="J8" i="4"/>
  <c r="AA32" i="4" s="1"/>
  <c r="I9" i="4"/>
  <c r="Z33" i="4" s="1"/>
  <c r="J9" i="4"/>
  <c r="AA33" i="4" s="1"/>
  <c r="I10" i="4"/>
  <c r="Z34" i="4" s="1"/>
  <c r="J10" i="4"/>
  <c r="AA34" i="4" s="1"/>
  <c r="I11" i="4"/>
  <c r="Z35" i="4" s="1"/>
  <c r="J11" i="4"/>
  <c r="AA35" i="4" s="1"/>
  <c r="I12" i="4"/>
  <c r="Z3" i="4" s="1"/>
  <c r="J12" i="4"/>
  <c r="AA3" i="4" s="1"/>
  <c r="I13" i="4"/>
  <c r="Z37" i="4" s="1"/>
  <c r="J13" i="4"/>
  <c r="AA37" i="4" s="1"/>
  <c r="I14" i="4"/>
  <c r="Z38" i="4" s="1"/>
  <c r="J14" i="4"/>
  <c r="AA38" i="4" s="1"/>
  <c r="I15" i="4"/>
  <c r="Z15" i="4" s="1"/>
  <c r="J15" i="4"/>
  <c r="AA15" i="4" s="1"/>
  <c r="I16" i="4"/>
  <c r="J16" i="4"/>
  <c r="I17" i="4"/>
  <c r="Z16" i="4" s="1"/>
  <c r="J17" i="4"/>
  <c r="AA16" i="4" s="1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Z17" i="4"/>
  <c r="J28" i="4"/>
  <c r="AA17" i="4" s="1"/>
  <c r="I29" i="4"/>
  <c r="Z4" i="4" s="1"/>
  <c r="J29" i="4"/>
  <c r="AA4" i="4" s="1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Z18" i="4" s="1"/>
  <c r="J40" i="4"/>
  <c r="AA18" i="4" s="1"/>
  <c r="I41" i="4"/>
  <c r="Z5" i="4" s="1"/>
  <c r="J41" i="4"/>
  <c r="AA5" i="4" s="1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Z19" i="4" s="1"/>
  <c r="J52" i="4"/>
  <c r="AA19" i="4" s="1"/>
  <c r="I53" i="4"/>
  <c r="Z6" i="4" s="1"/>
  <c r="J53" i="4"/>
  <c r="AA6" i="4" s="1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Z20" i="4" s="1"/>
  <c r="J64" i="4"/>
  <c r="AA20" i="4" s="1"/>
  <c r="I65" i="4"/>
  <c r="Z7" i="4" s="1"/>
  <c r="J65" i="4"/>
  <c r="AA7" i="4" s="1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Z21" i="4" s="1"/>
  <c r="J80" i="4"/>
  <c r="AA21" i="4" s="1"/>
  <c r="I81" i="4"/>
  <c r="Z8" i="4" s="1"/>
  <c r="J81" i="4"/>
  <c r="AA8" i="4" s="1"/>
  <c r="I82" i="4"/>
  <c r="J82" i="4"/>
  <c r="I83" i="4"/>
  <c r="J83" i="4"/>
  <c r="I84" i="4"/>
  <c r="Z22" i="4" s="1"/>
  <c r="J84" i="4"/>
  <c r="AA22" i="4" s="1"/>
  <c r="I85" i="4"/>
  <c r="Z23" i="4" s="1"/>
  <c r="J85" i="4"/>
  <c r="AA23" i="4" s="1"/>
  <c r="I86" i="4"/>
  <c r="Z24" i="4" s="1"/>
  <c r="J86" i="4"/>
  <c r="AA24" i="4" s="1"/>
  <c r="B1" i="4"/>
  <c r="S1" i="4" s="1"/>
  <c r="AU1" i="4" s="1"/>
  <c r="A2" i="4"/>
  <c r="R2" i="4" s="1"/>
  <c r="AT2" i="4" s="1"/>
  <c r="C2" i="4"/>
  <c r="T2" i="4" s="1"/>
  <c r="AV2" i="4" s="1"/>
  <c r="D2" i="4"/>
  <c r="U2" i="4" s="1"/>
  <c r="AW2" i="4" s="1"/>
  <c r="E2" i="4"/>
  <c r="V11" i="4" s="1"/>
  <c r="AX11" i="4" s="1"/>
  <c r="AX27" i="4" s="1"/>
  <c r="F2" i="4"/>
  <c r="W11" i="4" s="1"/>
  <c r="AY11" i="4" s="1"/>
  <c r="AY27" i="4" s="1"/>
  <c r="G2" i="4"/>
  <c r="X2" i="4" s="1"/>
  <c r="AZ2" i="4" s="1"/>
  <c r="H2" i="4"/>
  <c r="Y2" i="4" s="1"/>
  <c r="BA2" i="4" s="1"/>
  <c r="A3" i="4"/>
  <c r="R12" i="4" s="1"/>
  <c r="AT12" i="4" s="1"/>
  <c r="AT28" i="4" s="1"/>
  <c r="C3" i="4"/>
  <c r="T12" i="4" s="1"/>
  <c r="AV12" i="4" s="1"/>
  <c r="AV28" i="4" s="1"/>
  <c r="D3" i="4"/>
  <c r="U12" i="4" s="1"/>
  <c r="AW12" i="4" s="1"/>
  <c r="AW28" i="4" s="1"/>
  <c r="E3" i="4"/>
  <c r="V12" i="4" s="1"/>
  <c r="AX12" i="4" s="1"/>
  <c r="AX28" i="4" s="1"/>
  <c r="F3" i="4"/>
  <c r="W12" i="4" s="1"/>
  <c r="AY12" i="4" s="1"/>
  <c r="AY28" i="4" s="1"/>
  <c r="G3" i="4"/>
  <c r="X12" i="4" s="1"/>
  <c r="H3" i="4"/>
  <c r="Y12" i="4" s="1"/>
  <c r="BA12" i="4" s="1"/>
  <c r="BA28" i="4" s="1"/>
  <c r="A4" i="4"/>
  <c r="R13" i="4" s="1"/>
  <c r="AT13" i="4" s="1"/>
  <c r="AT29" i="4" s="1"/>
  <c r="B4" i="4"/>
  <c r="S13" i="4" s="1"/>
  <c r="AU13" i="4" s="1"/>
  <c r="AU29" i="4" s="1"/>
  <c r="C4" i="4"/>
  <c r="T13" i="4" s="1"/>
  <c r="AV13" i="4" s="1"/>
  <c r="AV29" i="4" s="1"/>
  <c r="D4" i="4"/>
  <c r="U13" i="4" s="1"/>
  <c r="AW13" i="4" s="1"/>
  <c r="AW29" i="4" s="1"/>
  <c r="E4" i="4"/>
  <c r="V13" i="4" s="1"/>
  <c r="AX13" i="4" s="1"/>
  <c r="AX29" i="4" s="1"/>
  <c r="F4" i="4"/>
  <c r="W13" i="4" s="1"/>
  <c r="AY13" i="4" s="1"/>
  <c r="AY29" i="4" s="1"/>
  <c r="G4" i="4"/>
  <c r="X13" i="4" s="1"/>
  <c r="H4" i="4"/>
  <c r="Y13" i="4" s="1"/>
  <c r="BA13" i="4" s="1"/>
  <c r="BA29" i="4" s="1"/>
  <c r="A5" i="4"/>
  <c r="R14" i="4" s="1"/>
  <c r="AT14" i="4" s="1"/>
  <c r="AT30" i="4" s="1"/>
  <c r="C5" i="4"/>
  <c r="T14" i="4" s="1"/>
  <c r="AV14" i="4" s="1"/>
  <c r="AV30" i="4" s="1"/>
  <c r="D5" i="4"/>
  <c r="U14" i="4" s="1"/>
  <c r="AW14" i="4" s="1"/>
  <c r="AW30" i="4" s="1"/>
  <c r="E5" i="4"/>
  <c r="V14" i="4" s="1"/>
  <c r="AX14" i="4" s="1"/>
  <c r="AX30" i="4" s="1"/>
  <c r="F5" i="4"/>
  <c r="W14" i="4" s="1"/>
  <c r="AY14" i="4" s="1"/>
  <c r="AY30" i="4" s="1"/>
  <c r="G5" i="4"/>
  <c r="X14" i="4" s="1"/>
  <c r="H5" i="4"/>
  <c r="Y14" i="4" s="1"/>
  <c r="BA14" i="4" s="1"/>
  <c r="BA30" i="4" s="1"/>
  <c r="A6" i="4"/>
  <c r="R30" i="4" s="1"/>
  <c r="C6" i="4"/>
  <c r="T30" i="4" s="1"/>
  <c r="D6" i="4"/>
  <c r="U30" i="4" s="1"/>
  <c r="E6" i="4"/>
  <c r="V30" i="4" s="1"/>
  <c r="F6" i="4"/>
  <c r="W30" i="4" s="1"/>
  <c r="G6" i="4"/>
  <c r="X30" i="4" s="1"/>
  <c r="H6" i="4"/>
  <c r="Y30" i="4" s="1"/>
  <c r="A7" i="4"/>
  <c r="R31" i="4" s="1"/>
  <c r="C7" i="4"/>
  <c r="T31" i="4" s="1"/>
  <c r="D7" i="4"/>
  <c r="U31" i="4" s="1"/>
  <c r="E7" i="4"/>
  <c r="V31" i="4" s="1"/>
  <c r="F7" i="4"/>
  <c r="W31" i="4" s="1"/>
  <c r="G7" i="4"/>
  <c r="X31" i="4" s="1"/>
  <c r="H7" i="4"/>
  <c r="Y31" i="4" s="1"/>
  <c r="A8" i="4"/>
  <c r="R32" i="4" s="1"/>
  <c r="B8" i="4"/>
  <c r="S32" i="4" s="1"/>
  <c r="C8" i="4"/>
  <c r="T32" i="4" s="1"/>
  <c r="D8" i="4"/>
  <c r="U32" i="4" s="1"/>
  <c r="E8" i="4"/>
  <c r="V32" i="4" s="1"/>
  <c r="F8" i="4"/>
  <c r="W32" i="4" s="1"/>
  <c r="G8" i="4"/>
  <c r="X32" i="4" s="1"/>
  <c r="H8" i="4"/>
  <c r="Y32" i="4" s="1"/>
  <c r="A9" i="4"/>
  <c r="R33" i="4" s="1"/>
  <c r="B9" i="4"/>
  <c r="S33" i="4" s="1"/>
  <c r="C9" i="4"/>
  <c r="T33" i="4" s="1"/>
  <c r="D9" i="4"/>
  <c r="U33" i="4" s="1"/>
  <c r="E9" i="4"/>
  <c r="V33" i="4" s="1"/>
  <c r="F9" i="4"/>
  <c r="W33" i="4" s="1"/>
  <c r="G9" i="4"/>
  <c r="X33" i="4" s="1"/>
  <c r="H9" i="4"/>
  <c r="Y33" i="4" s="1"/>
  <c r="A10" i="4"/>
  <c r="R34" i="4" s="1"/>
  <c r="B10" i="4"/>
  <c r="S34" i="4" s="1"/>
  <c r="C10" i="4"/>
  <c r="T34" i="4" s="1"/>
  <c r="D10" i="4"/>
  <c r="U34" i="4" s="1"/>
  <c r="E10" i="4"/>
  <c r="V34" i="4" s="1"/>
  <c r="F10" i="4"/>
  <c r="W34" i="4" s="1"/>
  <c r="G10" i="4"/>
  <c r="X34" i="4" s="1"/>
  <c r="H10" i="4"/>
  <c r="Y34" i="4" s="1"/>
  <c r="A11" i="4"/>
  <c r="R35" i="4" s="1"/>
  <c r="B11" i="4"/>
  <c r="S35" i="4" s="1"/>
  <c r="C11" i="4"/>
  <c r="T35" i="4" s="1"/>
  <c r="D11" i="4"/>
  <c r="U35" i="4" s="1"/>
  <c r="E11" i="4"/>
  <c r="V35" i="4" s="1"/>
  <c r="F11" i="4"/>
  <c r="W35" i="4" s="1"/>
  <c r="G11" i="4"/>
  <c r="X35" i="4" s="1"/>
  <c r="H11" i="4"/>
  <c r="Y35" i="4" s="1"/>
  <c r="B12" i="4"/>
  <c r="S3" i="4" s="1"/>
  <c r="AU3" i="4" s="1"/>
  <c r="C12" i="4"/>
  <c r="T3" i="4" s="1"/>
  <c r="AV3" i="4" s="1"/>
  <c r="D12" i="4"/>
  <c r="U3" i="4" s="1"/>
  <c r="AW3" i="4" s="1"/>
  <c r="E12" i="4"/>
  <c r="V3" i="4" s="1"/>
  <c r="F12" i="4"/>
  <c r="W3" i="4" s="1"/>
  <c r="AY3" i="4" s="1"/>
  <c r="G12" i="4"/>
  <c r="X3" i="4" s="1"/>
  <c r="AZ3" i="4" s="1"/>
  <c r="H12" i="4"/>
  <c r="Y3" i="4" s="1"/>
  <c r="BA3" i="4" s="1"/>
  <c r="A13" i="4"/>
  <c r="R37" i="4" s="1"/>
  <c r="B13" i="4"/>
  <c r="S37" i="4" s="1"/>
  <c r="C13" i="4"/>
  <c r="T37" i="4" s="1"/>
  <c r="D13" i="4"/>
  <c r="U37" i="4" s="1"/>
  <c r="E13" i="4"/>
  <c r="V37" i="4" s="1"/>
  <c r="F13" i="4"/>
  <c r="W37" i="4" s="1"/>
  <c r="G13" i="4"/>
  <c r="X37" i="4" s="1"/>
  <c r="H13" i="4"/>
  <c r="Y37" i="4" s="1"/>
  <c r="A14" i="4"/>
  <c r="R38" i="4" s="1"/>
  <c r="B14" i="4"/>
  <c r="S38" i="4" s="1"/>
  <c r="C14" i="4"/>
  <c r="T38" i="4" s="1"/>
  <c r="D14" i="4"/>
  <c r="U38" i="4" s="1"/>
  <c r="E14" i="4"/>
  <c r="V38" i="4" s="1"/>
  <c r="F14" i="4"/>
  <c r="W38" i="4" s="1"/>
  <c r="G14" i="4"/>
  <c r="X38" i="4" s="1"/>
  <c r="H14" i="4"/>
  <c r="Y38" i="4" s="1"/>
  <c r="A15" i="4"/>
  <c r="R15" i="4" s="1"/>
  <c r="AT15" i="4" s="1"/>
  <c r="AT31" i="4" s="1"/>
  <c r="B15" i="4"/>
  <c r="S15" i="4" s="1"/>
  <c r="AU15" i="4" s="1"/>
  <c r="AU31" i="4" s="1"/>
  <c r="C15" i="4"/>
  <c r="T15" i="4" s="1"/>
  <c r="AV15" i="4" s="1"/>
  <c r="AV31" i="4" s="1"/>
  <c r="D15" i="4"/>
  <c r="U15" i="4" s="1"/>
  <c r="AW15" i="4" s="1"/>
  <c r="AW31" i="4" s="1"/>
  <c r="E15" i="4"/>
  <c r="V15" i="4" s="1"/>
  <c r="F15" i="4"/>
  <c r="W15" i="4" s="1"/>
  <c r="AY15" i="4" s="1"/>
  <c r="AY31" i="4" s="1"/>
  <c r="G15" i="4"/>
  <c r="X15" i="4" s="1"/>
  <c r="H15" i="4"/>
  <c r="Y15" i="4" s="1"/>
  <c r="BA15" i="4" s="1"/>
  <c r="BA31" i="4" s="1"/>
  <c r="A16" i="4"/>
  <c r="B16" i="4"/>
  <c r="C16" i="4"/>
  <c r="D16" i="4"/>
  <c r="E16" i="4"/>
  <c r="F16" i="4"/>
  <c r="G16" i="4"/>
  <c r="H16" i="4"/>
  <c r="A17" i="4"/>
  <c r="R16" i="4" s="1"/>
  <c r="AT16" i="4" s="1"/>
  <c r="AT32" i="4" s="1"/>
  <c r="B17" i="4"/>
  <c r="S16" i="4" s="1"/>
  <c r="AU16" i="4" s="1"/>
  <c r="AU32" i="4" s="1"/>
  <c r="C17" i="4"/>
  <c r="T16" i="4" s="1"/>
  <c r="AV16" i="4" s="1"/>
  <c r="AV32" i="4" s="1"/>
  <c r="D17" i="4"/>
  <c r="U16" i="4" s="1"/>
  <c r="AW16" i="4" s="1"/>
  <c r="AW32" i="4" s="1"/>
  <c r="E17" i="4"/>
  <c r="V16" i="4" s="1"/>
  <c r="AX16" i="4" s="1"/>
  <c r="AX32" i="4" s="1"/>
  <c r="F17" i="4"/>
  <c r="W16" i="4" s="1"/>
  <c r="AY16" i="4" s="1"/>
  <c r="AY32" i="4" s="1"/>
  <c r="G17" i="4"/>
  <c r="X16" i="4" s="1"/>
  <c r="H17" i="4"/>
  <c r="Y16" i="4" s="1"/>
  <c r="BA16" i="4" s="1"/>
  <c r="BA32" i="4" s="1"/>
  <c r="A18" i="4"/>
  <c r="B18" i="4"/>
  <c r="C18" i="4"/>
  <c r="D18" i="4"/>
  <c r="E18" i="4"/>
  <c r="F18" i="4"/>
  <c r="G18" i="4"/>
  <c r="H18" i="4"/>
  <c r="A19" i="4"/>
  <c r="B19" i="4"/>
  <c r="C19" i="4"/>
  <c r="D19" i="4"/>
  <c r="E19" i="4"/>
  <c r="F19" i="4"/>
  <c r="G19" i="4"/>
  <c r="H19" i="4"/>
  <c r="B20" i="4"/>
  <c r="C20" i="4"/>
  <c r="D20" i="4"/>
  <c r="E20" i="4"/>
  <c r="F20" i="4"/>
  <c r="G20" i="4"/>
  <c r="H20" i="4"/>
  <c r="A21" i="4"/>
  <c r="B21" i="4"/>
  <c r="C21" i="4"/>
  <c r="D21" i="4"/>
  <c r="E21" i="4"/>
  <c r="F21" i="4"/>
  <c r="G21" i="4"/>
  <c r="H21" i="4"/>
  <c r="A22" i="4"/>
  <c r="B22" i="4"/>
  <c r="C22" i="4"/>
  <c r="D22" i="4"/>
  <c r="E22" i="4"/>
  <c r="F22" i="4"/>
  <c r="G22" i="4"/>
  <c r="H22" i="4"/>
  <c r="A23" i="4"/>
  <c r="B23" i="4"/>
  <c r="C23" i="4"/>
  <c r="D23" i="4"/>
  <c r="E23" i="4"/>
  <c r="F23" i="4"/>
  <c r="G23" i="4"/>
  <c r="H23" i="4"/>
  <c r="A24" i="4"/>
  <c r="B24" i="4"/>
  <c r="C24" i="4"/>
  <c r="D24" i="4"/>
  <c r="E24" i="4"/>
  <c r="F24" i="4"/>
  <c r="G24" i="4"/>
  <c r="H24" i="4"/>
  <c r="A25" i="4"/>
  <c r="B25" i="4"/>
  <c r="C25" i="4"/>
  <c r="D25" i="4"/>
  <c r="E25" i="4"/>
  <c r="F25" i="4"/>
  <c r="G25" i="4"/>
  <c r="H25" i="4"/>
  <c r="A26" i="4"/>
  <c r="B26" i="4"/>
  <c r="C26" i="4"/>
  <c r="D26" i="4"/>
  <c r="E26" i="4"/>
  <c r="F26" i="4"/>
  <c r="G26" i="4"/>
  <c r="H26" i="4"/>
  <c r="A27" i="4"/>
  <c r="B27" i="4"/>
  <c r="C27" i="4"/>
  <c r="D27" i="4"/>
  <c r="E27" i="4"/>
  <c r="F27" i="4"/>
  <c r="G27" i="4"/>
  <c r="H27" i="4"/>
  <c r="B28" i="4"/>
  <c r="S17" i="4" s="1"/>
  <c r="AU17" i="4" s="1"/>
  <c r="AU33" i="4" s="1"/>
  <c r="C28" i="4"/>
  <c r="T17" i="4" s="1"/>
  <c r="AV17" i="4" s="1"/>
  <c r="AV33" i="4" s="1"/>
  <c r="D28" i="4"/>
  <c r="U17" i="4" s="1"/>
  <c r="AW17" i="4" s="1"/>
  <c r="AW33" i="4" s="1"/>
  <c r="E28" i="4"/>
  <c r="V17" i="4" s="1"/>
  <c r="AX17" i="4" s="1"/>
  <c r="AX33" i="4" s="1"/>
  <c r="F28" i="4"/>
  <c r="W17" i="4" s="1"/>
  <c r="AY17" i="4" s="1"/>
  <c r="AY33" i="4" s="1"/>
  <c r="G28" i="4"/>
  <c r="X17" i="4" s="1"/>
  <c r="H28" i="4"/>
  <c r="Y17" i="4" s="1"/>
  <c r="BA17" i="4" s="1"/>
  <c r="BA33" i="4" s="1"/>
  <c r="A29" i="4"/>
  <c r="R4" i="4" s="1"/>
  <c r="AT4" i="4" s="1"/>
  <c r="B29" i="4"/>
  <c r="S4" i="4" s="1"/>
  <c r="AU4" i="4" s="1"/>
  <c r="C29" i="4"/>
  <c r="T4" i="4" s="1"/>
  <c r="AV4" i="4" s="1"/>
  <c r="D29" i="4"/>
  <c r="U4" i="4" s="1"/>
  <c r="AW4" i="4" s="1"/>
  <c r="E29" i="4"/>
  <c r="V4" i="4" s="1"/>
  <c r="F29" i="4"/>
  <c r="W4" i="4" s="1"/>
  <c r="AY4" i="4" s="1"/>
  <c r="G29" i="4"/>
  <c r="X4" i="4" s="1"/>
  <c r="AZ4" i="4" s="1"/>
  <c r="H29" i="4"/>
  <c r="Y4" i="4" s="1"/>
  <c r="BA4" i="4" s="1"/>
  <c r="A30" i="4"/>
  <c r="B30" i="4"/>
  <c r="C30" i="4"/>
  <c r="D30" i="4"/>
  <c r="E30" i="4"/>
  <c r="F30" i="4"/>
  <c r="G30" i="4"/>
  <c r="H30" i="4"/>
  <c r="A31" i="4"/>
  <c r="B31" i="4"/>
  <c r="C31" i="4"/>
  <c r="D31" i="4"/>
  <c r="E31" i="4"/>
  <c r="F31" i="4"/>
  <c r="G31" i="4"/>
  <c r="H31" i="4"/>
  <c r="A32" i="4"/>
  <c r="B32" i="4"/>
  <c r="C32" i="4"/>
  <c r="D32" i="4"/>
  <c r="E32" i="4"/>
  <c r="F32" i="4"/>
  <c r="G32" i="4"/>
  <c r="H32" i="4"/>
  <c r="A33" i="4"/>
  <c r="B33" i="4"/>
  <c r="C33" i="4"/>
  <c r="D33" i="4"/>
  <c r="E33" i="4"/>
  <c r="F33" i="4"/>
  <c r="G33" i="4"/>
  <c r="H33" i="4"/>
  <c r="A34" i="4"/>
  <c r="B34" i="4"/>
  <c r="C34" i="4"/>
  <c r="D34" i="4"/>
  <c r="E34" i="4"/>
  <c r="F34" i="4"/>
  <c r="G34" i="4"/>
  <c r="H34" i="4"/>
  <c r="A35" i="4"/>
  <c r="B35" i="4"/>
  <c r="C35" i="4"/>
  <c r="D35" i="4"/>
  <c r="E35" i="4"/>
  <c r="F35" i="4"/>
  <c r="G35" i="4"/>
  <c r="H35" i="4"/>
  <c r="B36" i="4"/>
  <c r="C36" i="4"/>
  <c r="D36" i="4"/>
  <c r="E36" i="4"/>
  <c r="F36" i="4"/>
  <c r="G36" i="4"/>
  <c r="H36" i="4"/>
  <c r="A37" i="4"/>
  <c r="B37" i="4"/>
  <c r="C37" i="4"/>
  <c r="D37" i="4"/>
  <c r="E37" i="4"/>
  <c r="F37" i="4"/>
  <c r="G37" i="4"/>
  <c r="H37" i="4"/>
  <c r="A38" i="4"/>
  <c r="B38" i="4"/>
  <c r="C38" i="4"/>
  <c r="D38" i="4"/>
  <c r="E38" i="4"/>
  <c r="F38" i="4"/>
  <c r="G38" i="4"/>
  <c r="H38" i="4"/>
  <c r="A39" i="4"/>
  <c r="B39" i="4"/>
  <c r="C39" i="4"/>
  <c r="D39" i="4"/>
  <c r="E39" i="4"/>
  <c r="F39" i="4"/>
  <c r="G39" i="4"/>
  <c r="H39" i="4"/>
  <c r="A40" i="4"/>
  <c r="R18" i="4" s="1"/>
  <c r="AT18" i="4" s="1"/>
  <c r="AT34" i="4" s="1"/>
  <c r="B40" i="4"/>
  <c r="S18" i="4" s="1"/>
  <c r="AU18" i="4" s="1"/>
  <c r="AU34" i="4" s="1"/>
  <c r="C40" i="4"/>
  <c r="T18" i="4" s="1"/>
  <c r="AV18" i="4" s="1"/>
  <c r="AV34" i="4" s="1"/>
  <c r="D40" i="4"/>
  <c r="U18" i="4" s="1"/>
  <c r="AW18" i="4" s="1"/>
  <c r="AW34" i="4" s="1"/>
  <c r="E40" i="4"/>
  <c r="V18" i="4" s="1"/>
  <c r="AX18" i="4" s="1"/>
  <c r="AX34" i="4" s="1"/>
  <c r="F40" i="4"/>
  <c r="W18" i="4" s="1"/>
  <c r="AY18" i="4" s="1"/>
  <c r="AY34" i="4" s="1"/>
  <c r="G40" i="4"/>
  <c r="X18" i="4" s="1"/>
  <c r="H40" i="4"/>
  <c r="Y18" i="4" s="1"/>
  <c r="BA18" i="4" s="1"/>
  <c r="BA34" i="4" s="1"/>
  <c r="A41" i="4"/>
  <c r="R5" i="4" s="1"/>
  <c r="AT5" i="4" s="1"/>
  <c r="B41" i="4"/>
  <c r="S5" i="4" s="1"/>
  <c r="AU5" i="4" s="1"/>
  <c r="C41" i="4"/>
  <c r="T5" i="4" s="1"/>
  <c r="AV5" i="4" s="1"/>
  <c r="D41" i="4"/>
  <c r="U5" i="4" s="1"/>
  <c r="AW5" i="4" s="1"/>
  <c r="E41" i="4"/>
  <c r="V5" i="4" s="1"/>
  <c r="AX5" i="4" s="1"/>
  <c r="F41" i="4"/>
  <c r="W5" i="4" s="1"/>
  <c r="AY5" i="4" s="1"/>
  <c r="G41" i="4"/>
  <c r="X5" i="4" s="1"/>
  <c r="AZ5" i="4" s="1"/>
  <c r="H41" i="4"/>
  <c r="Y5" i="4" s="1"/>
  <c r="BA5" i="4" s="1"/>
  <c r="A42" i="4"/>
  <c r="B42" i="4"/>
  <c r="C42" i="4"/>
  <c r="D42" i="4"/>
  <c r="E42" i="4"/>
  <c r="F42" i="4"/>
  <c r="G42" i="4"/>
  <c r="H42" i="4"/>
  <c r="A43" i="4"/>
  <c r="B43" i="4"/>
  <c r="C43" i="4"/>
  <c r="D43" i="4"/>
  <c r="E43" i="4"/>
  <c r="F43" i="4"/>
  <c r="G43" i="4"/>
  <c r="H43" i="4"/>
  <c r="B44" i="4"/>
  <c r="C44" i="4"/>
  <c r="D44" i="4"/>
  <c r="E44" i="4"/>
  <c r="F44" i="4"/>
  <c r="G44" i="4"/>
  <c r="H44" i="4"/>
  <c r="A45" i="4"/>
  <c r="B45" i="4"/>
  <c r="C45" i="4"/>
  <c r="D45" i="4"/>
  <c r="E45" i="4"/>
  <c r="F45" i="4"/>
  <c r="G45" i="4"/>
  <c r="H45" i="4"/>
  <c r="A46" i="4"/>
  <c r="B46" i="4"/>
  <c r="C46" i="4"/>
  <c r="D46" i="4"/>
  <c r="E46" i="4"/>
  <c r="F46" i="4"/>
  <c r="G46" i="4"/>
  <c r="H46" i="4"/>
  <c r="A47" i="4"/>
  <c r="B47" i="4"/>
  <c r="C47" i="4"/>
  <c r="D47" i="4"/>
  <c r="E47" i="4"/>
  <c r="F47" i="4"/>
  <c r="G47" i="4"/>
  <c r="H47" i="4"/>
  <c r="A48" i="4"/>
  <c r="B48" i="4"/>
  <c r="C48" i="4"/>
  <c r="D48" i="4"/>
  <c r="E48" i="4"/>
  <c r="F48" i="4"/>
  <c r="G48" i="4"/>
  <c r="H48" i="4"/>
  <c r="A49" i="4"/>
  <c r="B49" i="4"/>
  <c r="C49" i="4"/>
  <c r="D49" i="4"/>
  <c r="E49" i="4"/>
  <c r="F49" i="4"/>
  <c r="G49" i="4"/>
  <c r="H49" i="4"/>
  <c r="A50" i="4"/>
  <c r="B50" i="4"/>
  <c r="C50" i="4"/>
  <c r="D50" i="4"/>
  <c r="E50" i="4"/>
  <c r="F50" i="4"/>
  <c r="G50" i="4"/>
  <c r="H50" i="4"/>
  <c r="A51" i="4"/>
  <c r="B51" i="4"/>
  <c r="C51" i="4"/>
  <c r="D51" i="4"/>
  <c r="E51" i="4"/>
  <c r="F51" i="4"/>
  <c r="G51" i="4"/>
  <c r="H51" i="4"/>
  <c r="B52" i="4"/>
  <c r="S19" i="4" s="1"/>
  <c r="AU19" i="4" s="1"/>
  <c r="AU35" i="4" s="1"/>
  <c r="C52" i="4"/>
  <c r="T19" i="4" s="1"/>
  <c r="AV19" i="4" s="1"/>
  <c r="AV35" i="4" s="1"/>
  <c r="D52" i="4"/>
  <c r="U19" i="4" s="1"/>
  <c r="AW19" i="4" s="1"/>
  <c r="AW35" i="4" s="1"/>
  <c r="E52" i="4"/>
  <c r="V19" i="4" s="1"/>
  <c r="AX19" i="4" s="1"/>
  <c r="AX35" i="4" s="1"/>
  <c r="F52" i="4"/>
  <c r="W19" i="4" s="1"/>
  <c r="AY19" i="4" s="1"/>
  <c r="AY35" i="4" s="1"/>
  <c r="G52" i="4"/>
  <c r="X19" i="4" s="1"/>
  <c r="H52" i="4"/>
  <c r="Y19" i="4" s="1"/>
  <c r="BA19" i="4" s="1"/>
  <c r="BA35" i="4" s="1"/>
  <c r="A53" i="4"/>
  <c r="R6" i="4" s="1"/>
  <c r="AT6" i="4" s="1"/>
  <c r="B53" i="4"/>
  <c r="S6" i="4" s="1"/>
  <c r="AU6" i="4" s="1"/>
  <c r="C53" i="4"/>
  <c r="T6" i="4" s="1"/>
  <c r="AV6" i="4" s="1"/>
  <c r="D53" i="4"/>
  <c r="U6" i="4" s="1"/>
  <c r="AW6" i="4" s="1"/>
  <c r="E53" i="4"/>
  <c r="V6" i="4" s="1"/>
  <c r="AX6" i="4" s="1"/>
  <c r="F53" i="4"/>
  <c r="W6" i="4" s="1"/>
  <c r="AY6" i="4" s="1"/>
  <c r="G53" i="4"/>
  <c r="X6" i="4" s="1"/>
  <c r="AZ6" i="4" s="1"/>
  <c r="H53" i="4"/>
  <c r="Y6" i="4" s="1"/>
  <c r="BA6" i="4" s="1"/>
  <c r="A54" i="4"/>
  <c r="B54" i="4"/>
  <c r="C54" i="4"/>
  <c r="D54" i="4"/>
  <c r="E54" i="4"/>
  <c r="F54" i="4"/>
  <c r="G54" i="4"/>
  <c r="H54" i="4"/>
  <c r="A55" i="4"/>
  <c r="B55" i="4"/>
  <c r="C55" i="4"/>
  <c r="D55" i="4"/>
  <c r="E55" i="4"/>
  <c r="F55" i="4"/>
  <c r="G55" i="4"/>
  <c r="H55" i="4"/>
  <c r="A56" i="4"/>
  <c r="B56" i="4"/>
  <c r="C56" i="4"/>
  <c r="D56" i="4"/>
  <c r="E56" i="4"/>
  <c r="F56" i="4"/>
  <c r="G56" i="4"/>
  <c r="H56" i="4"/>
  <c r="A57" i="4"/>
  <c r="B57" i="4"/>
  <c r="C57" i="4"/>
  <c r="D57" i="4"/>
  <c r="E57" i="4"/>
  <c r="F57" i="4"/>
  <c r="G57" i="4"/>
  <c r="H57" i="4"/>
  <c r="A58" i="4"/>
  <c r="B58" i="4"/>
  <c r="C58" i="4"/>
  <c r="D58" i="4"/>
  <c r="E58" i="4"/>
  <c r="F58" i="4"/>
  <c r="G58" i="4"/>
  <c r="H58" i="4"/>
  <c r="A59" i="4"/>
  <c r="B59" i="4"/>
  <c r="C59" i="4"/>
  <c r="D59" i="4"/>
  <c r="E59" i="4"/>
  <c r="F59" i="4"/>
  <c r="G59" i="4"/>
  <c r="H59" i="4"/>
  <c r="B60" i="4"/>
  <c r="C60" i="4"/>
  <c r="D60" i="4"/>
  <c r="E60" i="4"/>
  <c r="F60" i="4"/>
  <c r="G60" i="4"/>
  <c r="H60" i="4"/>
  <c r="A61" i="4"/>
  <c r="B61" i="4"/>
  <c r="C61" i="4"/>
  <c r="D61" i="4"/>
  <c r="E61" i="4"/>
  <c r="F61" i="4"/>
  <c r="G61" i="4"/>
  <c r="H61" i="4"/>
  <c r="A62" i="4"/>
  <c r="B62" i="4"/>
  <c r="C62" i="4"/>
  <c r="D62" i="4"/>
  <c r="E62" i="4"/>
  <c r="F62" i="4"/>
  <c r="G62" i="4"/>
  <c r="H62" i="4"/>
  <c r="A63" i="4"/>
  <c r="B63" i="4"/>
  <c r="C63" i="4"/>
  <c r="D63" i="4"/>
  <c r="E63" i="4"/>
  <c r="F63" i="4"/>
  <c r="G63" i="4"/>
  <c r="H63" i="4"/>
  <c r="A64" i="4"/>
  <c r="R20" i="4" s="1"/>
  <c r="AT20" i="4" s="1"/>
  <c r="AT36" i="4" s="1"/>
  <c r="B64" i="4"/>
  <c r="S20" i="4" s="1"/>
  <c r="AU20" i="4" s="1"/>
  <c r="AU36" i="4" s="1"/>
  <c r="C64" i="4"/>
  <c r="T20" i="4" s="1"/>
  <c r="AV20" i="4" s="1"/>
  <c r="AV36" i="4" s="1"/>
  <c r="D64" i="4"/>
  <c r="U20" i="4" s="1"/>
  <c r="AW20" i="4" s="1"/>
  <c r="AW36" i="4" s="1"/>
  <c r="E64" i="4"/>
  <c r="V20" i="4" s="1"/>
  <c r="AX20" i="4" s="1"/>
  <c r="AX36" i="4" s="1"/>
  <c r="F64" i="4"/>
  <c r="W20" i="4" s="1"/>
  <c r="AY20" i="4" s="1"/>
  <c r="AY36" i="4" s="1"/>
  <c r="G64" i="4"/>
  <c r="X20" i="4" s="1"/>
  <c r="H64" i="4"/>
  <c r="Y20" i="4" s="1"/>
  <c r="BA20" i="4" s="1"/>
  <c r="BA36" i="4" s="1"/>
  <c r="A65" i="4"/>
  <c r="R7" i="4" s="1"/>
  <c r="AT7" i="4" s="1"/>
  <c r="B65" i="4"/>
  <c r="S7" i="4" s="1"/>
  <c r="AU7" i="4" s="1"/>
  <c r="C65" i="4"/>
  <c r="T7" i="4" s="1"/>
  <c r="AV7" i="4" s="1"/>
  <c r="D65" i="4"/>
  <c r="U7" i="4" s="1"/>
  <c r="AW7" i="4" s="1"/>
  <c r="E65" i="4"/>
  <c r="V7" i="4" s="1"/>
  <c r="AX7" i="4" s="1"/>
  <c r="F65" i="4"/>
  <c r="W7" i="4" s="1"/>
  <c r="AY7" i="4" s="1"/>
  <c r="G65" i="4"/>
  <c r="X7" i="4" s="1"/>
  <c r="AZ7" i="4" s="1"/>
  <c r="H65" i="4"/>
  <c r="Y7" i="4" s="1"/>
  <c r="BA7" i="4" s="1"/>
  <c r="A66" i="4"/>
  <c r="B66" i="4"/>
  <c r="C66" i="4"/>
  <c r="D66" i="4"/>
  <c r="E66" i="4"/>
  <c r="F66" i="4"/>
  <c r="G66" i="4"/>
  <c r="H66" i="4"/>
  <c r="A67" i="4"/>
  <c r="B67" i="4"/>
  <c r="C67" i="4"/>
  <c r="D67" i="4"/>
  <c r="E67" i="4"/>
  <c r="F67" i="4"/>
  <c r="G67" i="4"/>
  <c r="H67" i="4"/>
  <c r="B68" i="4"/>
  <c r="C68" i="4"/>
  <c r="D68" i="4"/>
  <c r="E68" i="4"/>
  <c r="F68" i="4"/>
  <c r="G68" i="4"/>
  <c r="H68" i="4"/>
  <c r="A69" i="4"/>
  <c r="B69" i="4"/>
  <c r="C69" i="4"/>
  <c r="D69" i="4"/>
  <c r="E69" i="4"/>
  <c r="F69" i="4"/>
  <c r="G69" i="4"/>
  <c r="H69" i="4"/>
  <c r="A70" i="4"/>
  <c r="B70" i="4"/>
  <c r="C70" i="4"/>
  <c r="D70" i="4"/>
  <c r="E70" i="4"/>
  <c r="F70" i="4"/>
  <c r="G70" i="4"/>
  <c r="H70" i="4"/>
  <c r="A71" i="4"/>
  <c r="B71" i="4"/>
  <c r="C71" i="4"/>
  <c r="D71" i="4"/>
  <c r="E71" i="4"/>
  <c r="F71" i="4"/>
  <c r="G71" i="4"/>
  <c r="H71" i="4"/>
  <c r="A72" i="4"/>
  <c r="B72" i="4"/>
  <c r="C72" i="4"/>
  <c r="D72" i="4"/>
  <c r="E72" i="4"/>
  <c r="F72" i="4"/>
  <c r="G72" i="4"/>
  <c r="H72" i="4"/>
  <c r="A73" i="4"/>
  <c r="B73" i="4"/>
  <c r="C73" i="4"/>
  <c r="D73" i="4"/>
  <c r="E73" i="4"/>
  <c r="F73" i="4"/>
  <c r="G73" i="4"/>
  <c r="H73" i="4"/>
  <c r="A74" i="4"/>
  <c r="B74" i="4"/>
  <c r="C74" i="4"/>
  <c r="D74" i="4"/>
  <c r="E74" i="4"/>
  <c r="F74" i="4"/>
  <c r="G74" i="4"/>
  <c r="H74" i="4"/>
  <c r="A75" i="4"/>
  <c r="B75" i="4"/>
  <c r="C75" i="4"/>
  <c r="D75" i="4"/>
  <c r="E75" i="4"/>
  <c r="F75" i="4"/>
  <c r="G75" i="4"/>
  <c r="H75" i="4"/>
  <c r="B76" i="4"/>
  <c r="C76" i="4"/>
  <c r="D76" i="4"/>
  <c r="E76" i="4"/>
  <c r="F76" i="4"/>
  <c r="G76" i="4"/>
  <c r="H76" i="4"/>
  <c r="A77" i="4"/>
  <c r="B77" i="4"/>
  <c r="C77" i="4"/>
  <c r="D77" i="4"/>
  <c r="E77" i="4"/>
  <c r="F77" i="4"/>
  <c r="G77" i="4"/>
  <c r="H77" i="4"/>
  <c r="A78" i="4"/>
  <c r="B78" i="4"/>
  <c r="C78" i="4"/>
  <c r="D78" i="4"/>
  <c r="E78" i="4"/>
  <c r="F78" i="4"/>
  <c r="G78" i="4"/>
  <c r="H78" i="4"/>
  <c r="A79" i="4"/>
  <c r="B79" i="4"/>
  <c r="C79" i="4"/>
  <c r="D79" i="4"/>
  <c r="E79" i="4"/>
  <c r="F79" i="4"/>
  <c r="G79" i="4"/>
  <c r="H79" i="4"/>
  <c r="A80" i="4"/>
  <c r="R21" i="4" s="1"/>
  <c r="AT21" i="4" s="1"/>
  <c r="AT37" i="4" s="1"/>
  <c r="B80" i="4"/>
  <c r="S21" i="4" s="1"/>
  <c r="AU21" i="4" s="1"/>
  <c r="AU37" i="4" s="1"/>
  <c r="C80" i="4"/>
  <c r="T21" i="4" s="1"/>
  <c r="AV21" i="4" s="1"/>
  <c r="AV37" i="4" s="1"/>
  <c r="D80" i="4"/>
  <c r="U21" i="4" s="1"/>
  <c r="AW21" i="4" s="1"/>
  <c r="AW37" i="4" s="1"/>
  <c r="E80" i="4"/>
  <c r="V21" i="4" s="1"/>
  <c r="AX21" i="4" s="1"/>
  <c r="AX37" i="4" s="1"/>
  <c r="F80" i="4"/>
  <c r="W21" i="4" s="1"/>
  <c r="AY21" i="4" s="1"/>
  <c r="AY37" i="4" s="1"/>
  <c r="G80" i="4"/>
  <c r="X21" i="4" s="1"/>
  <c r="H80" i="4"/>
  <c r="Y21" i="4" s="1"/>
  <c r="BA21" i="4" s="1"/>
  <c r="BA37" i="4" s="1"/>
  <c r="A81" i="4"/>
  <c r="R8" i="4" s="1"/>
  <c r="AT8" i="4" s="1"/>
  <c r="B81" i="4"/>
  <c r="S8" i="4" s="1"/>
  <c r="AU8" i="4" s="1"/>
  <c r="C81" i="4"/>
  <c r="T8" i="4" s="1"/>
  <c r="AV8" i="4" s="1"/>
  <c r="D81" i="4"/>
  <c r="U8" i="4" s="1"/>
  <c r="AW8" i="4" s="1"/>
  <c r="E81" i="4"/>
  <c r="V8" i="4" s="1"/>
  <c r="AX8" i="4" s="1"/>
  <c r="F81" i="4"/>
  <c r="W8" i="4" s="1"/>
  <c r="AY8" i="4" s="1"/>
  <c r="G81" i="4"/>
  <c r="X8" i="4" s="1"/>
  <c r="AZ8" i="4" s="1"/>
  <c r="H81" i="4"/>
  <c r="Y8" i="4" s="1"/>
  <c r="BA8" i="4" s="1"/>
  <c r="A82" i="4"/>
  <c r="B82" i="4"/>
  <c r="C82" i="4"/>
  <c r="D82" i="4"/>
  <c r="E82" i="4"/>
  <c r="F82" i="4"/>
  <c r="G82" i="4"/>
  <c r="H82" i="4"/>
  <c r="A83" i="4"/>
  <c r="B83" i="4"/>
  <c r="C83" i="4"/>
  <c r="D83" i="4"/>
  <c r="E83" i="4"/>
  <c r="F83" i="4"/>
  <c r="G83" i="4"/>
  <c r="H83" i="4"/>
  <c r="B84" i="4"/>
  <c r="S22" i="4" s="1"/>
  <c r="AU22" i="4" s="1"/>
  <c r="AU38" i="4" s="1"/>
  <c r="C84" i="4"/>
  <c r="T22" i="4" s="1"/>
  <c r="AV22" i="4" s="1"/>
  <c r="AV38" i="4" s="1"/>
  <c r="D84" i="4"/>
  <c r="U22" i="4" s="1"/>
  <c r="AW22" i="4" s="1"/>
  <c r="AW38" i="4" s="1"/>
  <c r="E84" i="4"/>
  <c r="V22" i="4" s="1"/>
  <c r="AX22" i="4" s="1"/>
  <c r="AX38" i="4" s="1"/>
  <c r="F84" i="4"/>
  <c r="W22" i="4" s="1"/>
  <c r="AY22" i="4" s="1"/>
  <c r="AY38" i="4" s="1"/>
  <c r="G84" i="4"/>
  <c r="X22" i="4" s="1"/>
  <c r="H84" i="4"/>
  <c r="Y22" i="4" s="1"/>
  <c r="BA22" i="4" s="1"/>
  <c r="BA38" i="4" s="1"/>
  <c r="A85" i="4"/>
  <c r="R23" i="4" s="1"/>
  <c r="AT23" i="4" s="1"/>
  <c r="AT39" i="4" s="1"/>
  <c r="B85" i="4"/>
  <c r="S23" i="4" s="1"/>
  <c r="AU23" i="4" s="1"/>
  <c r="AU39" i="4" s="1"/>
  <c r="C85" i="4"/>
  <c r="T23" i="4" s="1"/>
  <c r="AV23" i="4" s="1"/>
  <c r="AV39" i="4" s="1"/>
  <c r="D85" i="4"/>
  <c r="U23" i="4" s="1"/>
  <c r="AW23" i="4" s="1"/>
  <c r="AW39" i="4" s="1"/>
  <c r="E85" i="4"/>
  <c r="V23" i="4" s="1"/>
  <c r="AX23" i="4" s="1"/>
  <c r="AX39" i="4" s="1"/>
  <c r="F85" i="4"/>
  <c r="W23" i="4" s="1"/>
  <c r="AY23" i="4" s="1"/>
  <c r="AY39" i="4" s="1"/>
  <c r="G85" i="4"/>
  <c r="X23" i="4" s="1"/>
  <c r="H85" i="4"/>
  <c r="Y23" i="4" s="1"/>
  <c r="BA23" i="4" s="1"/>
  <c r="BA39" i="4" s="1"/>
  <c r="A86" i="4"/>
  <c r="R24" i="4" s="1"/>
  <c r="AT24" i="4" s="1"/>
  <c r="AT40" i="4" s="1"/>
  <c r="B86" i="4"/>
  <c r="S24" i="4" s="1"/>
  <c r="AU24" i="4" s="1"/>
  <c r="AU40" i="4" s="1"/>
  <c r="C86" i="4"/>
  <c r="T24" i="4" s="1"/>
  <c r="AV24" i="4" s="1"/>
  <c r="AV40" i="4" s="1"/>
  <c r="D86" i="4"/>
  <c r="U24" i="4" s="1"/>
  <c r="AW24" i="4" s="1"/>
  <c r="AW40" i="4" s="1"/>
  <c r="E86" i="4"/>
  <c r="V24" i="4" s="1"/>
  <c r="AX24" i="4" s="1"/>
  <c r="AX40" i="4" s="1"/>
  <c r="F86" i="4"/>
  <c r="W24" i="4" s="1"/>
  <c r="AY24" i="4" s="1"/>
  <c r="AY40" i="4" s="1"/>
  <c r="G86" i="4"/>
  <c r="X24" i="4" s="1"/>
  <c r="H86" i="4"/>
  <c r="Y24" i="4" s="1"/>
  <c r="BA24" i="4" s="1"/>
  <c r="BA40" i="4" s="1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S1" i="3"/>
  <c r="S2" i="3"/>
  <c r="S3" i="3"/>
  <c r="S4" i="3"/>
  <c r="S5" i="3"/>
  <c r="S6" i="3"/>
  <c r="S7" i="3"/>
  <c r="S8" i="3"/>
  <c r="AD3" i="3" s="1"/>
  <c r="AD6" i="3" s="1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N1" i="3"/>
  <c r="N2" i="3"/>
  <c r="N3" i="3"/>
  <c r="N4" i="3"/>
  <c r="N5" i="3"/>
  <c r="N6" i="3"/>
  <c r="N7" i="3"/>
  <c r="AC2" i="3" s="1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I1" i="3"/>
  <c r="I2" i="3"/>
  <c r="I3" i="3"/>
  <c r="AB7" i="3" s="1"/>
  <c r="I4" i="3"/>
  <c r="I5" i="3"/>
  <c r="I6" i="3"/>
  <c r="I7" i="3"/>
  <c r="AB3" i="3" s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B1" i="3"/>
  <c r="A2" i="3"/>
  <c r="C2" i="3"/>
  <c r="D2" i="3"/>
  <c r="E2" i="3"/>
  <c r="F2" i="3"/>
  <c r="G2" i="3"/>
  <c r="H2" i="3"/>
  <c r="A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C5" i="3"/>
  <c r="D5" i="3"/>
  <c r="E5" i="3"/>
  <c r="F5" i="3"/>
  <c r="G5" i="3"/>
  <c r="H5" i="3"/>
  <c r="A6" i="3"/>
  <c r="C6" i="3"/>
  <c r="D6" i="3"/>
  <c r="E6" i="3"/>
  <c r="F6" i="3"/>
  <c r="G6" i="3"/>
  <c r="H6" i="3"/>
  <c r="A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33" i="3"/>
  <c r="B33" i="3"/>
  <c r="C33" i="3"/>
  <c r="D33" i="3"/>
  <c r="E33" i="3"/>
  <c r="F33" i="3"/>
  <c r="G33" i="3"/>
  <c r="H33" i="3"/>
  <c r="A34" i="3"/>
  <c r="B34" i="3"/>
  <c r="C34" i="3"/>
  <c r="D34" i="3"/>
  <c r="E34" i="3"/>
  <c r="F34" i="3"/>
  <c r="G34" i="3"/>
  <c r="H34" i="3"/>
  <c r="A35" i="3"/>
  <c r="B35" i="3"/>
  <c r="C35" i="3"/>
  <c r="D35" i="3"/>
  <c r="E35" i="3"/>
  <c r="F35" i="3"/>
  <c r="G35" i="3"/>
  <c r="H35" i="3"/>
  <c r="B36" i="3"/>
  <c r="C36" i="3"/>
  <c r="D36" i="3"/>
  <c r="E36" i="3"/>
  <c r="F36" i="3"/>
  <c r="G36" i="3"/>
  <c r="H36" i="3"/>
  <c r="A37" i="3"/>
  <c r="B37" i="3"/>
  <c r="C37" i="3"/>
  <c r="D37" i="3"/>
  <c r="E37" i="3"/>
  <c r="F37" i="3"/>
  <c r="G37" i="3"/>
  <c r="H37" i="3"/>
  <c r="A38" i="3"/>
  <c r="B38" i="3"/>
  <c r="C38" i="3"/>
  <c r="D38" i="3"/>
  <c r="E38" i="3"/>
  <c r="F38" i="3"/>
  <c r="G38" i="3"/>
  <c r="H38" i="3"/>
  <c r="A39" i="3"/>
  <c r="B39" i="3"/>
  <c r="C39" i="3"/>
  <c r="D39" i="3"/>
  <c r="E39" i="3"/>
  <c r="F39" i="3"/>
  <c r="G39" i="3"/>
  <c r="H39" i="3"/>
  <c r="A40" i="3"/>
  <c r="B40" i="3"/>
  <c r="C40" i="3"/>
  <c r="D40" i="3"/>
  <c r="E40" i="3"/>
  <c r="F40" i="3"/>
  <c r="G40" i="3"/>
  <c r="H40" i="3"/>
  <c r="A41" i="3"/>
  <c r="B41" i="3"/>
  <c r="C41" i="3"/>
  <c r="D41" i="3"/>
  <c r="E41" i="3"/>
  <c r="F41" i="3"/>
  <c r="G41" i="3"/>
  <c r="H41" i="3"/>
  <c r="A42" i="3"/>
  <c r="B42" i="3"/>
  <c r="C42" i="3"/>
  <c r="D42" i="3"/>
  <c r="E42" i="3"/>
  <c r="F42" i="3"/>
  <c r="G42" i="3"/>
  <c r="H42" i="3"/>
  <c r="A43" i="3"/>
  <c r="B43" i="3"/>
  <c r="C43" i="3"/>
  <c r="D43" i="3"/>
  <c r="E43" i="3"/>
  <c r="F43" i="3"/>
  <c r="G43" i="3"/>
  <c r="H43" i="3"/>
  <c r="A44" i="3"/>
  <c r="B44" i="3"/>
  <c r="C44" i="3"/>
  <c r="D44" i="3"/>
  <c r="E44" i="3"/>
  <c r="F44" i="3"/>
  <c r="G44" i="3"/>
  <c r="H44" i="3"/>
  <c r="A45" i="3"/>
  <c r="B45" i="3"/>
  <c r="C45" i="3"/>
  <c r="D45" i="3"/>
  <c r="E45" i="3"/>
  <c r="F45" i="3"/>
  <c r="G45" i="3"/>
  <c r="H45" i="3"/>
  <c r="A46" i="3"/>
  <c r="B46" i="3"/>
  <c r="C46" i="3"/>
  <c r="D46" i="3"/>
  <c r="E46" i="3"/>
  <c r="F46" i="3"/>
  <c r="G46" i="3"/>
  <c r="H46" i="3"/>
  <c r="A47" i="3"/>
  <c r="B47" i="3"/>
  <c r="C47" i="3"/>
  <c r="D47" i="3"/>
  <c r="E47" i="3"/>
  <c r="F47" i="3"/>
  <c r="G47" i="3"/>
  <c r="H47" i="3"/>
  <c r="A48" i="3"/>
  <c r="B48" i="3"/>
  <c r="C48" i="3"/>
  <c r="D48" i="3"/>
  <c r="E48" i="3"/>
  <c r="F48" i="3"/>
  <c r="G48" i="3"/>
  <c r="H48" i="3"/>
  <c r="A49" i="3"/>
  <c r="B49" i="3"/>
  <c r="C49" i="3"/>
  <c r="D49" i="3"/>
  <c r="E49" i="3"/>
  <c r="F49" i="3"/>
  <c r="G49" i="3"/>
  <c r="H49" i="3"/>
  <c r="A50" i="3"/>
  <c r="B50" i="3"/>
  <c r="C50" i="3"/>
  <c r="D50" i="3"/>
  <c r="E50" i="3"/>
  <c r="F50" i="3"/>
  <c r="G50" i="3"/>
  <c r="H50" i="3"/>
  <c r="A51" i="3"/>
  <c r="B51" i="3"/>
  <c r="C51" i="3"/>
  <c r="D51" i="3"/>
  <c r="E51" i="3"/>
  <c r="F51" i="3"/>
  <c r="G51" i="3"/>
  <c r="H51" i="3"/>
  <c r="A52" i="3"/>
  <c r="B52" i="3"/>
  <c r="C52" i="3"/>
  <c r="D52" i="3"/>
  <c r="E52" i="3"/>
  <c r="F52" i="3"/>
  <c r="G52" i="3"/>
  <c r="H52" i="3"/>
  <c r="A53" i="3"/>
  <c r="B53" i="3"/>
  <c r="C53" i="3"/>
  <c r="D53" i="3"/>
  <c r="E53" i="3"/>
  <c r="F53" i="3"/>
  <c r="G53" i="3"/>
  <c r="H53" i="3"/>
  <c r="A54" i="3"/>
  <c r="B54" i="3"/>
  <c r="C54" i="3"/>
  <c r="D54" i="3"/>
  <c r="E54" i="3"/>
  <c r="F54" i="3"/>
  <c r="G54" i="3"/>
  <c r="H54" i="3"/>
  <c r="A55" i="3"/>
  <c r="B55" i="3"/>
  <c r="C55" i="3"/>
  <c r="D55" i="3"/>
  <c r="E55" i="3"/>
  <c r="F55" i="3"/>
  <c r="G55" i="3"/>
  <c r="H55" i="3"/>
  <c r="A56" i="3"/>
  <c r="B56" i="3"/>
  <c r="C56" i="3"/>
  <c r="D56" i="3"/>
  <c r="E56" i="3"/>
  <c r="F56" i="3"/>
  <c r="G56" i="3"/>
  <c r="H56" i="3"/>
  <c r="A57" i="3"/>
  <c r="B57" i="3"/>
  <c r="C57" i="3"/>
  <c r="D57" i="3"/>
  <c r="E57" i="3"/>
  <c r="F57" i="3"/>
  <c r="G57" i="3"/>
  <c r="H57" i="3"/>
  <c r="A58" i="3"/>
  <c r="B58" i="3"/>
  <c r="C58" i="3"/>
  <c r="D58" i="3"/>
  <c r="E58" i="3"/>
  <c r="F58" i="3"/>
  <c r="G58" i="3"/>
  <c r="H58" i="3"/>
  <c r="A59" i="3"/>
  <c r="B59" i="3"/>
  <c r="C59" i="3"/>
  <c r="D59" i="3"/>
  <c r="E59" i="3"/>
  <c r="F59" i="3"/>
  <c r="G59" i="3"/>
  <c r="H59" i="3"/>
  <c r="A60" i="3"/>
  <c r="B60" i="3"/>
  <c r="C60" i="3"/>
  <c r="D60" i="3"/>
  <c r="E60" i="3"/>
  <c r="F60" i="3"/>
  <c r="G60" i="3"/>
  <c r="H60" i="3"/>
  <c r="A61" i="3"/>
  <c r="B61" i="3"/>
  <c r="C61" i="3"/>
  <c r="D61" i="3"/>
  <c r="E61" i="3"/>
  <c r="F61" i="3"/>
  <c r="G61" i="3"/>
  <c r="H61" i="3"/>
  <c r="A62" i="3"/>
  <c r="B62" i="3"/>
  <c r="C62" i="3"/>
  <c r="D62" i="3"/>
  <c r="E62" i="3"/>
  <c r="F62" i="3"/>
  <c r="G62" i="3"/>
  <c r="H62" i="3"/>
  <c r="A63" i="3"/>
  <c r="B63" i="3"/>
  <c r="C63" i="3"/>
  <c r="D63" i="3"/>
  <c r="E63" i="3"/>
  <c r="F63" i="3"/>
  <c r="G63" i="3"/>
  <c r="H63" i="3"/>
  <c r="A64" i="3"/>
  <c r="B64" i="3"/>
  <c r="C64" i="3"/>
  <c r="D64" i="3"/>
  <c r="E64" i="3"/>
  <c r="F64" i="3"/>
  <c r="G64" i="3"/>
  <c r="H64" i="3"/>
  <c r="A65" i="3"/>
  <c r="B65" i="3"/>
  <c r="C65" i="3"/>
  <c r="D65" i="3"/>
  <c r="E65" i="3"/>
  <c r="F65" i="3"/>
  <c r="G65" i="3"/>
  <c r="H65" i="3"/>
  <c r="A66" i="3"/>
  <c r="B66" i="3"/>
  <c r="C66" i="3"/>
  <c r="D66" i="3"/>
  <c r="E66" i="3"/>
  <c r="F66" i="3"/>
  <c r="G66" i="3"/>
  <c r="H66" i="3"/>
  <c r="A67" i="3"/>
  <c r="B67" i="3"/>
  <c r="C67" i="3"/>
  <c r="D67" i="3"/>
  <c r="E67" i="3"/>
  <c r="F67" i="3"/>
  <c r="G67" i="3"/>
  <c r="H67" i="3"/>
  <c r="A68" i="3"/>
  <c r="B68" i="3"/>
  <c r="C68" i="3"/>
  <c r="D68" i="3"/>
  <c r="E68" i="3"/>
  <c r="F68" i="3"/>
  <c r="G68" i="3"/>
  <c r="H68" i="3"/>
  <c r="A69" i="3"/>
  <c r="B69" i="3"/>
  <c r="C69" i="3"/>
  <c r="D69" i="3"/>
  <c r="E69" i="3"/>
  <c r="F69" i="3"/>
  <c r="G69" i="3"/>
  <c r="H69" i="3"/>
  <c r="A70" i="3"/>
  <c r="B70" i="3"/>
  <c r="C70" i="3"/>
  <c r="D70" i="3"/>
  <c r="E70" i="3"/>
  <c r="F70" i="3"/>
  <c r="G70" i="3"/>
  <c r="H70" i="3"/>
  <c r="A71" i="3"/>
  <c r="B71" i="3"/>
  <c r="C71" i="3"/>
  <c r="D71" i="3"/>
  <c r="E71" i="3"/>
  <c r="F71" i="3"/>
  <c r="G71" i="3"/>
  <c r="H71" i="3"/>
  <c r="A72" i="3"/>
  <c r="B72" i="3"/>
  <c r="C72" i="3"/>
  <c r="D72" i="3"/>
  <c r="E72" i="3"/>
  <c r="F72" i="3"/>
  <c r="G72" i="3"/>
  <c r="H72" i="3"/>
  <c r="A73" i="3"/>
  <c r="B73" i="3"/>
  <c r="C73" i="3"/>
  <c r="D73" i="3"/>
  <c r="E73" i="3"/>
  <c r="F73" i="3"/>
  <c r="G73" i="3"/>
  <c r="H73" i="3"/>
  <c r="A74" i="3"/>
  <c r="B74" i="3"/>
  <c r="C74" i="3"/>
  <c r="D74" i="3"/>
  <c r="E74" i="3"/>
  <c r="F74" i="3"/>
  <c r="G74" i="3"/>
  <c r="H74" i="3"/>
  <c r="A75" i="3"/>
  <c r="B75" i="3"/>
  <c r="C75" i="3"/>
  <c r="D75" i="3"/>
  <c r="E75" i="3"/>
  <c r="F75" i="3"/>
  <c r="G75" i="3"/>
  <c r="H75" i="3"/>
  <c r="A76" i="3"/>
  <c r="B76" i="3"/>
  <c r="C76" i="3"/>
  <c r="D76" i="3"/>
  <c r="E76" i="3"/>
  <c r="F76" i="3"/>
  <c r="G76" i="3"/>
  <c r="H76" i="3"/>
  <c r="A77" i="3"/>
  <c r="B77" i="3"/>
  <c r="C77" i="3"/>
  <c r="D77" i="3"/>
  <c r="E77" i="3"/>
  <c r="F77" i="3"/>
  <c r="G77" i="3"/>
  <c r="H77" i="3"/>
  <c r="A78" i="3"/>
  <c r="B78" i="3"/>
  <c r="C78" i="3"/>
  <c r="D78" i="3"/>
  <c r="E78" i="3"/>
  <c r="F78" i="3"/>
  <c r="G78" i="3"/>
  <c r="H78" i="3"/>
  <c r="A79" i="3"/>
  <c r="B79" i="3"/>
  <c r="C79" i="3"/>
  <c r="D79" i="3"/>
  <c r="E79" i="3"/>
  <c r="F79" i="3"/>
  <c r="G79" i="3"/>
  <c r="H79" i="3"/>
  <c r="A80" i="3"/>
  <c r="B80" i="3"/>
  <c r="C80" i="3"/>
  <c r="D80" i="3"/>
  <c r="E80" i="3"/>
  <c r="F80" i="3"/>
  <c r="G80" i="3"/>
  <c r="H80" i="3"/>
  <c r="A81" i="3"/>
  <c r="B81" i="3"/>
  <c r="C81" i="3"/>
  <c r="D81" i="3"/>
  <c r="E81" i="3"/>
  <c r="F81" i="3"/>
  <c r="G81" i="3"/>
  <c r="H81" i="3"/>
  <c r="A82" i="3"/>
  <c r="B82" i="3"/>
  <c r="C82" i="3"/>
  <c r="D82" i="3"/>
  <c r="E82" i="3"/>
  <c r="F82" i="3"/>
  <c r="G82" i="3"/>
  <c r="H82" i="3"/>
  <c r="A83" i="3"/>
  <c r="B83" i="3"/>
  <c r="C83" i="3"/>
  <c r="D83" i="3"/>
  <c r="E83" i="3"/>
  <c r="F83" i="3"/>
  <c r="G83" i="3"/>
  <c r="H83" i="3"/>
  <c r="A84" i="3"/>
  <c r="B84" i="3"/>
  <c r="C84" i="3"/>
  <c r="D84" i="3"/>
  <c r="E84" i="3"/>
  <c r="F84" i="3"/>
  <c r="G84" i="3"/>
  <c r="H84" i="3"/>
  <c r="A85" i="3"/>
  <c r="B85" i="3"/>
  <c r="C85" i="3"/>
  <c r="D85" i="3"/>
  <c r="E85" i="3"/>
  <c r="F85" i="3"/>
  <c r="G85" i="3"/>
  <c r="H85" i="3"/>
  <c r="A86" i="3"/>
  <c r="B86" i="3"/>
  <c r="C86" i="3"/>
  <c r="D86" i="3"/>
  <c r="E86" i="3"/>
  <c r="F86" i="3"/>
  <c r="G86" i="3"/>
  <c r="H86" i="3"/>
  <c r="J2" i="3"/>
  <c r="K2" i="3"/>
  <c r="L2" i="3"/>
  <c r="O2" i="3"/>
  <c r="P2" i="3"/>
  <c r="Q2" i="3"/>
  <c r="T2" i="3"/>
  <c r="U2" i="3"/>
  <c r="V2" i="3"/>
  <c r="AD2" i="3"/>
  <c r="T3" i="3" s="1"/>
  <c r="AC7" i="3"/>
  <c r="U52" i="5" l="1"/>
  <c r="X52" i="8"/>
  <c r="AA52" i="4"/>
  <c r="T45" i="7"/>
  <c r="P72" i="8"/>
  <c r="P22" i="8"/>
  <c r="AA52" i="6"/>
  <c r="P33" i="8"/>
  <c r="S45" i="8"/>
  <c r="P62" i="8" s="1"/>
  <c r="Z28" i="8"/>
  <c r="S3" i="8"/>
  <c r="AU3" i="8" s="1"/>
  <c r="V3" i="8"/>
  <c r="AX3" i="8" s="1"/>
  <c r="W3" i="8"/>
  <c r="AY3" i="8" s="1"/>
  <c r="X3" i="8"/>
  <c r="AZ3" i="8" s="1"/>
  <c r="AA29" i="8"/>
  <c r="AA50" i="8"/>
  <c r="AO30" i="8" a="1"/>
  <c r="AO30" i="8" s="1"/>
  <c r="S53" i="8"/>
  <c r="T29" i="8"/>
  <c r="U55" i="8"/>
  <c r="U29" i="8"/>
  <c r="Y55" i="8"/>
  <c r="V29" i="8"/>
  <c r="R36" i="8"/>
  <c r="W29" i="8"/>
  <c r="X29" i="8"/>
  <c r="T36" i="8"/>
  <c r="Y29" i="8"/>
  <c r="U36" i="8"/>
  <c r="Y52" i="8"/>
  <c r="X55" i="8"/>
  <c r="X58" i="8"/>
  <c r="X50" i="8"/>
  <c r="S28" i="8"/>
  <c r="V2" i="8"/>
  <c r="AX2" i="8" s="1"/>
  <c r="R11" i="8"/>
  <c r="AT11" i="8" s="1"/>
  <c r="Y2" i="8"/>
  <c r="BA2" i="8" s="1"/>
  <c r="Y36" i="8"/>
  <c r="X11" i="8"/>
  <c r="AZ11" i="8" s="1"/>
  <c r="R29" i="8"/>
  <c r="Y50" i="8"/>
  <c r="Y55" i="7"/>
  <c r="T2" i="7"/>
  <c r="AV2" i="7" s="1"/>
  <c r="AO30" i="7" a="1"/>
  <c r="AO30" i="7" s="1"/>
  <c r="Y2" i="7"/>
  <c r="BA2" i="7" s="1"/>
  <c r="U50" i="7"/>
  <c r="S45" i="7"/>
  <c r="P47" i="7" s="1"/>
  <c r="T52" i="7"/>
  <c r="W2" i="7"/>
  <c r="AY2" i="7" s="1"/>
  <c r="R11" i="7"/>
  <c r="AT11" i="7" s="1"/>
  <c r="Y29" i="7"/>
  <c r="AA36" i="7"/>
  <c r="S52" i="7"/>
  <c r="T59" i="7" s="1"/>
  <c r="X59" i="7" s="1"/>
  <c r="Y52" i="7"/>
  <c r="S55" i="7"/>
  <c r="X2" i="7"/>
  <c r="AZ2" i="7" s="1"/>
  <c r="T11" i="7"/>
  <c r="AV11" i="7" s="1"/>
  <c r="T55" i="7"/>
  <c r="AA52" i="7"/>
  <c r="X58" i="7"/>
  <c r="S28" i="7"/>
  <c r="R36" i="7"/>
  <c r="S36" i="7"/>
  <c r="R29" i="7"/>
  <c r="T36" i="7"/>
  <c r="U36" i="7"/>
  <c r="V3" i="7"/>
  <c r="AX3" i="7" s="1"/>
  <c r="U29" i="7"/>
  <c r="W36" i="7"/>
  <c r="AA53" i="7"/>
  <c r="V29" i="7"/>
  <c r="W29" i="7"/>
  <c r="U2" i="7"/>
  <c r="AW2" i="7" s="1"/>
  <c r="X29" i="7"/>
  <c r="Y50" i="7"/>
  <c r="S50" i="6"/>
  <c r="Y52" i="6"/>
  <c r="R11" i="6"/>
  <c r="AT11" i="6" s="1"/>
  <c r="W3" i="6"/>
  <c r="AY3" i="6" s="1"/>
  <c r="Y2" i="6"/>
  <c r="BA2" i="6" s="1"/>
  <c r="X52" i="6"/>
  <c r="T43" i="6"/>
  <c r="Y55" i="6"/>
  <c r="U3" i="6"/>
  <c r="AW3" i="6" s="1"/>
  <c r="V3" i="6"/>
  <c r="AX3" i="6" s="1"/>
  <c r="S52" i="6"/>
  <c r="T59" i="6" s="1"/>
  <c r="X59" i="6" s="1"/>
  <c r="U52" i="6"/>
  <c r="AB52" i="6" s="1"/>
  <c r="T11" i="6"/>
  <c r="AV11" i="6" s="1"/>
  <c r="AA50" i="6"/>
  <c r="S28" i="6"/>
  <c r="S55" i="6"/>
  <c r="T36" i="6"/>
  <c r="X55" i="6"/>
  <c r="R29" i="6"/>
  <c r="T29" i="6"/>
  <c r="U29" i="6"/>
  <c r="X36" i="6"/>
  <c r="V29" i="6"/>
  <c r="T52" i="6"/>
  <c r="W29" i="6"/>
  <c r="Z36" i="6"/>
  <c r="AO30" i="6" s="1" a="1"/>
  <c r="X29" i="6"/>
  <c r="W52" i="6"/>
  <c r="AA55" i="6"/>
  <c r="V2" i="6"/>
  <c r="AX2" i="6" s="1"/>
  <c r="Y29" i="6"/>
  <c r="W55" i="6"/>
  <c r="U55" i="5"/>
  <c r="W52" i="5"/>
  <c r="W3" i="5"/>
  <c r="AY3" i="5" s="1"/>
  <c r="Y52" i="5"/>
  <c r="AA52" i="5"/>
  <c r="AB52" i="5" s="1"/>
  <c r="X52" i="5"/>
  <c r="S45" i="5"/>
  <c r="P60" i="5" s="1"/>
  <c r="T3" i="5"/>
  <c r="AV3" i="5" s="1"/>
  <c r="T11" i="5"/>
  <c r="AV11" i="5" s="1"/>
  <c r="T55" i="5"/>
  <c r="X3" i="5"/>
  <c r="AZ3" i="5" s="1"/>
  <c r="T53" i="5"/>
  <c r="W55" i="5"/>
  <c r="R29" i="5"/>
  <c r="X55" i="5"/>
  <c r="W50" i="5"/>
  <c r="U36" i="5"/>
  <c r="Y55" i="5"/>
  <c r="T45" i="5"/>
  <c r="T29" i="5"/>
  <c r="V36" i="5"/>
  <c r="AA55" i="5"/>
  <c r="S43" i="5"/>
  <c r="U29" i="5"/>
  <c r="Y50" i="5"/>
  <c r="S10" i="5"/>
  <c r="AU10" i="5" s="1"/>
  <c r="V29" i="5"/>
  <c r="W29" i="5"/>
  <c r="Y36" i="5"/>
  <c r="S50" i="5"/>
  <c r="X29" i="5"/>
  <c r="Z36" i="5"/>
  <c r="AO30" i="5" s="1" a="1"/>
  <c r="AO30" i="5" s="1"/>
  <c r="Y29" i="5"/>
  <c r="AA36" i="5"/>
  <c r="R2" i="5"/>
  <c r="AT2" i="5" s="1"/>
  <c r="S55" i="5"/>
  <c r="Y2" i="5"/>
  <c r="BA2" i="5" s="1"/>
  <c r="S28" i="5"/>
  <c r="Z28" i="4"/>
  <c r="Y36" i="4"/>
  <c r="S43" i="4"/>
  <c r="AO3" i="4" a="1"/>
  <c r="AO3" i="4" s="1"/>
  <c r="K23" i="4" s="1"/>
  <c r="Y50" i="4"/>
  <c r="Y52" i="4"/>
  <c r="AA55" i="4"/>
  <c r="Y29" i="4"/>
  <c r="U36" i="4"/>
  <c r="AA50" i="4"/>
  <c r="U53" i="4"/>
  <c r="X29" i="4"/>
  <c r="T36" i="4"/>
  <c r="T43" i="4"/>
  <c r="W50" i="4"/>
  <c r="W53" i="4"/>
  <c r="S55" i="4"/>
  <c r="W29" i="4"/>
  <c r="S36" i="4"/>
  <c r="S52" i="4"/>
  <c r="T59" i="4" s="1"/>
  <c r="X59" i="4" s="1"/>
  <c r="X53" i="4"/>
  <c r="T55" i="4"/>
  <c r="V29" i="4"/>
  <c r="R36" i="4"/>
  <c r="T45" i="4"/>
  <c r="T52" i="4"/>
  <c r="Y53" i="4"/>
  <c r="Z53" i="4" s="1"/>
  <c r="U55" i="4"/>
  <c r="U29" i="4"/>
  <c r="S45" i="4"/>
  <c r="U52" i="4"/>
  <c r="AA53" i="4"/>
  <c r="W55" i="4"/>
  <c r="T29" i="4"/>
  <c r="S50" i="4"/>
  <c r="W52" i="4"/>
  <c r="X55" i="4"/>
  <c r="AA36" i="4"/>
  <c r="AB3" i="4"/>
  <c r="X52" i="4"/>
  <c r="Y55" i="4"/>
  <c r="T53" i="4"/>
  <c r="R29" i="4"/>
  <c r="Z36" i="4"/>
  <c r="U50" i="4"/>
  <c r="T50" i="4"/>
  <c r="S28" i="4"/>
  <c r="X36" i="4"/>
  <c r="X50" i="4"/>
  <c r="AA29" i="4"/>
  <c r="W36" i="4"/>
  <c r="S53" i="4"/>
  <c r="Z29" i="4"/>
  <c r="V36" i="4"/>
  <c r="T53" i="8"/>
  <c r="S50" i="8"/>
  <c r="U53" i="8"/>
  <c r="T50" i="8"/>
  <c r="W53" i="8"/>
  <c r="U50" i="8"/>
  <c r="X53" i="8"/>
  <c r="Y53" i="8"/>
  <c r="W50" i="8"/>
  <c r="AA53" i="8"/>
  <c r="S43" i="8"/>
  <c r="T43" i="8"/>
  <c r="AA55" i="8"/>
  <c r="S55" i="8"/>
  <c r="T52" i="8"/>
  <c r="U52" i="8"/>
  <c r="T55" i="8"/>
  <c r="Z52" i="8"/>
  <c r="T45" i="8"/>
  <c r="W55" i="8"/>
  <c r="W52" i="8"/>
  <c r="AA52" i="8"/>
  <c r="S52" i="8"/>
  <c r="T59" i="8" s="1"/>
  <c r="X59" i="8" s="1"/>
  <c r="AA50" i="7"/>
  <c r="S43" i="7"/>
  <c r="S53" i="7"/>
  <c r="T43" i="7"/>
  <c r="T53" i="7"/>
  <c r="U53" i="7"/>
  <c r="W53" i="7"/>
  <c r="S50" i="7"/>
  <c r="X53" i="7"/>
  <c r="T50" i="7"/>
  <c r="Y53" i="7"/>
  <c r="W50" i="7"/>
  <c r="X50" i="7"/>
  <c r="X52" i="7"/>
  <c r="U55" i="7"/>
  <c r="W55" i="7"/>
  <c r="X55" i="7"/>
  <c r="Z55" i="7" s="1"/>
  <c r="AA55" i="7"/>
  <c r="U52" i="7"/>
  <c r="W52" i="7"/>
  <c r="U50" i="6"/>
  <c r="W50" i="6"/>
  <c r="S53" i="6"/>
  <c r="X50" i="6"/>
  <c r="T53" i="6"/>
  <c r="Y50" i="6"/>
  <c r="U53" i="6"/>
  <c r="W53" i="6"/>
  <c r="X53" i="6"/>
  <c r="T50" i="6"/>
  <c r="Y53" i="6"/>
  <c r="S43" i="6"/>
  <c r="AA53" i="6"/>
  <c r="S45" i="6"/>
  <c r="P69" i="6" s="1"/>
  <c r="T45" i="6"/>
  <c r="T55" i="6"/>
  <c r="U55" i="6"/>
  <c r="X58" i="5"/>
  <c r="S52" i="5"/>
  <c r="T59" i="5" s="1"/>
  <c r="X59" i="5" s="1"/>
  <c r="T52" i="5"/>
  <c r="U53" i="5"/>
  <c r="AA50" i="5"/>
  <c r="X53" i="5"/>
  <c r="W53" i="5"/>
  <c r="Y53" i="5"/>
  <c r="X50" i="5"/>
  <c r="AA53" i="5"/>
  <c r="T43" i="5"/>
  <c r="T50" i="5"/>
  <c r="U50" i="5"/>
  <c r="S53" i="5"/>
  <c r="V55" i="4"/>
  <c r="AO12" i="4" a="1"/>
  <c r="AO12" i="4" s="1"/>
  <c r="AX15" i="4"/>
  <c r="AX31" i="4" s="1"/>
  <c r="AB3" i="8"/>
  <c r="AB6" i="8" s="1"/>
  <c r="AB15" i="8"/>
  <c r="AI15" i="8"/>
  <c r="AG15" i="8"/>
  <c r="AO12" i="8" a="1"/>
  <c r="AO12" i="8" s="1"/>
  <c r="AO3" i="8" a="1"/>
  <c r="AO3" i="8" s="1"/>
  <c r="AA11" i="8"/>
  <c r="BC11" i="8" s="1"/>
  <c r="Z2" i="8"/>
  <c r="BB2" i="8" s="1"/>
  <c r="S10" i="8"/>
  <c r="AU10" i="8" s="1"/>
  <c r="U11" i="8"/>
  <c r="AW11" i="8" s="1"/>
  <c r="Z10" i="8"/>
  <c r="BB10" i="8" s="1"/>
  <c r="AG3" i="8"/>
  <c r="W11" i="8"/>
  <c r="AY11" i="8" s="1"/>
  <c r="AI3" i="8"/>
  <c r="AB15" i="7"/>
  <c r="AI15" i="7"/>
  <c r="AG15" i="7"/>
  <c r="AA11" i="7"/>
  <c r="BC11" i="7" s="1"/>
  <c r="AO12" i="7" a="1"/>
  <c r="AO12" i="7" s="1"/>
  <c r="BB22" i="7" s="1"/>
  <c r="AB3" i="7"/>
  <c r="AI3" i="7"/>
  <c r="AG3" i="7"/>
  <c r="S10" i="7"/>
  <c r="AU10" i="7" s="1"/>
  <c r="V11" i="7"/>
  <c r="AX11" i="7" s="1"/>
  <c r="AO3" i="6" a="1"/>
  <c r="AO3" i="6" s="1"/>
  <c r="BB3" i="6" s="1"/>
  <c r="AB15" i="6"/>
  <c r="AI15" i="6"/>
  <c r="AG15" i="6"/>
  <c r="AB3" i="6"/>
  <c r="Z11" i="6"/>
  <c r="BB11" i="6" s="1"/>
  <c r="Z2" i="6"/>
  <c r="BB2" i="6" s="1"/>
  <c r="AO12" i="6" a="1"/>
  <c r="AO12" i="6" s="1"/>
  <c r="BB23" i="6" s="1"/>
  <c r="S10" i="6"/>
  <c r="AU10" i="6" s="1"/>
  <c r="U11" i="6"/>
  <c r="AW11" i="6" s="1"/>
  <c r="Z10" i="6"/>
  <c r="BB10" i="6" s="1"/>
  <c r="AG3" i="6"/>
  <c r="W11" i="6"/>
  <c r="AY11" i="6" s="1"/>
  <c r="X11" i="6"/>
  <c r="AZ11" i="6" s="1"/>
  <c r="AI3" i="6"/>
  <c r="AG3" i="5"/>
  <c r="AB3" i="5"/>
  <c r="AB15" i="5"/>
  <c r="AI15" i="5"/>
  <c r="AG15" i="5"/>
  <c r="AO12" i="5" a="1"/>
  <c r="AO12" i="5" s="1"/>
  <c r="BB14" i="5" s="1"/>
  <c r="AO3" i="5" a="1"/>
  <c r="AO3" i="5" s="1"/>
  <c r="AX3" i="5"/>
  <c r="Z2" i="5"/>
  <c r="BB2" i="5" s="1"/>
  <c r="U11" i="5"/>
  <c r="AW11" i="5" s="1"/>
  <c r="V11" i="5"/>
  <c r="AX11" i="5" s="1"/>
  <c r="W11" i="5"/>
  <c r="AY11" i="5" s="1"/>
  <c r="AI3" i="5"/>
  <c r="X11" i="5"/>
  <c r="AZ11" i="5" s="1"/>
  <c r="V2" i="4"/>
  <c r="AX2" i="4" s="1"/>
  <c r="AX4" i="4"/>
  <c r="AI3" i="4"/>
  <c r="AG3" i="4"/>
  <c r="AJ3" i="4" s="1"/>
  <c r="AB15" i="4"/>
  <c r="AC15" i="4" s="1"/>
  <c r="AX3" i="4"/>
  <c r="W2" i="4"/>
  <c r="AY2" i="4" s="1"/>
  <c r="U11" i="4"/>
  <c r="AW11" i="4" s="1"/>
  <c r="AW27" i="4" s="1"/>
  <c r="T11" i="4"/>
  <c r="AV11" i="4" s="1"/>
  <c r="AV27" i="4" s="1"/>
  <c r="AA11" i="4"/>
  <c r="BC11" i="4" s="1"/>
  <c r="BC27" i="4" s="1"/>
  <c r="R11" i="4"/>
  <c r="AT11" i="4" s="1"/>
  <c r="AT27" i="4" s="1"/>
  <c r="AG15" i="4"/>
  <c r="AG21" i="4" s="1"/>
  <c r="Z11" i="4"/>
  <c r="BB11" i="4" s="1"/>
  <c r="BB27" i="4" s="1"/>
  <c r="Z10" i="4"/>
  <c r="BB10" i="4" s="1"/>
  <c r="BB26" i="4" s="1"/>
  <c r="AI15" i="4"/>
  <c r="AI23" i="4" s="1"/>
  <c r="Y11" i="4"/>
  <c r="BA11" i="4" s="1"/>
  <c r="BA27" i="4" s="1"/>
  <c r="S10" i="4"/>
  <c r="AU10" i="4" s="1"/>
  <c r="AU26" i="4" s="1"/>
  <c r="X11" i="4"/>
  <c r="AZ11" i="4" s="1"/>
  <c r="AZ27" i="4" s="1"/>
  <c r="A36" i="3"/>
  <c r="T7" i="3"/>
  <c r="AD5" i="3"/>
  <c r="AD4" i="3"/>
  <c r="U4" i="3" s="1"/>
  <c r="T8" i="3"/>
  <c r="T4" i="3"/>
  <c r="AD7" i="3"/>
  <c r="AC5" i="3"/>
  <c r="AC4" i="3"/>
  <c r="P4" i="3" s="1"/>
  <c r="O4" i="3"/>
  <c r="AC3" i="3"/>
  <c r="AC6" i="3" s="1"/>
  <c r="V8" i="3"/>
  <c r="T5" i="3"/>
  <c r="V6" i="3"/>
  <c r="V3" i="3"/>
  <c r="U6" i="3"/>
  <c r="U3" i="3"/>
  <c r="T6" i="3"/>
  <c r="Q5" i="3"/>
  <c r="Q8" i="3"/>
  <c r="Q4" i="3"/>
  <c r="O8" i="3"/>
  <c r="P3" i="3"/>
  <c r="P8" i="3"/>
  <c r="P7" i="3"/>
  <c r="O3" i="3"/>
  <c r="O7" i="3"/>
  <c r="P6" i="3"/>
  <c r="O6" i="3"/>
  <c r="P5" i="3"/>
  <c r="O5" i="3"/>
  <c r="AB2" i="3"/>
  <c r="Q7" i="3"/>
  <c r="Q3" i="3"/>
  <c r="U8" i="3"/>
  <c r="Q6" i="3"/>
  <c r="P43" i="7" l="1"/>
  <c r="P35" i="8"/>
  <c r="P36" i="8"/>
  <c r="P31" i="8"/>
  <c r="Z52" i="4"/>
  <c r="P59" i="8"/>
  <c r="P48" i="8"/>
  <c r="P43" i="8"/>
  <c r="P21" i="8"/>
  <c r="P74" i="8"/>
  <c r="P77" i="8"/>
  <c r="P60" i="8"/>
  <c r="P49" i="8"/>
  <c r="P51" i="7"/>
  <c r="P61" i="8"/>
  <c r="P39" i="8"/>
  <c r="P34" i="8"/>
  <c r="P44" i="8"/>
  <c r="P78" i="8"/>
  <c r="P45" i="8"/>
  <c r="P58" i="8"/>
  <c r="P36" i="7"/>
  <c r="P20" i="8"/>
  <c r="AB55" i="5"/>
  <c r="P63" i="8"/>
  <c r="P76" i="8"/>
  <c r="P18" i="8"/>
  <c r="P50" i="8"/>
  <c r="P75" i="8"/>
  <c r="P74" i="7"/>
  <c r="P24" i="8"/>
  <c r="P19" i="8"/>
  <c r="P46" i="7"/>
  <c r="P77" i="7"/>
  <c r="AB52" i="7"/>
  <c r="P27" i="8"/>
  <c r="P69" i="8"/>
  <c r="P55" i="7"/>
  <c r="P54" i="7"/>
  <c r="P26" i="7"/>
  <c r="P38" i="8"/>
  <c r="P71" i="8"/>
  <c r="P63" i="7"/>
  <c r="P78" i="7"/>
  <c r="P54" i="8"/>
  <c r="P70" i="7"/>
  <c r="P25" i="8"/>
  <c r="P67" i="8"/>
  <c r="P18" i="7"/>
  <c r="P67" i="7"/>
  <c r="P38" i="7"/>
  <c r="P30" i="7"/>
  <c r="P69" i="7"/>
  <c r="P76" i="7"/>
  <c r="P66" i="7"/>
  <c r="P19" i="7"/>
  <c r="P73" i="7"/>
  <c r="P44" i="7"/>
  <c r="P60" i="7"/>
  <c r="P27" i="7"/>
  <c r="P75" i="7"/>
  <c r="P23" i="7"/>
  <c r="AB55" i="4"/>
  <c r="P31" i="7"/>
  <c r="P50" i="7"/>
  <c r="P33" i="7"/>
  <c r="P35" i="7"/>
  <c r="P57" i="8"/>
  <c r="P37" i="7"/>
  <c r="P32" i="8"/>
  <c r="P70" i="8"/>
  <c r="P62" i="7"/>
  <c r="P47" i="8"/>
  <c r="P39" i="7"/>
  <c r="P68" i="8"/>
  <c r="P42" i="8"/>
  <c r="P22" i="7"/>
  <c r="P42" i="7"/>
  <c r="P55" i="8"/>
  <c r="P59" i="7"/>
  <c r="P47" i="6"/>
  <c r="P25" i="5"/>
  <c r="P61" i="5"/>
  <c r="P36" i="6"/>
  <c r="P72" i="6"/>
  <c r="P44" i="5"/>
  <c r="P54" i="5"/>
  <c r="P25" i="6"/>
  <c r="P61" i="6"/>
  <c r="P39" i="5"/>
  <c r="P75" i="5"/>
  <c r="P32" i="6"/>
  <c r="P68" i="6"/>
  <c r="P70" i="5"/>
  <c r="P58" i="6"/>
  <c r="P39" i="6"/>
  <c r="P75" i="6"/>
  <c r="P77" i="5"/>
  <c r="P51" i="8"/>
  <c r="P25" i="7"/>
  <c r="P61" i="7"/>
  <c r="P31" i="5"/>
  <c r="P67" i="5"/>
  <c r="P34" i="6"/>
  <c r="P46" i="8"/>
  <c r="P32" i="7"/>
  <c r="P68" i="7"/>
  <c r="P42" i="6"/>
  <c r="P78" i="6"/>
  <c r="P50" i="5"/>
  <c r="P56" i="8"/>
  <c r="P23" i="8"/>
  <c r="P21" i="7"/>
  <c r="P57" i="7"/>
  <c r="P31" i="6"/>
  <c r="P67" i="6"/>
  <c r="P45" i="5"/>
  <c r="P26" i="8"/>
  <c r="P46" i="6"/>
  <c r="P30" i="8"/>
  <c r="P66" i="8"/>
  <c r="P58" i="7"/>
  <c r="P38" i="6"/>
  <c r="P74" i="6"/>
  <c r="P76" i="5"/>
  <c r="P18" i="5"/>
  <c r="P37" i="8"/>
  <c r="P73" i="8"/>
  <c r="P71" i="7"/>
  <c r="P45" i="6"/>
  <c r="P23" i="5"/>
  <c r="P59" i="6"/>
  <c r="P37" i="5"/>
  <c r="P73" i="5"/>
  <c r="P70" i="6"/>
  <c r="P48" i="6"/>
  <c r="P20" i="5"/>
  <c r="P56" i="5"/>
  <c r="P37" i="6"/>
  <c r="P73" i="6"/>
  <c r="P51" i="5"/>
  <c r="P76" i="6"/>
  <c r="P44" i="6"/>
  <c r="P22" i="5"/>
  <c r="P48" i="5"/>
  <c r="P51" i="6"/>
  <c r="P35" i="5"/>
  <c r="P71" i="6"/>
  <c r="P43" i="5"/>
  <c r="P42" i="5"/>
  <c r="P18" i="6"/>
  <c r="P54" i="6"/>
  <c r="P26" i="5"/>
  <c r="P62" i="5"/>
  <c r="P43" i="6"/>
  <c r="P21" i="5"/>
  <c r="P57" i="5"/>
  <c r="P36" i="5"/>
  <c r="P50" i="6"/>
  <c r="P34" i="5"/>
  <c r="P78" i="5"/>
  <c r="P21" i="6"/>
  <c r="P57" i="6"/>
  <c r="P47" i="5"/>
  <c r="P23" i="6"/>
  <c r="P77" i="6"/>
  <c r="P49" i="5"/>
  <c r="P66" i="5"/>
  <c r="P24" i="6"/>
  <c r="P60" i="6"/>
  <c r="P32" i="5"/>
  <c r="P68" i="5"/>
  <c r="P22" i="6"/>
  <c r="P49" i="6"/>
  <c r="P27" i="5"/>
  <c r="P63" i="5"/>
  <c r="P72" i="5"/>
  <c r="P20" i="6"/>
  <c r="P56" i="6"/>
  <c r="P46" i="5"/>
  <c r="P27" i="6"/>
  <c r="P63" i="6"/>
  <c r="P59" i="5"/>
  <c r="P24" i="5"/>
  <c r="P49" i="7"/>
  <c r="P35" i="6"/>
  <c r="P19" i="5"/>
  <c r="P55" i="5"/>
  <c r="P24" i="7"/>
  <c r="P20" i="7"/>
  <c r="P56" i="7"/>
  <c r="P30" i="6"/>
  <c r="P66" i="6"/>
  <c r="P38" i="5"/>
  <c r="P74" i="5"/>
  <c r="P30" i="5"/>
  <c r="P45" i="7"/>
  <c r="P19" i="6"/>
  <c r="P55" i="6"/>
  <c r="P33" i="5"/>
  <c r="P69" i="5"/>
  <c r="P48" i="7"/>
  <c r="P34" i="7"/>
  <c r="P26" i="6"/>
  <c r="P62" i="6"/>
  <c r="P58" i="5"/>
  <c r="P72" i="7"/>
  <c r="P33" i="6"/>
  <c r="P71" i="5"/>
  <c r="P19" i="4"/>
  <c r="P45" i="4"/>
  <c r="P20" i="4"/>
  <c r="P21" i="4"/>
  <c r="P22" i="4"/>
  <c r="P34" i="4"/>
  <c r="P46" i="4"/>
  <c r="P58" i="4"/>
  <c r="P70" i="4"/>
  <c r="P76" i="4"/>
  <c r="P25" i="4"/>
  <c r="P43" i="4"/>
  <c r="P55" i="4"/>
  <c r="P67" i="4"/>
  <c r="P18" i="4"/>
  <c r="P32" i="4"/>
  <c r="P38" i="4"/>
  <c r="P50" i="4"/>
  <c r="P62" i="4"/>
  <c r="P74" i="4"/>
  <c r="P27" i="4"/>
  <c r="P57" i="4"/>
  <c r="P69" i="4"/>
  <c r="P23" i="4"/>
  <c r="P35" i="4"/>
  <c r="P47" i="4"/>
  <c r="P59" i="4"/>
  <c r="P71" i="4"/>
  <c r="P77" i="4"/>
  <c r="P24" i="4"/>
  <c r="P30" i="4"/>
  <c r="P36" i="4"/>
  <c r="P42" i="4"/>
  <c r="P48" i="4"/>
  <c r="P54" i="4"/>
  <c r="P60" i="4"/>
  <c r="P66" i="4"/>
  <c r="P72" i="4"/>
  <c r="P78" i="4"/>
  <c r="P31" i="4"/>
  <c r="P37" i="4"/>
  <c r="P49" i="4"/>
  <c r="P61" i="4"/>
  <c r="P73" i="4"/>
  <c r="P26" i="4"/>
  <c r="P44" i="4"/>
  <c r="P56" i="4"/>
  <c r="P68" i="4"/>
  <c r="P39" i="4"/>
  <c r="P51" i="4"/>
  <c r="P63" i="4"/>
  <c r="P75" i="4"/>
  <c r="P33" i="4"/>
  <c r="Z52" i="5"/>
  <c r="Z52" i="7"/>
  <c r="Z55" i="5"/>
  <c r="V55" i="5"/>
  <c r="Z55" i="6"/>
  <c r="Z52" i="6"/>
  <c r="Z50" i="8"/>
  <c r="L85" i="8"/>
  <c r="Z55" i="8"/>
  <c r="AB52" i="8"/>
  <c r="AC3" i="8"/>
  <c r="AC6" i="8" s="1"/>
  <c r="AF3" i="8"/>
  <c r="L26" i="8"/>
  <c r="AB8" i="8"/>
  <c r="L74" i="8"/>
  <c r="V55" i="8"/>
  <c r="AB7" i="8"/>
  <c r="L39" i="8"/>
  <c r="AB55" i="8"/>
  <c r="AB5" i="8"/>
  <c r="AB50" i="7"/>
  <c r="V50" i="7"/>
  <c r="Z50" i="7"/>
  <c r="AO3" i="7" a="1"/>
  <c r="AO3" i="7" s="1"/>
  <c r="BB7" i="7" s="1"/>
  <c r="V55" i="7"/>
  <c r="V52" i="6"/>
  <c r="AO30" i="6"/>
  <c r="L11" i="6" s="1"/>
  <c r="L61" i="6"/>
  <c r="V55" i="6"/>
  <c r="Z53" i="6"/>
  <c r="Z50" i="6"/>
  <c r="Z53" i="5"/>
  <c r="L6" i="5"/>
  <c r="Z50" i="5"/>
  <c r="V52" i="5"/>
  <c r="AB53" i="5"/>
  <c r="AB50" i="5"/>
  <c r="V53" i="4"/>
  <c r="K54" i="4"/>
  <c r="K85" i="4"/>
  <c r="K76" i="4"/>
  <c r="K44" i="4"/>
  <c r="BB39" i="4"/>
  <c r="BB35" i="4"/>
  <c r="K27" i="4"/>
  <c r="K24" i="4"/>
  <c r="K78" i="4"/>
  <c r="K56" i="4"/>
  <c r="K72" i="4"/>
  <c r="K59" i="4"/>
  <c r="K6" i="4"/>
  <c r="K21" i="4"/>
  <c r="K25" i="4"/>
  <c r="K70" i="4"/>
  <c r="K77" i="4"/>
  <c r="K73" i="4"/>
  <c r="K36" i="4"/>
  <c r="K32" i="4"/>
  <c r="K81" i="4"/>
  <c r="K35" i="4"/>
  <c r="K15" i="4"/>
  <c r="K66" i="4"/>
  <c r="K47" i="4"/>
  <c r="K48" i="4"/>
  <c r="K39" i="4"/>
  <c r="K17" i="4"/>
  <c r="K19" i="4"/>
  <c r="K68" i="4"/>
  <c r="K22" i="4"/>
  <c r="K71" i="4"/>
  <c r="K14" i="4"/>
  <c r="K51" i="4"/>
  <c r="K29" i="4"/>
  <c r="K31" i="4"/>
  <c r="K80" i="4"/>
  <c r="K34" i="4"/>
  <c r="K83" i="4"/>
  <c r="BB40" i="4"/>
  <c r="K65" i="4"/>
  <c r="K64" i="4"/>
  <c r="K26" i="4"/>
  <c r="K63" i="4"/>
  <c r="K41" i="4"/>
  <c r="K43" i="4"/>
  <c r="K46" i="4"/>
  <c r="BB37" i="4"/>
  <c r="BI31" i="4" s="1"/>
  <c r="BI39" i="4" s="1"/>
  <c r="BB33" i="4"/>
  <c r="K38" i="4"/>
  <c r="K75" i="4"/>
  <c r="K53" i="4"/>
  <c r="K55" i="4"/>
  <c r="BB36" i="4"/>
  <c r="K58" i="4"/>
  <c r="K67" i="4"/>
  <c r="K50" i="4"/>
  <c r="K37" i="4"/>
  <c r="K16" i="4"/>
  <c r="K79" i="4"/>
  <c r="K33" i="4"/>
  <c r="K82" i="4"/>
  <c r="K74" i="4"/>
  <c r="K28" i="4"/>
  <c r="K18" i="4"/>
  <c r="BB31" i="4"/>
  <c r="K45" i="4"/>
  <c r="BB38" i="4"/>
  <c r="K49" i="4"/>
  <c r="K86" i="4"/>
  <c r="K40" i="4"/>
  <c r="K30" i="4"/>
  <c r="K60" i="4"/>
  <c r="K57" i="4"/>
  <c r="K84" i="4"/>
  <c r="Z50" i="4"/>
  <c r="BB32" i="4"/>
  <c r="K62" i="4"/>
  <c r="K61" i="4"/>
  <c r="BB34" i="4"/>
  <c r="K52" i="4"/>
  <c r="K42" i="4"/>
  <c r="K20" i="4"/>
  <c r="K69" i="4"/>
  <c r="L56" i="4"/>
  <c r="L33" i="4"/>
  <c r="L65" i="4"/>
  <c r="L24" i="4"/>
  <c r="L74" i="4"/>
  <c r="L27" i="4"/>
  <c r="L80" i="4"/>
  <c r="L42" i="4"/>
  <c r="L71" i="4"/>
  <c r="L20" i="4"/>
  <c r="L83" i="4"/>
  <c r="L61" i="4"/>
  <c r="L26" i="4"/>
  <c r="L73" i="4"/>
  <c r="L49" i="4"/>
  <c r="L44" i="4"/>
  <c r="L23" i="4"/>
  <c r="L10" i="4"/>
  <c r="L35" i="4"/>
  <c r="L37" i="4"/>
  <c r="L41" i="4"/>
  <c r="L47" i="4"/>
  <c r="L84" i="4"/>
  <c r="L75" i="4"/>
  <c r="L16" i="4"/>
  <c r="S58" i="4" s="1"/>
  <c r="Y58" i="4" s="1"/>
  <c r="L25" i="4"/>
  <c r="Z55" i="4"/>
  <c r="AB53" i="4"/>
  <c r="AB50" i="4"/>
  <c r="V50" i="4"/>
  <c r="AB52" i="4"/>
  <c r="V52" i="4"/>
  <c r="Z53" i="8"/>
  <c r="AE3" i="8"/>
  <c r="AB4" i="8"/>
  <c r="AB50" i="8"/>
  <c r="V50" i="8"/>
  <c r="V53" i="8"/>
  <c r="AB53" i="8"/>
  <c r="K78" i="8"/>
  <c r="K66" i="8"/>
  <c r="K54" i="8"/>
  <c r="K42" i="8"/>
  <c r="K30" i="8"/>
  <c r="K18" i="8"/>
  <c r="K6" i="8"/>
  <c r="K77" i="8"/>
  <c r="K65" i="8"/>
  <c r="K53" i="8"/>
  <c r="K41" i="8"/>
  <c r="K29" i="8"/>
  <c r="K17" i="8"/>
  <c r="K76" i="8"/>
  <c r="K64" i="8"/>
  <c r="K52" i="8"/>
  <c r="K40" i="8"/>
  <c r="K28" i="8"/>
  <c r="K16" i="8"/>
  <c r="K75" i="8"/>
  <c r="K63" i="8"/>
  <c r="K51" i="8"/>
  <c r="K39" i="8"/>
  <c r="K27" i="8"/>
  <c r="K15" i="8"/>
  <c r="K62" i="8"/>
  <c r="K85" i="8"/>
  <c r="K73" i="8"/>
  <c r="K61" i="8"/>
  <c r="K49" i="8"/>
  <c r="K37" i="8"/>
  <c r="K25" i="8"/>
  <c r="K13" i="8"/>
  <c r="K74" i="8"/>
  <c r="K14" i="8"/>
  <c r="K84" i="8"/>
  <c r="K72" i="8"/>
  <c r="K60" i="8"/>
  <c r="K48" i="8"/>
  <c r="K36" i="8"/>
  <c r="K24" i="8"/>
  <c r="K12" i="8"/>
  <c r="K83" i="8"/>
  <c r="K71" i="8"/>
  <c r="K59" i="8"/>
  <c r="K47" i="8"/>
  <c r="K35" i="8"/>
  <c r="K23" i="8"/>
  <c r="K11" i="8"/>
  <c r="K82" i="8"/>
  <c r="K70" i="8"/>
  <c r="K58" i="8"/>
  <c r="K46" i="8"/>
  <c r="K34" i="8"/>
  <c r="K22" i="8"/>
  <c r="K10" i="8"/>
  <c r="K86" i="8"/>
  <c r="K26" i="8"/>
  <c r="K81" i="8"/>
  <c r="K69" i="8"/>
  <c r="K57" i="8"/>
  <c r="K45" i="8"/>
  <c r="K33" i="8"/>
  <c r="K21" i="8"/>
  <c r="K9" i="8"/>
  <c r="K80" i="8"/>
  <c r="K68" i="8"/>
  <c r="K56" i="8"/>
  <c r="K44" i="8"/>
  <c r="K32" i="8"/>
  <c r="K20" i="8"/>
  <c r="K8" i="8"/>
  <c r="K50" i="8"/>
  <c r="K79" i="8"/>
  <c r="K67" i="8"/>
  <c r="K55" i="8"/>
  <c r="K43" i="8"/>
  <c r="K31" i="8"/>
  <c r="K19" i="8"/>
  <c r="K7" i="8"/>
  <c r="K38" i="8"/>
  <c r="AD3" i="8"/>
  <c r="AD6" i="8" s="1"/>
  <c r="V52" i="8"/>
  <c r="L21" i="8"/>
  <c r="L24" i="8"/>
  <c r="L50" i="8"/>
  <c r="L15" i="8"/>
  <c r="L63" i="8"/>
  <c r="L28" i="8"/>
  <c r="L76" i="8"/>
  <c r="L45" i="8"/>
  <c r="L69" i="8"/>
  <c r="L59" i="8"/>
  <c r="L6" i="8"/>
  <c r="L54" i="8"/>
  <c r="L19" i="8"/>
  <c r="L67" i="8"/>
  <c r="L32" i="8"/>
  <c r="L80" i="8"/>
  <c r="L49" i="8"/>
  <c r="L52" i="8"/>
  <c r="L46" i="8"/>
  <c r="L41" i="8"/>
  <c r="L58" i="8"/>
  <c r="L71" i="8"/>
  <c r="L53" i="8"/>
  <c r="L14" i="8"/>
  <c r="L62" i="8"/>
  <c r="L27" i="8"/>
  <c r="L75" i="8"/>
  <c r="L40" i="8"/>
  <c r="L9" i="8"/>
  <c r="L57" i="8"/>
  <c r="L72" i="8"/>
  <c r="L23" i="8"/>
  <c r="L36" i="8"/>
  <c r="L84" i="8"/>
  <c r="L18" i="8"/>
  <c r="L66" i="8"/>
  <c r="L31" i="8"/>
  <c r="L79" i="8"/>
  <c r="L44" i="8"/>
  <c r="L13" i="8"/>
  <c r="L61" i="8"/>
  <c r="L11" i="8"/>
  <c r="L10" i="8"/>
  <c r="L22" i="8"/>
  <c r="L70" i="8"/>
  <c r="L35" i="8"/>
  <c r="L83" i="8"/>
  <c r="L48" i="8"/>
  <c r="L17" i="8"/>
  <c r="L65" i="8"/>
  <c r="L30" i="8"/>
  <c r="L43" i="8"/>
  <c r="L56" i="8"/>
  <c r="L25" i="8"/>
  <c r="L34" i="8"/>
  <c r="L12" i="8"/>
  <c r="L77" i="8"/>
  <c r="L38" i="8"/>
  <c r="L86" i="8"/>
  <c r="L51" i="8"/>
  <c r="L16" i="8"/>
  <c r="S58" i="8" s="1"/>
  <c r="Y58" i="8" s="1"/>
  <c r="L64" i="8"/>
  <c r="L33" i="8"/>
  <c r="L81" i="8"/>
  <c r="L78" i="8"/>
  <c r="L8" i="8"/>
  <c r="L73" i="8"/>
  <c r="L82" i="8"/>
  <c r="L47" i="8"/>
  <c r="L60" i="8"/>
  <c r="L29" i="8"/>
  <c r="L42" i="8"/>
  <c r="L7" i="8"/>
  <c r="L55" i="8"/>
  <c r="L20" i="8"/>
  <c r="L68" i="8"/>
  <c r="L37" i="8"/>
  <c r="Z53" i="7"/>
  <c r="K26" i="7"/>
  <c r="V53" i="7"/>
  <c r="AB53" i="7"/>
  <c r="AB55" i="7"/>
  <c r="V52" i="7"/>
  <c r="L81" i="7"/>
  <c r="V53" i="6"/>
  <c r="AB53" i="6"/>
  <c r="BB7" i="6"/>
  <c r="K82" i="6"/>
  <c r="K70" i="6"/>
  <c r="K58" i="6"/>
  <c r="K46" i="6"/>
  <c r="K34" i="6"/>
  <c r="K22" i="6"/>
  <c r="K10" i="6"/>
  <c r="K36" i="6"/>
  <c r="K81" i="6"/>
  <c r="K69" i="6"/>
  <c r="K57" i="6"/>
  <c r="K45" i="6"/>
  <c r="K33" i="6"/>
  <c r="K21" i="6"/>
  <c r="K9" i="6"/>
  <c r="K59" i="6"/>
  <c r="K80" i="6"/>
  <c r="K68" i="6"/>
  <c r="K56" i="6"/>
  <c r="K44" i="6"/>
  <c r="K32" i="6"/>
  <c r="K20" i="6"/>
  <c r="K8" i="6"/>
  <c r="K79" i="6"/>
  <c r="K67" i="6"/>
  <c r="K55" i="6"/>
  <c r="K43" i="6"/>
  <c r="K31" i="6"/>
  <c r="K19" i="6"/>
  <c r="K7" i="6"/>
  <c r="K72" i="6"/>
  <c r="K83" i="6"/>
  <c r="K11" i="6"/>
  <c r="K78" i="6"/>
  <c r="K66" i="6"/>
  <c r="K54" i="6"/>
  <c r="K42" i="6"/>
  <c r="K30" i="6"/>
  <c r="K18" i="6"/>
  <c r="K6" i="6"/>
  <c r="K12" i="6"/>
  <c r="K71" i="6"/>
  <c r="K77" i="6"/>
  <c r="K65" i="6"/>
  <c r="K53" i="6"/>
  <c r="K41" i="6"/>
  <c r="K29" i="6"/>
  <c r="K17" i="6"/>
  <c r="K48" i="6"/>
  <c r="K35" i="6"/>
  <c r="K76" i="6"/>
  <c r="K64" i="6"/>
  <c r="K52" i="6"/>
  <c r="K40" i="6"/>
  <c r="K28" i="6"/>
  <c r="K16" i="6"/>
  <c r="K84" i="6"/>
  <c r="K75" i="6"/>
  <c r="K63" i="6"/>
  <c r="K51" i="6"/>
  <c r="K39" i="6"/>
  <c r="K27" i="6"/>
  <c r="K15" i="6"/>
  <c r="K86" i="6"/>
  <c r="K74" i="6"/>
  <c r="K62" i="6"/>
  <c r="K50" i="6"/>
  <c r="K38" i="6"/>
  <c r="K26" i="6"/>
  <c r="K14" i="6"/>
  <c r="K60" i="6"/>
  <c r="K23" i="6"/>
  <c r="K85" i="6"/>
  <c r="K73" i="6"/>
  <c r="K61" i="6"/>
  <c r="K49" i="6"/>
  <c r="K37" i="6"/>
  <c r="K25" i="6"/>
  <c r="K13" i="6"/>
  <c r="K24" i="6"/>
  <c r="K47" i="6"/>
  <c r="AB50" i="6"/>
  <c r="V50" i="6"/>
  <c r="L38" i="6"/>
  <c r="L58" i="6"/>
  <c r="L71" i="6"/>
  <c r="L21" i="6"/>
  <c r="L26" i="6"/>
  <c r="L34" i="6"/>
  <c r="L62" i="6"/>
  <c r="L84" i="6"/>
  <c r="L65" i="6"/>
  <c r="L74" i="6"/>
  <c r="L12" i="6"/>
  <c r="L73" i="6"/>
  <c r="L36" i="6"/>
  <c r="L52" i="6"/>
  <c r="L10" i="6"/>
  <c r="L23" i="6"/>
  <c r="L56" i="6"/>
  <c r="L14" i="6"/>
  <c r="L60" i="6"/>
  <c r="L30" i="6"/>
  <c r="L43" i="6"/>
  <c r="AB55" i="6"/>
  <c r="L16" i="6"/>
  <c r="S58" i="6" s="1"/>
  <c r="Y58" i="6" s="1"/>
  <c r="L77" i="6"/>
  <c r="L7" i="6"/>
  <c r="L20" i="6"/>
  <c r="L68" i="6"/>
  <c r="L46" i="6"/>
  <c r="L37" i="6"/>
  <c r="L50" i="6"/>
  <c r="L63" i="6"/>
  <c r="L28" i="6"/>
  <c r="L76" i="6"/>
  <c r="L41" i="6"/>
  <c r="L51" i="6"/>
  <c r="L64" i="6"/>
  <c r="L42" i="6"/>
  <c r="L33" i="6"/>
  <c r="L24" i="6"/>
  <c r="L6" i="6"/>
  <c r="L54" i="6"/>
  <c r="L19" i="6"/>
  <c r="L67" i="6"/>
  <c r="L32" i="6"/>
  <c r="L80" i="6"/>
  <c r="L40" i="6"/>
  <c r="L53" i="6"/>
  <c r="L18" i="6"/>
  <c r="L31" i="6"/>
  <c r="L79" i="6"/>
  <c r="L44" i="6"/>
  <c r="L9" i="6"/>
  <c r="L57" i="6"/>
  <c r="L22" i="6"/>
  <c r="L35" i="6"/>
  <c r="L48" i="6"/>
  <c r="L13" i="6"/>
  <c r="BB7" i="5"/>
  <c r="K81" i="5"/>
  <c r="K75" i="5"/>
  <c r="K69" i="5"/>
  <c r="K63" i="5"/>
  <c r="K57" i="5"/>
  <c r="K51" i="5"/>
  <c r="K45" i="5"/>
  <c r="K39" i="5"/>
  <c r="K33" i="5"/>
  <c r="K27" i="5"/>
  <c r="K21" i="5"/>
  <c r="K15" i="5"/>
  <c r="K9" i="5"/>
  <c r="K28" i="5"/>
  <c r="K82" i="5"/>
  <c r="K70" i="5"/>
  <c r="K46" i="5"/>
  <c r="K10" i="5"/>
  <c r="K80" i="5"/>
  <c r="K74" i="5"/>
  <c r="K68" i="5"/>
  <c r="K62" i="5"/>
  <c r="K56" i="5"/>
  <c r="K50" i="5"/>
  <c r="K44" i="5"/>
  <c r="K38" i="5"/>
  <c r="K32" i="5"/>
  <c r="K26" i="5"/>
  <c r="K20" i="5"/>
  <c r="K14" i="5"/>
  <c r="K8" i="5"/>
  <c r="K22" i="5"/>
  <c r="K86" i="5"/>
  <c r="K79" i="5"/>
  <c r="K73" i="5"/>
  <c r="K67" i="5"/>
  <c r="K61" i="5"/>
  <c r="K55" i="5"/>
  <c r="K49" i="5"/>
  <c r="K43" i="5"/>
  <c r="K37" i="5"/>
  <c r="K31" i="5"/>
  <c r="K25" i="5"/>
  <c r="K19" i="5"/>
  <c r="K13" i="5"/>
  <c r="K7" i="5"/>
  <c r="K85" i="5"/>
  <c r="K78" i="5"/>
  <c r="K72" i="5"/>
  <c r="K66" i="5"/>
  <c r="K60" i="5"/>
  <c r="K54" i="5"/>
  <c r="K48" i="5"/>
  <c r="K42" i="5"/>
  <c r="K36" i="5"/>
  <c r="K30" i="5"/>
  <c r="K24" i="5"/>
  <c r="K18" i="5"/>
  <c r="K12" i="5"/>
  <c r="K6" i="5"/>
  <c r="K64" i="5"/>
  <c r="K40" i="5"/>
  <c r="K16" i="5"/>
  <c r="K84" i="5"/>
  <c r="K58" i="5"/>
  <c r="K83" i="5"/>
  <c r="K77" i="5"/>
  <c r="K71" i="5"/>
  <c r="K65" i="5"/>
  <c r="K59" i="5"/>
  <c r="K53" i="5"/>
  <c r="K47" i="5"/>
  <c r="K41" i="5"/>
  <c r="K35" i="5"/>
  <c r="K29" i="5"/>
  <c r="K23" i="5"/>
  <c r="K17" i="5"/>
  <c r="K11" i="5"/>
  <c r="K76" i="5"/>
  <c r="K52" i="5"/>
  <c r="K34" i="5"/>
  <c r="V50" i="5"/>
  <c r="V53" i="5"/>
  <c r="L44" i="5"/>
  <c r="L79" i="5"/>
  <c r="L31" i="5"/>
  <c r="L26" i="5"/>
  <c r="L74" i="5"/>
  <c r="L45" i="5"/>
  <c r="L40" i="5"/>
  <c r="L75" i="5"/>
  <c r="L27" i="5"/>
  <c r="L30" i="5"/>
  <c r="L78" i="5"/>
  <c r="L49" i="5"/>
  <c r="L35" i="5"/>
  <c r="L34" i="5"/>
  <c r="L80" i="5"/>
  <c r="L57" i="5"/>
  <c r="L76" i="5"/>
  <c r="L28" i="5"/>
  <c r="L63" i="5"/>
  <c r="L15" i="5"/>
  <c r="L42" i="5"/>
  <c r="L13" i="5"/>
  <c r="L61" i="5"/>
  <c r="L48" i="5"/>
  <c r="L41" i="5"/>
  <c r="L71" i="5"/>
  <c r="L82" i="5"/>
  <c r="L32" i="5"/>
  <c r="L19" i="5"/>
  <c r="L38" i="5"/>
  <c r="L72" i="5"/>
  <c r="L24" i="5"/>
  <c r="L11" i="5"/>
  <c r="L46" i="5"/>
  <c r="L17" i="5"/>
  <c r="L65" i="5"/>
  <c r="L68" i="5"/>
  <c r="L20" i="5"/>
  <c r="L55" i="5"/>
  <c r="L7" i="5"/>
  <c r="L50" i="5"/>
  <c r="L21" i="5"/>
  <c r="L69" i="5"/>
  <c r="L22" i="5"/>
  <c r="L36" i="5"/>
  <c r="L23" i="5"/>
  <c r="L53" i="5"/>
  <c r="L67" i="5"/>
  <c r="L9" i="5"/>
  <c r="L59" i="5"/>
  <c r="L64" i="5"/>
  <c r="L16" i="5"/>
  <c r="L51" i="5"/>
  <c r="L54" i="5"/>
  <c r="L25" i="5"/>
  <c r="L73" i="5"/>
  <c r="L83" i="5"/>
  <c r="L70" i="5"/>
  <c r="L85" i="5"/>
  <c r="L60" i="5"/>
  <c r="L12" i="5"/>
  <c r="L47" i="5"/>
  <c r="L10" i="5"/>
  <c r="L58" i="5"/>
  <c r="L29" i="5"/>
  <c r="L77" i="5"/>
  <c r="L56" i="5"/>
  <c r="L8" i="5"/>
  <c r="L43" i="5"/>
  <c r="L14" i="5"/>
  <c r="L62" i="5"/>
  <c r="L33" i="5"/>
  <c r="L81" i="5"/>
  <c r="L52" i="5"/>
  <c r="L84" i="5"/>
  <c r="L39" i="5"/>
  <c r="L18" i="5"/>
  <c r="L66" i="5"/>
  <c r="L37" i="5"/>
  <c r="L86" i="5"/>
  <c r="BD31" i="4"/>
  <c r="BH31" i="4" s="1"/>
  <c r="BB18" i="4"/>
  <c r="BB8" i="4"/>
  <c r="BB21" i="4"/>
  <c r="BB5" i="4"/>
  <c r="K13" i="4"/>
  <c r="BB17" i="4"/>
  <c r="BB20" i="4"/>
  <c r="BB16" i="4"/>
  <c r="BB24" i="4"/>
  <c r="K11" i="4"/>
  <c r="K8" i="4"/>
  <c r="K10" i="4"/>
  <c r="K12" i="4"/>
  <c r="BB23" i="4"/>
  <c r="BB19" i="4"/>
  <c r="BB22" i="4"/>
  <c r="K9" i="4"/>
  <c r="BB15" i="4"/>
  <c r="K7" i="4"/>
  <c r="BB15" i="8"/>
  <c r="BB16" i="8"/>
  <c r="BB20" i="8"/>
  <c r="BB3" i="8"/>
  <c r="BB4" i="8"/>
  <c r="BB22" i="8"/>
  <c r="BB18" i="8"/>
  <c r="BB21" i="8"/>
  <c r="BB14" i="8"/>
  <c r="AF8" i="8"/>
  <c r="AF4" i="8"/>
  <c r="AF5" i="8"/>
  <c r="AF6" i="8"/>
  <c r="AF7" i="8"/>
  <c r="AI5" i="8"/>
  <c r="AI6" i="8"/>
  <c r="AI7" i="8"/>
  <c r="AI8" i="8"/>
  <c r="AI4" i="8"/>
  <c r="BB13" i="8"/>
  <c r="AG19" i="8"/>
  <c r="AG22" i="8"/>
  <c r="AG17" i="8"/>
  <c r="AG21" i="8"/>
  <c r="AG20" i="8"/>
  <c r="AH15" i="8"/>
  <c r="AG23" i="8"/>
  <c r="AG18" i="8"/>
  <c r="AG24" i="8"/>
  <c r="AG16" i="8"/>
  <c r="BB7" i="8"/>
  <c r="BB5" i="8"/>
  <c r="AI17" i="8"/>
  <c r="AI20" i="8"/>
  <c r="AI23" i="8"/>
  <c r="AI18" i="8"/>
  <c r="AI21" i="8"/>
  <c r="AI24" i="8"/>
  <c r="AI16" i="8"/>
  <c r="AI22" i="8"/>
  <c r="AI19" i="8"/>
  <c r="BB19" i="8"/>
  <c r="AG4" i="8"/>
  <c r="AJ3" i="8"/>
  <c r="AG5" i="8"/>
  <c r="AH3" i="8"/>
  <c r="AG6" i="8"/>
  <c r="AG8" i="8"/>
  <c r="AG7" i="8"/>
  <c r="AD5" i="8"/>
  <c r="AB20" i="8"/>
  <c r="AK15" i="8"/>
  <c r="AC15" i="8"/>
  <c r="AB23" i="8"/>
  <c r="AB18" i="8"/>
  <c r="AB21" i="8"/>
  <c r="AB24" i="8"/>
  <c r="AB16" i="8"/>
  <c r="AB19" i="8"/>
  <c r="AF15" i="8"/>
  <c r="AB22" i="8"/>
  <c r="AB17" i="8"/>
  <c r="AL15" i="8"/>
  <c r="AM15" i="8"/>
  <c r="AE15" i="8"/>
  <c r="AD15" i="8"/>
  <c r="BB17" i="8"/>
  <c r="BB24" i="8"/>
  <c r="BB8" i="8"/>
  <c r="AE7" i="8"/>
  <c r="AE8" i="8"/>
  <c r="AE4" i="8"/>
  <c r="AE5" i="8"/>
  <c r="AE6" i="8"/>
  <c r="BB6" i="8"/>
  <c r="BB23" i="8"/>
  <c r="BB12" i="8"/>
  <c r="BB17" i="7"/>
  <c r="BB15" i="7"/>
  <c r="AB6" i="7"/>
  <c r="AB7" i="7"/>
  <c r="AB8" i="7"/>
  <c r="AF3" i="7"/>
  <c r="AB4" i="7"/>
  <c r="AE3" i="7"/>
  <c r="AC3" i="7"/>
  <c r="AD3" i="7"/>
  <c r="AB5" i="7"/>
  <c r="BB23" i="7"/>
  <c r="AI20" i="7"/>
  <c r="AI23" i="7"/>
  <c r="AI18" i="7"/>
  <c r="AI21" i="7"/>
  <c r="AI24" i="7"/>
  <c r="AI16" i="7"/>
  <c r="AI17" i="7"/>
  <c r="AI19" i="7"/>
  <c r="AI22" i="7"/>
  <c r="AG22" i="7"/>
  <c r="AG17" i="7"/>
  <c r="AG20" i="7"/>
  <c r="AH15" i="7"/>
  <c r="AG23" i="7"/>
  <c r="AG18" i="7"/>
  <c r="AG21" i="7"/>
  <c r="AG19" i="7"/>
  <c r="AG16" i="7"/>
  <c r="AG24" i="7"/>
  <c r="BB3" i="7"/>
  <c r="AB23" i="7"/>
  <c r="AB18" i="7"/>
  <c r="AB21" i="7"/>
  <c r="AB24" i="7"/>
  <c r="AB16" i="7"/>
  <c r="AB19" i="7"/>
  <c r="AF15" i="7"/>
  <c r="AB17" i="7"/>
  <c r="AC15" i="7"/>
  <c r="AM15" i="7"/>
  <c r="AD15" i="7"/>
  <c r="AL15" i="7"/>
  <c r="AB22" i="7"/>
  <c r="AB20" i="7"/>
  <c r="AK15" i="7"/>
  <c r="AE15" i="7"/>
  <c r="BB20" i="7"/>
  <c r="BB13" i="7"/>
  <c r="BB12" i="7"/>
  <c r="BB16" i="7"/>
  <c r="BB21" i="7"/>
  <c r="BB14" i="7"/>
  <c r="BB18" i="7"/>
  <c r="AG5" i="7"/>
  <c r="AH3" i="7"/>
  <c r="AG6" i="7"/>
  <c r="AJ3" i="7"/>
  <c r="AG7" i="7"/>
  <c r="AG8" i="7"/>
  <c r="AG4" i="7"/>
  <c r="AI6" i="7"/>
  <c r="AI7" i="7"/>
  <c r="AI8" i="7"/>
  <c r="AI5" i="7"/>
  <c r="AI4" i="7"/>
  <c r="BB19" i="7"/>
  <c r="BB24" i="7"/>
  <c r="BB8" i="6"/>
  <c r="BB14" i="6"/>
  <c r="BB16" i="6"/>
  <c r="BB4" i="6"/>
  <c r="BB12" i="6"/>
  <c r="BB19" i="6"/>
  <c r="BB24" i="6"/>
  <c r="BB6" i="6"/>
  <c r="BB15" i="6"/>
  <c r="BB5" i="6"/>
  <c r="AI17" i="6"/>
  <c r="AI20" i="6"/>
  <c r="AI23" i="6"/>
  <c r="AI18" i="6"/>
  <c r="AI22" i="6"/>
  <c r="AI21" i="6"/>
  <c r="AI24" i="6"/>
  <c r="AI16" i="6"/>
  <c r="AI19" i="6"/>
  <c r="AB20" i="6"/>
  <c r="AK15" i="6"/>
  <c r="AC15" i="6"/>
  <c r="AD15" i="6"/>
  <c r="AB23" i="6"/>
  <c r="AB18" i="6"/>
  <c r="AB21" i="6"/>
  <c r="AB24" i="6"/>
  <c r="AB16" i="6"/>
  <c r="AB19" i="6"/>
  <c r="AF15" i="6"/>
  <c r="AL15" i="6"/>
  <c r="AB22" i="6"/>
  <c r="AM15" i="6"/>
  <c r="AE15" i="6"/>
  <c r="AB17" i="6"/>
  <c r="AG4" i="6"/>
  <c r="AJ3" i="6"/>
  <c r="AG8" i="6"/>
  <c r="AG5" i="6"/>
  <c r="AH3" i="6"/>
  <c r="AG6" i="6"/>
  <c r="AG7" i="6"/>
  <c r="AG19" i="6"/>
  <c r="AG24" i="6"/>
  <c r="AG22" i="6"/>
  <c r="AG17" i="6"/>
  <c r="AG16" i="6"/>
  <c r="AG20" i="6"/>
  <c r="AH15" i="6"/>
  <c r="AG23" i="6"/>
  <c r="AG18" i="6"/>
  <c r="AG21" i="6"/>
  <c r="AI5" i="6"/>
  <c r="AI6" i="6"/>
  <c r="AI7" i="6"/>
  <c r="AI8" i="6"/>
  <c r="AI4" i="6"/>
  <c r="BB21" i="6"/>
  <c r="BB22" i="6"/>
  <c r="BB20" i="6"/>
  <c r="BB18" i="6"/>
  <c r="BB13" i="6"/>
  <c r="BB17" i="6"/>
  <c r="AB6" i="6"/>
  <c r="AB7" i="6"/>
  <c r="AB8" i="6"/>
  <c r="AF3" i="6"/>
  <c r="AB4" i="6"/>
  <c r="AE3" i="6"/>
  <c r="AD3" i="6"/>
  <c r="AC3" i="6"/>
  <c r="AB5" i="6"/>
  <c r="BB19" i="5"/>
  <c r="BB13" i="5"/>
  <c r="BB21" i="5"/>
  <c r="BB15" i="5"/>
  <c r="BB22" i="5"/>
  <c r="BB18" i="5"/>
  <c r="BB20" i="5"/>
  <c r="BB23" i="5"/>
  <c r="BB12" i="5"/>
  <c r="AI17" i="5"/>
  <c r="AI20" i="5"/>
  <c r="AI23" i="5"/>
  <c r="AI18" i="5"/>
  <c r="AI19" i="5"/>
  <c r="AI21" i="5"/>
  <c r="AI24" i="5"/>
  <c r="AI16" i="5"/>
  <c r="AI22" i="5"/>
  <c r="AB5" i="5"/>
  <c r="AC3" i="5"/>
  <c r="AB6" i="5"/>
  <c r="AB7" i="5"/>
  <c r="AB8" i="5"/>
  <c r="AF3" i="5"/>
  <c r="AD3" i="5"/>
  <c r="AE3" i="5"/>
  <c r="AB4" i="5"/>
  <c r="AG19" i="5"/>
  <c r="AG22" i="5"/>
  <c r="AG17" i="5"/>
  <c r="AG20" i="5"/>
  <c r="AH15" i="5"/>
  <c r="AG23" i="5"/>
  <c r="AG21" i="5"/>
  <c r="AG18" i="5"/>
  <c r="AG24" i="5"/>
  <c r="AG16" i="5"/>
  <c r="AG8" i="5"/>
  <c r="AG4" i="5"/>
  <c r="AJ3" i="5"/>
  <c r="AG5" i="5"/>
  <c r="AH3" i="5"/>
  <c r="AG6" i="5"/>
  <c r="AG7" i="5"/>
  <c r="AB20" i="5"/>
  <c r="AK15" i="5"/>
  <c r="AC15" i="5"/>
  <c r="AM15" i="5"/>
  <c r="AB23" i="5"/>
  <c r="AB18" i="5"/>
  <c r="AB21" i="5"/>
  <c r="AB22" i="5"/>
  <c r="AB24" i="5"/>
  <c r="AB16" i="5"/>
  <c r="AB19" i="5"/>
  <c r="AF15" i="5"/>
  <c r="AB17" i="5"/>
  <c r="AL15" i="5"/>
  <c r="AD15" i="5"/>
  <c r="AE15" i="5"/>
  <c r="BB8" i="5"/>
  <c r="BB4" i="5"/>
  <c r="BB3" i="5"/>
  <c r="BB6" i="5"/>
  <c r="BB17" i="5"/>
  <c r="AI5" i="5"/>
  <c r="AI6" i="5"/>
  <c r="AI7" i="5"/>
  <c r="AI4" i="5"/>
  <c r="AI8" i="5"/>
  <c r="BB24" i="5"/>
  <c r="BB5" i="5"/>
  <c r="BB16" i="5"/>
  <c r="AI16" i="4"/>
  <c r="AI22" i="4"/>
  <c r="AJ5" i="4"/>
  <c r="AJ6" i="4"/>
  <c r="AJ7" i="4"/>
  <c r="AJ8" i="4"/>
  <c r="AJ4" i="4"/>
  <c r="AI18" i="4"/>
  <c r="BB4" i="4"/>
  <c r="AI24" i="4"/>
  <c r="BB6" i="4"/>
  <c r="AI19" i="4"/>
  <c r="AI20" i="4"/>
  <c r="BB7" i="4"/>
  <c r="BB3" i="4"/>
  <c r="AD15" i="4"/>
  <c r="AD17" i="4" s="1"/>
  <c r="AG4" i="4"/>
  <c r="AG5" i="4"/>
  <c r="AG6" i="4"/>
  <c r="AG7" i="4"/>
  <c r="AG8" i="4"/>
  <c r="AH3" i="4"/>
  <c r="AG16" i="4"/>
  <c r="AH15" i="4"/>
  <c r="AH23" i="4" s="1"/>
  <c r="AB21" i="4"/>
  <c r="AG24" i="4"/>
  <c r="AB4" i="4"/>
  <c r="AE3" i="4"/>
  <c r="AC3" i="4"/>
  <c r="AB7" i="4"/>
  <c r="AF3" i="4"/>
  <c r="AB5" i="4"/>
  <c r="AD3" i="4"/>
  <c r="AB6" i="4"/>
  <c r="AB8" i="4"/>
  <c r="AG22" i="4"/>
  <c r="AE15" i="4"/>
  <c r="AJ15" i="4" s="1"/>
  <c r="AG23" i="4"/>
  <c r="AB22" i="4"/>
  <c r="AG18" i="4"/>
  <c r="AI5" i="4"/>
  <c r="AI8" i="4"/>
  <c r="AI6" i="4"/>
  <c r="AI7" i="4"/>
  <c r="AI4" i="4"/>
  <c r="AG17" i="4"/>
  <c r="AB23" i="4"/>
  <c r="AK15" i="4"/>
  <c r="AB17" i="4"/>
  <c r="AB18" i="4"/>
  <c r="AB20" i="4"/>
  <c r="AM15" i="4"/>
  <c r="AF15" i="4"/>
  <c r="AL15" i="4"/>
  <c r="AB19" i="4"/>
  <c r="AB24" i="4"/>
  <c r="AI17" i="4"/>
  <c r="AI21" i="4"/>
  <c r="AG20" i="4"/>
  <c r="AG19" i="4"/>
  <c r="AB16" i="4"/>
  <c r="AC22" i="4"/>
  <c r="AC21" i="4"/>
  <c r="AC20" i="4"/>
  <c r="AC19" i="4"/>
  <c r="AC18" i="4"/>
  <c r="AC17" i="4"/>
  <c r="AC16" i="4"/>
  <c r="AC23" i="4"/>
  <c r="AC24" i="4"/>
  <c r="U7" i="3"/>
  <c r="V4" i="3"/>
  <c r="V5" i="3"/>
  <c r="V7" i="3"/>
  <c r="U5" i="3"/>
  <c r="J65" i="3"/>
  <c r="J73" i="3"/>
  <c r="J81" i="3"/>
  <c r="AB4" i="3"/>
  <c r="J7" i="3"/>
  <c r="J8" i="3"/>
  <c r="J84" i="3"/>
  <c r="J60" i="3"/>
  <c r="J68" i="3"/>
  <c r="J76" i="3"/>
  <c r="J6" i="3"/>
  <c r="J63" i="3"/>
  <c r="J71" i="3"/>
  <c r="J79" i="3"/>
  <c r="J66" i="3"/>
  <c r="J74" i="3"/>
  <c r="J82" i="3"/>
  <c r="J5" i="3"/>
  <c r="J59" i="3"/>
  <c r="AB5" i="3"/>
  <c r="J61" i="3"/>
  <c r="J69" i="3"/>
  <c r="J77" i="3"/>
  <c r="J85" i="3"/>
  <c r="J4" i="3"/>
  <c r="J67" i="3"/>
  <c r="J83" i="3"/>
  <c r="J64" i="3"/>
  <c r="J72" i="3"/>
  <c r="J80" i="3"/>
  <c r="J3" i="3"/>
  <c r="J75" i="3"/>
  <c r="J62" i="3"/>
  <c r="J70" i="3"/>
  <c r="J78" i="3"/>
  <c r="J86" i="3"/>
  <c r="AB6" i="3"/>
  <c r="Q18" i="3"/>
  <c r="P53" i="3"/>
  <c r="P41" i="3"/>
  <c r="P49" i="3"/>
  <c r="P32" i="3"/>
  <c r="P19" i="3"/>
  <c r="P22" i="3"/>
  <c r="P54" i="3"/>
  <c r="P62" i="3"/>
  <c r="P28" i="3"/>
  <c r="P31" i="3"/>
  <c r="P39" i="3"/>
  <c r="P47" i="3"/>
  <c r="P18" i="3"/>
  <c r="P74" i="3"/>
  <c r="P65" i="3"/>
  <c r="Q10" i="3"/>
  <c r="Q58" i="3"/>
  <c r="Q66" i="3"/>
  <c r="Q74" i="3"/>
  <c r="Q37" i="3"/>
  <c r="Q45" i="3"/>
  <c r="Q53" i="3"/>
  <c r="Q46" i="3"/>
  <c r="Q16" i="3"/>
  <c r="Q64" i="3"/>
  <c r="Q72" i="3"/>
  <c r="Q80" i="3"/>
  <c r="Q35" i="3"/>
  <c r="Q43" i="3"/>
  <c r="Q51" i="3"/>
  <c r="Q14" i="3"/>
  <c r="Q54" i="3"/>
  <c r="Q9" i="3"/>
  <c r="Q57" i="3"/>
  <c r="Q65" i="3"/>
  <c r="Q73" i="3"/>
  <c r="Q12" i="3"/>
  <c r="Q20" i="3"/>
  <c r="Q28" i="3"/>
  <c r="Q76" i="3"/>
  <c r="Q84" i="3"/>
  <c r="Q15" i="3"/>
  <c r="Q70" i="3"/>
  <c r="Q47" i="3"/>
  <c r="Q71" i="3"/>
  <c r="O16" i="3"/>
  <c r="O24" i="3"/>
  <c r="O32" i="3"/>
  <c r="O40" i="3"/>
  <c r="O48" i="3"/>
  <c r="O56" i="3"/>
  <c r="O64" i="3"/>
  <c r="O72" i="3"/>
  <c r="O80" i="3"/>
  <c r="O20" i="3"/>
  <c r="O28" i="3"/>
  <c r="O36" i="3"/>
  <c r="O11" i="3"/>
  <c r="O19" i="3"/>
  <c r="O27" i="3"/>
  <c r="O35" i="3"/>
  <c r="O43" i="3"/>
  <c r="O51" i="3"/>
  <c r="O59" i="3"/>
  <c r="O67" i="3"/>
  <c r="O75" i="3"/>
  <c r="O83" i="3"/>
  <c r="O14" i="3"/>
  <c r="O22" i="3"/>
  <c r="O30" i="3"/>
  <c r="O38" i="3"/>
  <c r="O46" i="3"/>
  <c r="O54" i="3"/>
  <c r="O62" i="3"/>
  <c r="O70" i="3"/>
  <c r="O78" i="3"/>
  <c r="O86" i="3"/>
  <c r="O12" i="3"/>
  <c r="O9" i="3"/>
  <c r="O17" i="3"/>
  <c r="O25" i="3"/>
  <c r="O33" i="3"/>
  <c r="O41" i="3"/>
  <c r="O49" i="3"/>
  <c r="O57" i="3"/>
  <c r="O65" i="3"/>
  <c r="O73" i="3"/>
  <c r="O81" i="3"/>
  <c r="O44" i="3"/>
  <c r="O15" i="3"/>
  <c r="O23" i="3"/>
  <c r="O31" i="3"/>
  <c r="O39" i="3"/>
  <c r="O47" i="3"/>
  <c r="O55" i="3"/>
  <c r="O63" i="3"/>
  <c r="O71" i="3"/>
  <c r="O79" i="3"/>
  <c r="O13" i="3"/>
  <c r="O21" i="3"/>
  <c r="O37" i="3"/>
  <c r="O10" i="3"/>
  <c r="O18" i="3"/>
  <c r="O26" i="3"/>
  <c r="O34" i="3"/>
  <c r="O42" i="3"/>
  <c r="O50" i="3"/>
  <c r="O58" i="3"/>
  <c r="O66" i="3"/>
  <c r="O74" i="3"/>
  <c r="O82" i="3"/>
  <c r="O29" i="3"/>
  <c r="O77" i="3"/>
  <c r="O68" i="3"/>
  <c r="O69" i="3"/>
  <c r="O45" i="3"/>
  <c r="O60" i="3"/>
  <c r="O61" i="3"/>
  <c r="O84" i="3"/>
  <c r="O52" i="3"/>
  <c r="O85" i="3"/>
  <c r="O53" i="3"/>
  <c r="O76" i="3"/>
  <c r="T12" i="3"/>
  <c r="T20" i="3"/>
  <c r="T28" i="3"/>
  <c r="T36" i="3"/>
  <c r="T44" i="3"/>
  <c r="T52" i="3"/>
  <c r="T60" i="3"/>
  <c r="T68" i="3"/>
  <c r="T76" i="3"/>
  <c r="T84" i="3"/>
  <c r="T16" i="3"/>
  <c r="T24" i="3"/>
  <c r="T56" i="3"/>
  <c r="T15" i="3"/>
  <c r="T23" i="3"/>
  <c r="T31" i="3"/>
  <c r="T39" i="3"/>
  <c r="T47" i="3"/>
  <c r="T55" i="3"/>
  <c r="T63" i="3"/>
  <c r="T71" i="3"/>
  <c r="T79" i="3"/>
  <c r="T64" i="3"/>
  <c r="T10" i="3"/>
  <c r="T18" i="3"/>
  <c r="T26" i="3"/>
  <c r="T34" i="3"/>
  <c r="T42" i="3"/>
  <c r="T50" i="3"/>
  <c r="T58" i="3"/>
  <c r="T66" i="3"/>
  <c r="T74" i="3"/>
  <c r="T82" i="3"/>
  <c r="T32" i="3"/>
  <c r="T48" i="3"/>
  <c r="T72" i="3"/>
  <c r="T13" i="3"/>
  <c r="T21" i="3"/>
  <c r="T29" i="3"/>
  <c r="T37" i="3"/>
  <c r="T45" i="3"/>
  <c r="T53" i="3"/>
  <c r="T61" i="3"/>
  <c r="T69" i="3"/>
  <c r="T77" i="3"/>
  <c r="T85" i="3"/>
  <c r="T40" i="3"/>
  <c r="T80" i="3"/>
  <c r="T11" i="3"/>
  <c r="T19" i="3"/>
  <c r="T27" i="3"/>
  <c r="T35" i="3"/>
  <c r="T43" i="3"/>
  <c r="T51" i="3"/>
  <c r="T59" i="3"/>
  <c r="T67" i="3"/>
  <c r="T75" i="3"/>
  <c r="T83" i="3"/>
  <c r="T25" i="3"/>
  <c r="T49" i="3"/>
  <c r="T65" i="3"/>
  <c r="T81" i="3"/>
  <c r="T14" i="3"/>
  <c r="T22" i="3"/>
  <c r="T30" i="3"/>
  <c r="T38" i="3"/>
  <c r="T46" i="3"/>
  <c r="T54" i="3"/>
  <c r="T62" i="3"/>
  <c r="T70" i="3"/>
  <c r="T78" i="3"/>
  <c r="T86" i="3"/>
  <c r="T9" i="3"/>
  <c r="T17" i="3"/>
  <c r="T33" i="3"/>
  <c r="T41" i="3"/>
  <c r="T57" i="3"/>
  <c r="T73" i="3"/>
  <c r="J10" i="3"/>
  <c r="J18" i="3"/>
  <c r="J26" i="3"/>
  <c r="J34" i="3"/>
  <c r="J42" i="3"/>
  <c r="J50" i="3"/>
  <c r="J58" i="3"/>
  <c r="J11" i="3"/>
  <c r="J19" i="3"/>
  <c r="J27" i="3"/>
  <c r="J35" i="3"/>
  <c r="J43" i="3"/>
  <c r="J51" i="3"/>
  <c r="J9" i="3"/>
  <c r="J41" i="3"/>
  <c r="J12" i="3"/>
  <c r="J20" i="3"/>
  <c r="J28" i="3"/>
  <c r="J36" i="3"/>
  <c r="J44" i="3"/>
  <c r="J52" i="3"/>
  <c r="J17" i="3"/>
  <c r="J57" i="3"/>
  <c r="J13" i="3"/>
  <c r="J21" i="3"/>
  <c r="J29" i="3"/>
  <c r="J37" i="3"/>
  <c r="J45" i="3"/>
  <c r="J53" i="3"/>
  <c r="J14" i="3"/>
  <c r="J22" i="3"/>
  <c r="J30" i="3"/>
  <c r="J38" i="3"/>
  <c r="J46" i="3"/>
  <c r="J54" i="3"/>
  <c r="J33" i="3"/>
  <c r="J15" i="3"/>
  <c r="J23" i="3"/>
  <c r="J31" i="3"/>
  <c r="J39" i="3"/>
  <c r="J47" i="3"/>
  <c r="J55" i="3"/>
  <c r="J49" i="3"/>
  <c r="J16" i="3"/>
  <c r="J24" i="3"/>
  <c r="J32" i="3"/>
  <c r="J40" i="3"/>
  <c r="J48" i="3"/>
  <c r="J56" i="3"/>
  <c r="J25" i="3"/>
  <c r="AC5" i="8" l="1"/>
  <c r="AC4" i="8"/>
  <c r="AC7" i="8"/>
  <c r="AC8" i="8"/>
  <c r="AD4" i="8"/>
  <c r="K16" i="7"/>
  <c r="K55" i="7"/>
  <c r="K8" i="7"/>
  <c r="K57" i="7"/>
  <c r="K11" i="7"/>
  <c r="K72" i="7"/>
  <c r="K77" i="7"/>
  <c r="K32" i="7"/>
  <c r="K81" i="7"/>
  <c r="K35" i="7"/>
  <c r="K66" i="7"/>
  <c r="K50" i="7"/>
  <c r="K40" i="7"/>
  <c r="BB4" i="7"/>
  <c r="K44" i="7"/>
  <c r="K6" i="7"/>
  <c r="K47" i="7"/>
  <c r="K13" i="7"/>
  <c r="K62" i="7"/>
  <c r="K52" i="7"/>
  <c r="K7" i="7"/>
  <c r="K56" i="7"/>
  <c r="K78" i="7"/>
  <c r="K59" i="7"/>
  <c r="K25" i="7"/>
  <c r="K74" i="7"/>
  <c r="K64" i="7"/>
  <c r="K19" i="7"/>
  <c r="K68" i="7"/>
  <c r="K10" i="7"/>
  <c r="K71" i="7"/>
  <c r="K37" i="7"/>
  <c r="K86" i="7"/>
  <c r="K76" i="7"/>
  <c r="BB5" i="7"/>
  <c r="BB8" i="7"/>
  <c r="BD3" i="7" s="1"/>
  <c r="K31" i="7"/>
  <c r="K80" i="7"/>
  <c r="K22" i="7"/>
  <c r="K83" i="7"/>
  <c r="K49" i="7"/>
  <c r="K15" i="7"/>
  <c r="K42" i="7"/>
  <c r="BB6" i="7"/>
  <c r="K43" i="7"/>
  <c r="K30" i="7"/>
  <c r="K34" i="7"/>
  <c r="K12" i="7"/>
  <c r="K61" i="7"/>
  <c r="K27" i="7"/>
  <c r="K17" i="7"/>
  <c r="K9" i="7"/>
  <c r="K46" i="7"/>
  <c r="K24" i="7"/>
  <c r="K73" i="7"/>
  <c r="K39" i="7"/>
  <c r="K29" i="7"/>
  <c r="K67" i="7"/>
  <c r="K21" i="7"/>
  <c r="K58" i="7"/>
  <c r="K36" i="7"/>
  <c r="K85" i="7"/>
  <c r="K51" i="7"/>
  <c r="K41" i="7"/>
  <c r="K79" i="7"/>
  <c r="K33" i="7"/>
  <c r="K70" i="7"/>
  <c r="K48" i="7"/>
  <c r="K54" i="7"/>
  <c r="K63" i="7"/>
  <c r="K53" i="7"/>
  <c r="K18" i="7"/>
  <c r="K45" i="7"/>
  <c r="K82" i="7"/>
  <c r="K60" i="7"/>
  <c r="K14" i="7"/>
  <c r="K75" i="7"/>
  <c r="K65" i="7"/>
  <c r="K20" i="7"/>
  <c r="K69" i="7"/>
  <c r="K23" i="7"/>
  <c r="K84" i="7"/>
  <c r="K38" i="7"/>
  <c r="K28" i="7"/>
  <c r="L66" i="6"/>
  <c r="L72" i="6"/>
  <c r="L15" i="6"/>
  <c r="W54" i="6" s="1"/>
  <c r="L17" i="6"/>
  <c r="T44" i="6" s="1"/>
  <c r="L82" i="6"/>
  <c r="L75" i="6"/>
  <c r="L83" i="6"/>
  <c r="L85" i="6"/>
  <c r="L55" i="6"/>
  <c r="L59" i="6"/>
  <c r="L86" i="6"/>
  <c r="L78" i="6"/>
  <c r="L25" i="6"/>
  <c r="L69" i="6"/>
  <c r="L47" i="6"/>
  <c r="L70" i="6"/>
  <c r="L45" i="6"/>
  <c r="L29" i="6"/>
  <c r="L81" i="6"/>
  <c r="S51" i="6" s="1"/>
  <c r="S59" i="6" s="1"/>
  <c r="Y59" i="6" s="1"/>
  <c r="L27" i="6"/>
  <c r="L8" i="6"/>
  <c r="L39" i="6"/>
  <c r="L49" i="6"/>
  <c r="BQ3" i="6" a="1"/>
  <c r="BQ3" i="6" s="1"/>
  <c r="S44" i="5"/>
  <c r="S58" i="5"/>
  <c r="Y58" i="5" s="1"/>
  <c r="Y51" i="5"/>
  <c r="U51" i="5"/>
  <c r="L69" i="4"/>
  <c r="L79" i="4"/>
  <c r="L55" i="4"/>
  <c r="L46" i="4"/>
  <c r="L58" i="4"/>
  <c r="L29" i="4"/>
  <c r="L22" i="4"/>
  <c r="L68" i="4"/>
  <c r="L28" i="4"/>
  <c r="L76" i="4"/>
  <c r="L48" i="4"/>
  <c r="L18" i="4"/>
  <c r="L12" i="4"/>
  <c r="L7" i="4"/>
  <c r="L14" i="4"/>
  <c r="L82" i="4"/>
  <c r="L19" i="4"/>
  <c r="L63" i="4"/>
  <c r="L67" i="4"/>
  <c r="L11" i="4"/>
  <c r="L53" i="4"/>
  <c r="L66" i="4"/>
  <c r="L6" i="4"/>
  <c r="L64" i="4"/>
  <c r="L39" i="4"/>
  <c r="L43" i="4"/>
  <c r="BK31" i="4"/>
  <c r="BK33" i="4" s="1"/>
  <c r="L8" i="4"/>
  <c r="L85" i="4"/>
  <c r="L78" i="4"/>
  <c r="L21" i="4"/>
  <c r="L57" i="4"/>
  <c r="L17" i="4"/>
  <c r="L45" i="4"/>
  <c r="L36" i="4"/>
  <c r="L15" i="4"/>
  <c r="L9" i="4"/>
  <c r="L54" i="4"/>
  <c r="L13" i="4"/>
  <c r="L38" i="4"/>
  <c r="L51" i="4"/>
  <c r="L59" i="4"/>
  <c r="L62" i="4"/>
  <c r="L60" i="4"/>
  <c r="L72" i="4"/>
  <c r="L50" i="4"/>
  <c r="L70" i="4"/>
  <c r="L40" i="4"/>
  <c r="L30" i="4"/>
  <c r="L34" i="4"/>
  <c r="L81" i="4"/>
  <c r="L31" i="4"/>
  <c r="L86" i="4"/>
  <c r="L32" i="4"/>
  <c r="L52" i="4"/>
  <c r="L77" i="4"/>
  <c r="AD8" i="8"/>
  <c r="AD7" i="8"/>
  <c r="BQ3" i="8" a="1"/>
  <c r="BQ3" i="8" s="1"/>
  <c r="AA51" i="8"/>
  <c r="Y51" i="8"/>
  <c r="X51" i="8"/>
  <c r="S51" i="8"/>
  <c r="S59" i="8" s="1"/>
  <c r="Y59" i="8" s="1"/>
  <c r="W51" i="8"/>
  <c r="U51" i="8"/>
  <c r="T51" i="8"/>
  <c r="X54" i="8"/>
  <c r="T44" i="8"/>
  <c r="W54" i="8"/>
  <c r="S44" i="8"/>
  <c r="U54" i="8"/>
  <c r="T54" i="8"/>
  <c r="S54" i="8"/>
  <c r="AA54" i="8"/>
  <c r="Y54" i="8"/>
  <c r="L6" i="7"/>
  <c r="L24" i="7"/>
  <c r="L29" i="7"/>
  <c r="L36" i="7"/>
  <c r="L22" i="7"/>
  <c r="L82" i="7"/>
  <c r="L74" i="7"/>
  <c r="L79" i="7"/>
  <c r="L32" i="7"/>
  <c r="L34" i="7"/>
  <c r="L31" i="7"/>
  <c r="L45" i="7"/>
  <c r="L30" i="7"/>
  <c r="L75" i="7"/>
  <c r="L86" i="7"/>
  <c r="L69" i="7"/>
  <c r="L27" i="7"/>
  <c r="L38" i="7"/>
  <c r="L21" i="7"/>
  <c r="L62" i="7"/>
  <c r="L68" i="7"/>
  <c r="L52" i="7"/>
  <c r="L14" i="7"/>
  <c r="L26" i="7"/>
  <c r="L39" i="7"/>
  <c r="L85" i="7"/>
  <c r="L42" i="7"/>
  <c r="L77" i="7"/>
  <c r="L70" i="7"/>
  <c r="L80" i="7"/>
  <c r="L7" i="7"/>
  <c r="L60" i="7"/>
  <c r="L61" i="7"/>
  <c r="L67" i="7"/>
  <c r="L46" i="7"/>
  <c r="L12" i="7"/>
  <c r="L13" i="7"/>
  <c r="L19" i="7"/>
  <c r="L37" i="7"/>
  <c r="L73" i="7"/>
  <c r="L65" i="7"/>
  <c r="L66" i="7"/>
  <c r="L71" i="7"/>
  <c r="L76" i="7"/>
  <c r="L20" i="7"/>
  <c r="L33" i="7"/>
  <c r="L25" i="7"/>
  <c r="L17" i="7"/>
  <c r="L18" i="7"/>
  <c r="L23" i="7"/>
  <c r="L28" i="7"/>
  <c r="L41" i="7"/>
  <c r="L64" i="7"/>
  <c r="L56" i="7"/>
  <c r="L48" i="7"/>
  <c r="L57" i="7"/>
  <c r="L58" i="7"/>
  <c r="L63" i="7"/>
  <c r="L59" i="7"/>
  <c r="L16" i="7"/>
  <c r="S58" i="7" s="1"/>
  <c r="Y58" i="7" s="1"/>
  <c r="L8" i="7"/>
  <c r="L83" i="7"/>
  <c r="L9" i="7"/>
  <c r="L10" i="7"/>
  <c r="L15" i="7"/>
  <c r="L55" i="7"/>
  <c r="L51" i="7"/>
  <c r="L43" i="7"/>
  <c r="L35" i="7"/>
  <c r="L40" i="7"/>
  <c r="L49" i="7"/>
  <c r="L50" i="7"/>
  <c r="L11" i="7"/>
  <c r="L47" i="7"/>
  <c r="L84" i="7"/>
  <c r="L44" i="7"/>
  <c r="L53" i="7"/>
  <c r="L54" i="7"/>
  <c r="L78" i="7"/>
  <c r="L72" i="7"/>
  <c r="BI15" i="6"/>
  <c r="BI16" i="6" s="1"/>
  <c r="BI3" i="6"/>
  <c r="BI7" i="6" s="1"/>
  <c r="BK3" i="6"/>
  <c r="BD3" i="6"/>
  <c r="BD4" i="6" s="1"/>
  <c r="BD15" i="6"/>
  <c r="AA51" i="6"/>
  <c r="X54" i="6"/>
  <c r="U54" i="6"/>
  <c r="T54" i="6"/>
  <c r="W51" i="6"/>
  <c r="Y51" i="6"/>
  <c r="S54" i="5"/>
  <c r="X54" i="5"/>
  <c r="T51" i="5"/>
  <c r="T54" i="5"/>
  <c r="U54" i="5"/>
  <c r="W51" i="5"/>
  <c r="W54" i="5"/>
  <c r="X51" i="5"/>
  <c r="T44" i="5"/>
  <c r="Y54" i="5"/>
  <c r="Z54" i="5" s="1"/>
  <c r="AA54" i="5"/>
  <c r="AA51" i="5"/>
  <c r="S51" i="5"/>
  <c r="BK36" i="4"/>
  <c r="BK37" i="4"/>
  <c r="BJ31" i="4"/>
  <c r="BJ37" i="4" s="1"/>
  <c r="BI40" i="4"/>
  <c r="BI32" i="4"/>
  <c r="BM31" i="4"/>
  <c r="BM39" i="4" s="1"/>
  <c r="BI37" i="4"/>
  <c r="BF31" i="4"/>
  <c r="BF40" i="4" s="1"/>
  <c r="BI33" i="4"/>
  <c r="BN31" i="4"/>
  <c r="BN34" i="4" s="1"/>
  <c r="BI34" i="4"/>
  <c r="BG31" i="4"/>
  <c r="BG35" i="4" s="1"/>
  <c r="BI35" i="4"/>
  <c r="BO31" i="4"/>
  <c r="BO33" i="4" s="1"/>
  <c r="BI36" i="4"/>
  <c r="BI38" i="4"/>
  <c r="BD40" i="4"/>
  <c r="BD32" i="4"/>
  <c r="BE31" i="4"/>
  <c r="BD33" i="4"/>
  <c r="BD34" i="4"/>
  <c r="BD37" i="4"/>
  <c r="BD38" i="4"/>
  <c r="BD39" i="4"/>
  <c r="BD35" i="4"/>
  <c r="BD36" i="4"/>
  <c r="BH32" i="4"/>
  <c r="BH40" i="4"/>
  <c r="BH39" i="4"/>
  <c r="BH38" i="4"/>
  <c r="BH37" i="4"/>
  <c r="BH36" i="4"/>
  <c r="BH35" i="4"/>
  <c r="BH34" i="4"/>
  <c r="BH33" i="4"/>
  <c r="BI15" i="4"/>
  <c r="BI17" i="4" s="1"/>
  <c r="AD21" i="4"/>
  <c r="AH20" i="4"/>
  <c r="BK15" i="4"/>
  <c r="BK16" i="4" s="1"/>
  <c r="BD15" i="4"/>
  <c r="BF15" i="4" s="1"/>
  <c r="BQ12" i="4" a="1"/>
  <c r="BQ12" i="4" s="1"/>
  <c r="AH16" i="4"/>
  <c r="AD20" i="4"/>
  <c r="BQ12" i="8" a="1"/>
  <c r="BQ12" i="8" s="1"/>
  <c r="AE21" i="8"/>
  <c r="AE24" i="8"/>
  <c r="AE16" i="8"/>
  <c r="AJ15" i="8"/>
  <c r="AE19" i="8"/>
  <c r="AE23" i="8"/>
  <c r="AE22" i="8"/>
  <c r="AE17" i="8"/>
  <c r="AE20" i="8"/>
  <c r="AE18" i="8"/>
  <c r="BK15" i="8"/>
  <c r="BI15" i="8"/>
  <c r="AM21" i="8"/>
  <c r="AM24" i="8"/>
  <c r="AM16" i="8"/>
  <c r="AM19" i="8"/>
  <c r="AM22" i="8"/>
  <c r="AM17" i="8"/>
  <c r="AM20" i="8"/>
  <c r="AM23" i="8"/>
  <c r="AM18" i="8"/>
  <c r="AJ6" i="8"/>
  <c r="AJ7" i="8"/>
  <c r="AJ8" i="8"/>
  <c r="AJ4" i="8"/>
  <c r="AJ5" i="8"/>
  <c r="BD15" i="8"/>
  <c r="BD3" i="8"/>
  <c r="AF24" i="8"/>
  <c r="AF16" i="8"/>
  <c r="AF19" i="8"/>
  <c r="AF22" i="8"/>
  <c r="AF17" i="8"/>
  <c r="AF20" i="8"/>
  <c r="AF23" i="8"/>
  <c r="AF21" i="8"/>
  <c r="AF18" i="8"/>
  <c r="AL18" i="8"/>
  <c r="AL21" i="8"/>
  <c r="AL24" i="8"/>
  <c r="AL16" i="8"/>
  <c r="AL20" i="8"/>
  <c r="AL19" i="8"/>
  <c r="AL22" i="8"/>
  <c r="AL17" i="8"/>
  <c r="AL23" i="8"/>
  <c r="BI3" i="8"/>
  <c r="AH22" i="8"/>
  <c r="AH17" i="8"/>
  <c r="AH20" i="8"/>
  <c r="AH23" i="8"/>
  <c r="AH18" i="8"/>
  <c r="AH21" i="8"/>
  <c r="AH24" i="8"/>
  <c r="AH19" i="8"/>
  <c r="AH16" i="8"/>
  <c r="AK23" i="8"/>
  <c r="AK18" i="8"/>
  <c r="AK21" i="8"/>
  <c r="AK24" i="8"/>
  <c r="AK16" i="8"/>
  <c r="AK19" i="8"/>
  <c r="AK22" i="8"/>
  <c r="AK20" i="8"/>
  <c r="AK17" i="8"/>
  <c r="AD18" i="8"/>
  <c r="AD21" i="8"/>
  <c r="AD24" i="8"/>
  <c r="AD16" i="8"/>
  <c r="AD19" i="8"/>
  <c r="AD22" i="8"/>
  <c r="AD17" i="8"/>
  <c r="AD23" i="8"/>
  <c r="AD20" i="8"/>
  <c r="AH5" i="8"/>
  <c r="AH6" i="8"/>
  <c r="AH7" i="8"/>
  <c r="AH4" i="8"/>
  <c r="AH8" i="8"/>
  <c r="BK3" i="8"/>
  <c r="AC23" i="8"/>
  <c r="AC18" i="8"/>
  <c r="AC21" i="8"/>
  <c r="AC24" i="8"/>
  <c r="AC16" i="8"/>
  <c r="AC19" i="8"/>
  <c r="AC22" i="8"/>
  <c r="AC20" i="8"/>
  <c r="AC17" i="8"/>
  <c r="AF4" i="7"/>
  <c r="AF5" i="7"/>
  <c r="AF6" i="7"/>
  <c r="AF7" i="7"/>
  <c r="AF8" i="7"/>
  <c r="AJ6" i="7"/>
  <c r="AJ7" i="7"/>
  <c r="AJ8" i="7"/>
  <c r="AJ4" i="7"/>
  <c r="AJ5" i="7"/>
  <c r="AL21" i="7"/>
  <c r="AL24" i="7"/>
  <c r="AL16" i="7"/>
  <c r="AL19" i="7"/>
  <c r="AL22" i="7"/>
  <c r="AL17" i="7"/>
  <c r="AL23" i="7"/>
  <c r="AL20" i="7"/>
  <c r="AL18" i="7"/>
  <c r="AH5" i="7"/>
  <c r="AH6" i="7"/>
  <c r="AH7" i="7"/>
  <c r="AH8" i="7"/>
  <c r="AH4" i="7"/>
  <c r="AD21" i="7"/>
  <c r="AD24" i="7"/>
  <c r="AD16" i="7"/>
  <c r="AD19" i="7"/>
  <c r="AD22" i="7"/>
  <c r="AD17" i="7"/>
  <c r="AD18" i="7"/>
  <c r="AD23" i="7"/>
  <c r="AD20" i="7"/>
  <c r="AK18" i="7"/>
  <c r="AK21" i="7"/>
  <c r="AK24" i="7"/>
  <c r="AK16" i="7"/>
  <c r="AK19" i="7"/>
  <c r="AK22" i="7"/>
  <c r="AK23" i="7"/>
  <c r="AK20" i="7"/>
  <c r="AK17" i="7"/>
  <c r="AM24" i="7"/>
  <c r="AM16" i="7"/>
  <c r="AM19" i="7"/>
  <c r="AM22" i="7"/>
  <c r="AM17" i="7"/>
  <c r="AM20" i="7"/>
  <c r="AM21" i="7"/>
  <c r="AM23" i="7"/>
  <c r="AM18" i="7"/>
  <c r="AD7" i="7"/>
  <c r="AD8" i="7"/>
  <c r="AD4" i="7"/>
  <c r="AD5" i="7"/>
  <c r="AD6" i="7"/>
  <c r="AF19" i="7"/>
  <c r="AF22" i="7"/>
  <c r="AF17" i="7"/>
  <c r="AF20" i="7"/>
  <c r="AF23" i="7"/>
  <c r="AF24" i="7"/>
  <c r="AF18" i="7"/>
  <c r="AF21" i="7"/>
  <c r="AF16" i="7"/>
  <c r="AC18" i="7"/>
  <c r="AC21" i="7"/>
  <c r="AC24" i="7"/>
  <c r="AC16" i="7"/>
  <c r="AC19" i="7"/>
  <c r="AC22" i="7"/>
  <c r="AC17" i="7"/>
  <c r="AC23" i="7"/>
  <c r="AC20" i="7"/>
  <c r="AH17" i="7"/>
  <c r="AH20" i="7"/>
  <c r="AH23" i="7"/>
  <c r="AH18" i="7"/>
  <c r="AH21" i="7"/>
  <c r="AH19" i="7"/>
  <c r="AH22" i="7"/>
  <c r="AH16" i="7"/>
  <c r="AH24" i="7"/>
  <c r="AC7" i="7"/>
  <c r="AC8" i="7"/>
  <c r="AC4" i="7"/>
  <c r="AC5" i="7"/>
  <c r="AC6" i="7"/>
  <c r="BD15" i="7"/>
  <c r="BK15" i="7"/>
  <c r="BI15" i="7"/>
  <c r="BQ12" i="7" a="1"/>
  <c r="BQ12" i="7" s="1"/>
  <c r="AE24" i="7"/>
  <c r="AE16" i="7"/>
  <c r="AJ15" i="7"/>
  <c r="AE19" i="7"/>
  <c r="AE22" i="7"/>
  <c r="AE17" i="7"/>
  <c r="AE20" i="7"/>
  <c r="AE23" i="7"/>
  <c r="AE21" i="7"/>
  <c r="AE18" i="7"/>
  <c r="BQ3" i="7" a="1"/>
  <c r="BQ3" i="7" s="1"/>
  <c r="AE8" i="7"/>
  <c r="AE4" i="7"/>
  <c r="AE5" i="7"/>
  <c r="AE7" i="7"/>
  <c r="AE6" i="7"/>
  <c r="BQ12" i="6" a="1"/>
  <c r="BQ12" i="6" s="1"/>
  <c r="AD7" i="6"/>
  <c r="AD8" i="6"/>
  <c r="AD4" i="6"/>
  <c r="AD5" i="6"/>
  <c r="AD6" i="6"/>
  <c r="AM21" i="6"/>
  <c r="AM24" i="6"/>
  <c r="AM16" i="6"/>
  <c r="AM19" i="6"/>
  <c r="AM22" i="6"/>
  <c r="AM18" i="6"/>
  <c r="AM17" i="6"/>
  <c r="AM20" i="6"/>
  <c r="AM23" i="6"/>
  <c r="BD7" i="6"/>
  <c r="BD8" i="6"/>
  <c r="BF3" i="6"/>
  <c r="BD5" i="6"/>
  <c r="BD6" i="6"/>
  <c r="AH5" i="6"/>
  <c r="AH6" i="6"/>
  <c r="AH7" i="6"/>
  <c r="AH8" i="6"/>
  <c r="AH4" i="6"/>
  <c r="AE21" i="6"/>
  <c r="AE24" i="6"/>
  <c r="AE16" i="6"/>
  <c r="AJ15" i="6"/>
  <c r="AE19" i="6"/>
  <c r="AE18" i="6"/>
  <c r="AE22" i="6"/>
  <c r="AE17" i="6"/>
  <c r="AE20" i="6"/>
  <c r="AE23" i="6"/>
  <c r="AE7" i="6"/>
  <c r="AE8" i="6"/>
  <c r="AE4" i="6"/>
  <c r="AE5" i="6"/>
  <c r="AE6" i="6"/>
  <c r="AJ6" i="6"/>
  <c r="AJ7" i="6"/>
  <c r="AJ8" i="6"/>
  <c r="AJ4" i="6"/>
  <c r="AJ5" i="6"/>
  <c r="AL18" i="6"/>
  <c r="AL21" i="6"/>
  <c r="AL24" i="6"/>
  <c r="AL16" i="6"/>
  <c r="AL19" i="6"/>
  <c r="AL22" i="6"/>
  <c r="AL17" i="6"/>
  <c r="AL23" i="6"/>
  <c r="AL20" i="6"/>
  <c r="AD18" i="6"/>
  <c r="AD21" i="6"/>
  <c r="AD24" i="6"/>
  <c r="AD16" i="6"/>
  <c r="AD19" i="6"/>
  <c r="AD23" i="6"/>
  <c r="AD22" i="6"/>
  <c r="AD17" i="6"/>
  <c r="AD20" i="6"/>
  <c r="BK15" i="6"/>
  <c r="AF8" i="6"/>
  <c r="AF4" i="6"/>
  <c r="AF5" i="6"/>
  <c r="AF6" i="6"/>
  <c r="AF7" i="6"/>
  <c r="AF24" i="6"/>
  <c r="AF16" i="6"/>
  <c r="AF21" i="6"/>
  <c r="AF19" i="6"/>
  <c r="AF22" i="6"/>
  <c r="AF17" i="6"/>
  <c r="AF20" i="6"/>
  <c r="AF23" i="6"/>
  <c r="AF18" i="6"/>
  <c r="AC23" i="6"/>
  <c r="AC18" i="6"/>
  <c r="AC20" i="6"/>
  <c r="AC21" i="6"/>
  <c r="AC24" i="6"/>
  <c r="AC16" i="6"/>
  <c r="AC19" i="6"/>
  <c r="AC22" i="6"/>
  <c r="AC17" i="6"/>
  <c r="BH15" i="6"/>
  <c r="BD22" i="6"/>
  <c r="BD17" i="6"/>
  <c r="BF15" i="6"/>
  <c r="BD18" i="6"/>
  <c r="BD24" i="6"/>
  <c r="BK6" i="6"/>
  <c r="BK7" i="6"/>
  <c r="BK8" i="6"/>
  <c r="BK4" i="6"/>
  <c r="BK5" i="6"/>
  <c r="AK23" i="6"/>
  <c r="AK20" i="6"/>
  <c r="AK18" i="6"/>
  <c r="AK21" i="6"/>
  <c r="AK24" i="6"/>
  <c r="AK16" i="6"/>
  <c r="AK19" i="6"/>
  <c r="AK22" i="6"/>
  <c r="AK17" i="6"/>
  <c r="AH22" i="6"/>
  <c r="AH17" i="6"/>
  <c r="AH19" i="6"/>
  <c r="AH20" i="6"/>
  <c r="AH23" i="6"/>
  <c r="AH18" i="6"/>
  <c r="AH21" i="6"/>
  <c r="AH24" i="6"/>
  <c r="AH16" i="6"/>
  <c r="AC6" i="6"/>
  <c r="AC7" i="6"/>
  <c r="AC8" i="6"/>
  <c r="AC4" i="6"/>
  <c r="AC5" i="6"/>
  <c r="BI15" i="5"/>
  <c r="BI16" i="5" s="1"/>
  <c r="BK15" i="5"/>
  <c r="BK23" i="5" s="1"/>
  <c r="BI3" i="5"/>
  <c r="BD3" i="5"/>
  <c r="BK3" i="5"/>
  <c r="AC23" i="5"/>
  <c r="AC18" i="5"/>
  <c r="AC21" i="5"/>
  <c r="AC24" i="5"/>
  <c r="AC16" i="5"/>
  <c r="AC19" i="5"/>
  <c r="AC22" i="5"/>
  <c r="AC20" i="5"/>
  <c r="AC17" i="5"/>
  <c r="AJ5" i="5"/>
  <c r="AJ6" i="5"/>
  <c r="AJ7" i="5"/>
  <c r="AJ8" i="5"/>
  <c r="AJ4" i="5"/>
  <c r="AH22" i="5"/>
  <c r="AH17" i="5"/>
  <c r="AH20" i="5"/>
  <c r="AH24" i="5"/>
  <c r="AH16" i="5"/>
  <c r="AH23" i="5"/>
  <c r="AH18" i="5"/>
  <c r="AH21" i="5"/>
  <c r="AH19" i="5"/>
  <c r="AF7" i="5"/>
  <c r="AF8" i="5"/>
  <c r="AF4" i="5"/>
  <c r="AF5" i="5"/>
  <c r="AF6" i="5"/>
  <c r="AK23" i="5"/>
  <c r="AK17" i="5"/>
  <c r="AK18" i="5"/>
  <c r="AK21" i="5"/>
  <c r="AK24" i="5"/>
  <c r="AK16" i="5"/>
  <c r="AK19" i="5"/>
  <c r="AK22" i="5"/>
  <c r="AK20" i="5"/>
  <c r="BQ3" i="5" a="1"/>
  <c r="BQ3" i="5" s="1"/>
  <c r="AM21" i="5"/>
  <c r="AM24" i="5"/>
  <c r="AM16" i="5"/>
  <c r="AM19" i="5"/>
  <c r="AM22" i="5"/>
  <c r="AM17" i="5"/>
  <c r="AM20" i="5"/>
  <c r="AM23" i="5"/>
  <c r="AM18" i="5"/>
  <c r="AD18" i="5"/>
  <c r="AD21" i="5"/>
  <c r="AD24" i="5"/>
  <c r="AD16" i="5"/>
  <c r="AD19" i="5"/>
  <c r="AD22" i="5"/>
  <c r="AD20" i="5"/>
  <c r="AD17" i="5"/>
  <c r="AD23" i="5"/>
  <c r="AC6" i="5"/>
  <c r="AC7" i="5"/>
  <c r="AC8" i="5"/>
  <c r="AC4" i="5"/>
  <c r="AC5" i="5"/>
  <c r="AF24" i="5"/>
  <c r="AF16" i="5"/>
  <c r="AF19" i="5"/>
  <c r="AF22" i="5"/>
  <c r="AF17" i="5"/>
  <c r="AF20" i="5"/>
  <c r="AF23" i="5"/>
  <c r="AF21" i="5"/>
  <c r="AF18" i="5"/>
  <c r="AD6" i="5"/>
  <c r="AD7" i="5"/>
  <c r="AD8" i="5"/>
  <c r="AD4" i="5"/>
  <c r="AD5" i="5"/>
  <c r="AE21" i="5"/>
  <c r="AE24" i="5"/>
  <c r="AE16" i="5"/>
  <c r="AJ15" i="5"/>
  <c r="AE19" i="5"/>
  <c r="AE22" i="5"/>
  <c r="AE17" i="5"/>
  <c r="AE23" i="5"/>
  <c r="AE20" i="5"/>
  <c r="AE18" i="5"/>
  <c r="AL18" i="5"/>
  <c r="AL21" i="5"/>
  <c r="AL24" i="5"/>
  <c r="AL16" i="5"/>
  <c r="AL19" i="5"/>
  <c r="AL22" i="5"/>
  <c r="AL17" i="5"/>
  <c r="AL20" i="5"/>
  <c r="AL23" i="5"/>
  <c r="BQ12" i="5" a="1"/>
  <c r="BQ12" i="5" s="1"/>
  <c r="AH4" i="5"/>
  <c r="AH5" i="5"/>
  <c r="AH6" i="5"/>
  <c r="AH8" i="5"/>
  <c r="AH7" i="5"/>
  <c r="AE7" i="5"/>
  <c r="AE8" i="5"/>
  <c r="AE4" i="5"/>
  <c r="AE5" i="5"/>
  <c r="AE6" i="5"/>
  <c r="BD15" i="5"/>
  <c r="BQ3" i="4" a="1"/>
  <c r="BQ3" i="4" s="1"/>
  <c r="BD3" i="4"/>
  <c r="BD5" i="4" s="1"/>
  <c r="AE18" i="4"/>
  <c r="AH17" i="4"/>
  <c r="AE22" i="4"/>
  <c r="AH24" i="4"/>
  <c r="AH22" i="4"/>
  <c r="AH18" i="4"/>
  <c r="AH19" i="4"/>
  <c r="BK3" i="4"/>
  <c r="BK6" i="4" s="1"/>
  <c r="BI3" i="4"/>
  <c r="AH21" i="4"/>
  <c r="AE23" i="4"/>
  <c r="AD24" i="4"/>
  <c r="AD23" i="4"/>
  <c r="AE24" i="4"/>
  <c r="AD22" i="4"/>
  <c r="AD16" i="4"/>
  <c r="AE17" i="4"/>
  <c r="AE16" i="4"/>
  <c r="AD18" i="4"/>
  <c r="AD19" i="4"/>
  <c r="AE20" i="4"/>
  <c r="AE19" i="4"/>
  <c r="AE21" i="4"/>
  <c r="AM21" i="4"/>
  <c r="AM22" i="4"/>
  <c r="AM23" i="4"/>
  <c r="AM24" i="4"/>
  <c r="AM17" i="4"/>
  <c r="AM16" i="4"/>
  <c r="AM18" i="4"/>
  <c r="AM20" i="4"/>
  <c r="AM19" i="4"/>
  <c r="AE8" i="4"/>
  <c r="AE4" i="4"/>
  <c r="AE6" i="4"/>
  <c r="AE5" i="4"/>
  <c r="AE7" i="4"/>
  <c r="AD5" i="4"/>
  <c r="AD6" i="4"/>
  <c r="AD7" i="4"/>
  <c r="AD8" i="4"/>
  <c r="AD4" i="4"/>
  <c r="AK17" i="4"/>
  <c r="AK16" i="4"/>
  <c r="AK18" i="4"/>
  <c r="AK19" i="4"/>
  <c r="AK20" i="4"/>
  <c r="AK21" i="4"/>
  <c r="AK22" i="4"/>
  <c r="AK24" i="4"/>
  <c r="AK23" i="4"/>
  <c r="AH4" i="4"/>
  <c r="AH7" i="4"/>
  <c r="AH5" i="4"/>
  <c r="AH8" i="4"/>
  <c r="AH6" i="4"/>
  <c r="AF6" i="4"/>
  <c r="AF7" i="4"/>
  <c r="AF8" i="4"/>
  <c r="AF4" i="4"/>
  <c r="AF5" i="4"/>
  <c r="AL19" i="4"/>
  <c r="AL20" i="4"/>
  <c r="AL17" i="4"/>
  <c r="AL21" i="4"/>
  <c r="AL22" i="4"/>
  <c r="AL16" i="4"/>
  <c r="AL23" i="4"/>
  <c r="AL24" i="4"/>
  <c r="AL18" i="4"/>
  <c r="AF17" i="4"/>
  <c r="AF20" i="4"/>
  <c r="AF18" i="4"/>
  <c r="AF16" i="4"/>
  <c r="AF21" i="4"/>
  <c r="AF22" i="4"/>
  <c r="AF24" i="4"/>
  <c r="AF19" i="4"/>
  <c r="AF23" i="4"/>
  <c r="AJ23" i="4"/>
  <c r="AJ24" i="4"/>
  <c r="AJ17" i="4"/>
  <c r="AJ16" i="4"/>
  <c r="AJ18" i="4"/>
  <c r="AJ19" i="4"/>
  <c r="AJ20" i="4"/>
  <c r="AJ22" i="4"/>
  <c r="AJ21" i="4"/>
  <c r="AC7" i="4"/>
  <c r="AC8" i="4"/>
  <c r="AC4" i="4"/>
  <c r="AC6" i="4"/>
  <c r="AC5" i="4"/>
  <c r="L3" i="3"/>
  <c r="L59" i="3"/>
  <c r="L67" i="3"/>
  <c r="L75" i="3"/>
  <c r="L83" i="3"/>
  <c r="L62" i="3"/>
  <c r="L70" i="3"/>
  <c r="L78" i="3"/>
  <c r="L65" i="3"/>
  <c r="L73" i="3"/>
  <c r="L81" i="3"/>
  <c r="L7" i="3"/>
  <c r="L60" i="3"/>
  <c r="L68" i="3"/>
  <c r="L76" i="3"/>
  <c r="L84" i="3"/>
  <c r="L77" i="3"/>
  <c r="L85" i="3"/>
  <c r="L63" i="3"/>
  <c r="L71" i="3"/>
  <c r="L79" i="3"/>
  <c r="L66" i="3"/>
  <c r="L74" i="3"/>
  <c r="L82" i="3"/>
  <c r="L61" i="3"/>
  <c r="L69" i="3"/>
  <c r="L64" i="3"/>
  <c r="L72" i="3"/>
  <c r="L80" i="3"/>
  <c r="L86" i="3"/>
  <c r="L8" i="3"/>
  <c r="L6" i="3"/>
  <c r="L4" i="3"/>
  <c r="L5" i="3"/>
  <c r="K62" i="3"/>
  <c r="K70" i="3"/>
  <c r="K78" i="3"/>
  <c r="K86" i="3"/>
  <c r="K65" i="3"/>
  <c r="K73" i="3"/>
  <c r="K81" i="3"/>
  <c r="K7" i="3"/>
  <c r="K8" i="3"/>
  <c r="K60" i="3"/>
  <c r="K68" i="3"/>
  <c r="K76" i="3"/>
  <c r="K84" i="3"/>
  <c r="K6" i="3"/>
  <c r="K63" i="3"/>
  <c r="K71" i="3"/>
  <c r="K79" i="3"/>
  <c r="K64" i="3"/>
  <c r="K72" i="3"/>
  <c r="K66" i="3"/>
  <c r="K74" i="3"/>
  <c r="K82" i="3"/>
  <c r="K5" i="3"/>
  <c r="K61" i="3"/>
  <c r="K69" i="3"/>
  <c r="K77" i="3"/>
  <c r="K85" i="3"/>
  <c r="K4" i="3"/>
  <c r="K80" i="3"/>
  <c r="K3" i="3"/>
  <c r="K59" i="3"/>
  <c r="K67" i="3"/>
  <c r="K75" i="3"/>
  <c r="K83" i="3"/>
  <c r="Q68" i="3"/>
  <c r="Q56" i="3"/>
  <c r="Q30" i="3"/>
  <c r="Q50" i="3"/>
  <c r="P76" i="3"/>
  <c r="P21" i="3"/>
  <c r="Q78" i="3"/>
  <c r="Q60" i="3"/>
  <c r="Q31" i="3"/>
  <c r="Q41" i="3"/>
  <c r="Q83" i="3"/>
  <c r="Q19" i="3"/>
  <c r="Q48" i="3"/>
  <c r="Q85" i="3"/>
  <c r="Q21" i="3"/>
  <c r="Q42" i="3"/>
  <c r="P57" i="3"/>
  <c r="P44" i="3"/>
  <c r="P35" i="3"/>
  <c r="P13" i="3"/>
  <c r="Q79" i="3"/>
  <c r="Q49" i="3"/>
  <c r="Q27" i="3"/>
  <c r="Q29" i="3"/>
  <c r="P42" i="3"/>
  <c r="P43" i="3"/>
  <c r="Q86" i="3"/>
  <c r="Q39" i="3"/>
  <c r="Q52" i="3"/>
  <c r="Q33" i="3"/>
  <c r="Q75" i="3"/>
  <c r="Q11" i="3"/>
  <c r="Q40" i="3"/>
  <c r="Q77" i="3"/>
  <c r="Q13" i="3"/>
  <c r="Q34" i="3"/>
  <c r="P66" i="3"/>
  <c r="P36" i="3"/>
  <c r="P27" i="3"/>
  <c r="Q63" i="3"/>
  <c r="Q55" i="3"/>
  <c r="Q44" i="3"/>
  <c r="Q25" i="3"/>
  <c r="Q67" i="3"/>
  <c r="Q38" i="3"/>
  <c r="Q32" i="3"/>
  <c r="Q69" i="3"/>
  <c r="Q26" i="3"/>
  <c r="Q62" i="3"/>
  <c r="Q23" i="3"/>
  <c r="Q36" i="3"/>
  <c r="Q81" i="3"/>
  <c r="Q17" i="3"/>
  <c r="Q59" i="3"/>
  <c r="Q22" i="3"/>
  <c r="Q24" i="3"/>
  <c r="Q61" i="3"/>
  <c r="Q82" i="3"/>
  <c r="P55" i="3"/>
  <c r="P70" i="3"/>
  <c r="P40" i="3"/>
  <c r="P73" i="3"/>
  <c r="P10" i="3"/>
  <c r="P20" i="3"/>
  <c r="P14" i="3"/>
  <c r="P11" i="3"/>
  <c r="P9" i="3"/>
  <c r="P50" i="3"/>
  <c r="P34" i="3"/>
  <c r="P12" i="3"/>
  <c r="P64" i="3"/>
  <c r="P85" i="3"/>
  <c r="P82" i="3"/>
  <c r="P71" i="3"/>
  <c r="P26" i="3"/>
  <c r="P86" i="3"/>
  <c r="P83" i="3"/>
  <c r="P56" i="3"/>
  <c r="P77" i="3"/>
  <c r="P58" i="3"/>
  <c r="P63" i="3"/>
  <c r="P84" i="3"/>
  <c r="P78" i="3"/>
  <c r="P75" i="3"/>
  <c r="P48" i="3"/>
  <c r="P29" i="3"/>
  <c r="P68" i="3"/>
  <c r="P46" i="3"/>
  <c r="P67" i="3"/>
  <c r="P17" i="3"/>
  <c r="P24" i="3"/>
  <c r="P69" i="3"/>
  <c r="P23" i="3"/>
  <c r="P60" i="3"/>
  <c r="P33" i="3"/>
  <c r="P38" i="3"/>
  <c r="P59" i="3"/>
  <c r="P80" i="3"/>
  <c r="P16" i="3"/>
  <c r="P61" i="3"/>
  <c r="P81" i="3"/>
  <c r="P79" i="3"/>
  <c r="P15" i="3"/>
  <c r="P52" i="3"/>
  <c r="P25" i="3"/>
  <c r="P30" i="3"/>
  <c r="P51" i="3"/>
  <c r="P72" i="3"/>
  <c r="P37" i="3"/>
  <c r="P45" i="3"/>
  <c r="V14" i="3"/>
  <c r="V22" i="3"/>
  <c r="V30" i="3"/>
  <c r="V38" i="3"/>
  <c r="V46" i="3"/>
  <c r="V54" i="3"/>
  <c r="V62" i="3"/>
  <c r="V70" i="3"/>
  <c r="V78" i="3"/>
  <c r="V86" i="3"/>
  <c r="V10" i="3"/>
  <c r="V42" i="3"/>
  <c r="V50" i="3"/>
  <c r="V66" i="3"/>
  <c r="V74" i="3"/>
  <c r="V9" i="3"/>
  <c r="V17" i="3"/>
  <c r="V25" i="3"/>
  <c r="V33" i="3"/>
  <c r="V41" i="3"/>
  <c r="V49" i="3"/>
  <c r="V57" i="3"/>
  <c r="V65" i="3"/>
  <c r="V73" i="3"/>
  <c r="V81" i="3"/>
  <c r="V12" i="3"/>
  <c r="V20" i="3"/>
  <c r="V28" i="3"/>
  <c r="V36" i="3"/>
  <c r="V44" i="3"/>
  <c r="V52" i="3"/>
  <c r="V60" i="3"/>
  <c r="V68" i="3"/>
  <c r="V76" i="3"/>
  <c r="V84" i="3"/>
  <c r="V82" i="3"/>
  <c r="V15" i="3"/>
  <c r="V23" i="3"/>
  <c r="V31" i="3"/>
  <c r="V39" i="3"/>
  <c r="V47" i="3"/>
  <c r="V55" i="3"/>
  <c r="V63" i="3"/>
  <c r="V71" i="3"/>
  <c r="V79" i="3"/>
  <c r="V18" i="3"/>
  <c r="V26" i="3"/>
  <c r="V34" i="3"/>
  <c r="V58" i="3"/>
  <c r="V13" i="3"/>
  <c r="V21" i="3"/>
  <c r="V29" i="3"/>
  <c r="V37" i="3"/>
  <c r="V45" i="3"/>
  <c r="V53" i="3"/>
  <c r="V61" i="3"/>
  <c r="V69" i="3"/>
  <c r="V77" i="3"/>
  <c r="V85" i="3"/>
  <c r="V19" i="3"/>
  <c r="V43" i="3"/>
  <c r="V59" i="3"/>
  <c r="V75" i="3"/>
  <c r="V16" i="3"/>
  <c r="V24" i="3"/>
  <c r="V32" i="3"/>
  <c r="V40" i="3"/>
  <c r="V48" i="3"/>
  <c r="V56" i="3"/>
  <c r="V64" i="3"/>
  <c r="V72" i="3"/>
  <c r="V80" i="3"/>
  <c r="V11" i="3"/>
  <c r="V27" i="3"/>
  <c r="V35" i="3"/>
  <c r="V51" i="3"/>
  <c r="V67" i="3"/>
  <c r="V83" i="3"/>
  <c r="U9" i="3"/>
  <c r="U17" i="3"/>
  <c r="U25" i="3"/>
  <c r="U33" i="3"/>
  <c r="U41" i="3"/>
  <c r="U49" i="3"/>
  <c r="U57" i="3"/>
  <c r="U65" i="3"/>
  <c r="U73" i="3"/>
  <c r="U81" i="3"/>
  <c r="U29" i="3"/>
  <c r="U37" i="3"/>
  <c r="U85" i="3"/>
  <c r="U12" i="3"/>
  <c r="U20" i="3"/>
  <c r="U28" i="3"/>
  <c r="U36" i="3"/>
  <c r="U44" i="3"/>
  <c r="U52" i="3"/>
  <c r="U60" i="3"/>
  <c r="U68" i="3"/>
  <c r="U76" i="3"/>
  <c r="U84" i="3"/>
  <c r="U13" i="3"/>
  <c r="U15" i="3"/>
  <c r="U23" i="3"/>
  <c r="U31" i="3"/>
  <c r="U39" i="3"/>
  <c r="U47" i="3"/>
  <c r="U55" i="3"/>
  <c r="U63" i="3"/>
  <c r="U71" i="3"/>
  <c r="U79" i="3"/>
  <c r="U61" i="3"/>
  <c r="U10" i="3"/>
  <c r="U18" i="3"/>
  <c r="U26" i="3"/>
  <c r="U34" i="3"/>
  <c r="U42" i="3"/>
  <c r="U50" i="3"/>
  <c r="U58" i="3"/>
  <c r="U66" i="3"/>
  <c r="U74" i="3"/>
  <c r="U82" i="3"/>
  <c r="U21" i="3"/>
  <c r="U45" i="3"/>
  <c r="U53" i="3"/>
  <c r="U69" i="3"/>
  <c r="U77" i="3"/>
  <c r="U16" i="3"/>
  <c r="U24" i="3"/>
  <c r="U32" i="3"/>
  <c r="U40" i="3"/>
  <c r="U48" i="3"/>
  <c r="U56" i="3"/>
  <c r="U64" i="3"/>
  <c r="U72" i="3"/>
  <c r="U80" i="3"/>
  <c r="U14" i="3"/>
  <c r="U30" i="3"/>
  <c r="U38" i="3"/>
  <c r="U54" i="3"/>
  <c r="U70" i="3"/>
  <c r="U86" i="3"/>
  <c r="U11" i="3"/>
  <c r="U19" i="3"/>
  <c r="U27" i="3"/>
  <c r="U35" i="3"/>
  <c r="U43" i="3"/>
  <c r="U51" i="3"/>
  <c r="U59" i="3"/>
  <c r="U67" i="3"/>
  <c r="U75" i="3"/>
  <c r="U83" i="3"/>
  <c r="U22" i="3"/>
  <c r="U46" i="3"/>
  <c r="U62" i="3"/>
  <c r="U78" i="3"/>
  <c r="L15" i="3"/>
  <c r="L23" i="3"/>
  <c r="L31" i="3"/>
  <c r="L39" i="3"/>
  <c r="L47" i="3"/>
  <c r="L55" i="3"/>
  <c r="L46" i="3"/>
  <c r="L16" i="3"/>
  <c r="L24" i="3"/>
  <c r="L32" i="3"/>
  <c r="L40" i="3"/>
  <c r="L48" i="3"/>
  <c r="L56" i="3"/>
  <c r="L38" i="3"/>
  <c r="L54" i="3"/>
  <c r="L9" i="3"/>
  <c r="L17" i="3"/>
  <c r="L25" i="3"/>
  <c r="L33" i="3"/>
  <c r="L41" i="3"/>
  <c r="L49" i="3"/>
  <c r="L57" i="3"/>
  <c r="L22" i="3"/>
  <c r="L10" i="3"/>
  <c r="L18" i="3"/>
  <c r="L26" i="3"/>
  <c r="L34" i="3"/>
  <c r="L42" i="3"/>
  <c r="L50" i="3"/>
  <c r="L58" i="3"/>
  <c r="L30" i="3"/>
  <c r="L11" i="3"/>
  <c r="L19" i="3"/>
  <c r="L27" i="3"/>
  <c r="L35" i="3"/>
  <c r="L43" i="3"/>
  <c r="L51" i="3"/>
  <c r="L12" i="3"/>
  <c r="L20" i="3"/>
  <c r="L28" i="3"/>
  <c r="L36" i="3"/>
  <c r="L44" i="3"/>
  <c r="L52" i="3"/>
  <c r="L13" i="3"/>
  <c r="L21" i="3"/>
  <c r="L29" i="3"/>
  <c r="L37" i="3"/>
  <c r="L45" i="3"/>
  <c r="L53" i="3"/>
  <c r="L14" i="3"/>
  <c r="K11" i="3"/>
  <c r="K19" i="3"/>
  <c r="K27" i="3"/>
  <c r="K35" i="3"/>
  <c r="K43" i="3"/>
  <c r="K51" i="3"/>
  <c r="K34" i="3"/>
  <c r="K12" i="3"/>
  <c r="K20" i="3"/>
  <c r="K28" i="3"/>
  <c r="K36" i="3"/>
  <c r="K44" i="3"/>
  <c r="K52" i="3"/>
  <c r="K10" i="3"/>
  <c r="K18" i="3"/>
  <c r="K26" i="3"/>
  <c r="K58" i="3"/>
  <c r="K13" i="3"/>
  <c r="K21" i="3"/>
  <c r="K29" i="3"/>
  <c r="K37" i="3"/>
  <c r="K45" i="3"/>
  <c r="K53" i="3"/>
  <c r="K42" i="3"/>
  <c r="K14" i="3"/>
  <c r="K22" i="3"/>
  <c r="K30" i="3"/>
  <c r="K38" i="3"/>
  <c r="K46" i="3"/>
  <c r="K54" i="3"/>
  <c r="K15" i="3"/>
  <c r="K23" i="3"/>
  <c r="K31" i="3"/>
  <c r="K39" i="3"/>
  <c r="K47" i="3"/>
  <c r="K55" i="3"/>
  <c r="K16" i="3"/>
  <c r="K24" i="3"/>
  <c r="K32" i="3"/>
  <c r="K40" i="3"/>
  <c r="K48" i="3"/>
  <c r="K56" i="3"/>
  <c r="K9" i="3"/>
  <c r="K17" i="3"/>
  <c r="K25" i="3"/>
  <c r="K33" i="3"/>
  <c r="K41" i="3"/>
  <c r="K49" i="3"/>
  <c r="K57" i="3"/>
  <c r="K50" i="3"/>
  <c r="Y51" i="4" l="1"/>
  <c r="S51" i="4"/>
  <c r="S59" i="4" s="1"/>
  <c r="Y59" i="4" s="1"/>
  <c r="BI3" i="7"/>
  <c r="BK3" i="7"/>
  <c r="BG3" i="6"/>
  <c r="BG4" i="6" s="1"/>
  <c r="X51" i="6"/>
  <c r="T51" i="6"/>
  <c r="BL3" i="6"/>
  <c r="BL7" i="6" s="1"/>
  <c r="BH3" i="6"/>
  <c r="BH5" i="6" s="1"/>
  <c r="U51" i="6"/>
  <c r="BJ3" i="6"/>
  <c r="BJ4" i="6" s="1"/>
  <c r="BI6" i="6"/>
  <c r="Y54" i="6"/>
  <c r="BI5" i="6"/>
  <c r="AA54" i="6"/>
  <c r="S54" i="6"/>
  <c r="V54" i="6" s="1"/>
  <c r="BE3" i="6"/>
  <c r="BE5" i="6" s="1"/>
  <c r="S44" i="6"/>
  <c r="BI17" i="6"/>
  <c r="BI19" i="6"/>
  <c r="BI24" i="6"/>
  <c r="BI22" i="6"/>
  <c r="BO15" i="6"/>
  <c r="BO19" i="6" s="1"/>
  <c r="BD16" i="6"/>
  <c r="BI21" i="6"/>
  <c r="BD23" i="6"/>
  <c r="BI18" i="6"/>
  <c r="BE15" i="6"/>
  <c r="BE18" i="6" s="1"/>
  <c r="BD19" i="6"/>
  <c r="BI20" i="6"/>
  <c r="S59" i="5"/>
  <c r="Y59" i="5" s="1"/>
  <c r="BI20" i="5"/>
  <c r="BI17" i="5"/>
  <c r="BI22" i="5"/>
  <c r="BI19" i="5"/>
  <c r="BI24" i="5"/>
  <c r="BI21" i="5"/>
  <c r="BK16" i="5"/>
  <c r="V51" i="5"/>
  <c r="BK32" i="4"/>
  <c r="BK40" i="4"/>
  <c r="BK39" i="4"/>
  <c r="BK38" i="4"/>
  <c r="BK35" i="4"/>
  <c r="BK34" i="4"/>
  <c r="BG40" i="4"/>
  <c r="T51" i="4"/>
  <c r="U51" i="4"/>
  <c r="BJ32" i="4"/>
  <c r="W51" i="4"/>
  <c r="Y54" i="4"/>
  <c r="X54" i="4"/>
  <c r="W54" i="4"/>
  <c r="T54" i="4"/>
  <c r="S54" i="4"/>
  <c r="T44" i="4"/>
  <c r="U54" i="4"/>
  <c r="AA54" i="4"/>
  <c r="S44" i="4"/>
  <c r="X51" i="4"/>
  <c r="Z51" i="4" s="1"/>
  <c r="AA51" i="4"/>
  <c r="Z51" i="8"/>
  <c r="V54" i="8"/>
  <c r="AB54" i="8"/>
  <c r="Z54" i="8"/>
  <c r="AB51" i="8"/>
  <c r="V51" i="8"/>
  <c r="Y51" i="7"/>
  <c r="X54" i="7"/>
  <c r="T44" i="7"/>
  <c r="AA51" i="7"/>
  <c r="U51" i="7"/>
  <c r="T51" i="7"/>
  <c r="S51" i="7"/>
  <c r="S59" i="7" s="1"/>
  <c r="Y59" i="7" s="1"/>
  <c r="Y54" i="7"/>
  <c r="W51" i="7"/>
  <c r="AA54" i="7"/>
  <c r="X51" i="7"/>
  <c r="S54" i="7"/>
  <c r="T54" i="7"/>
  <c r="U54" i="7"/>
  <c r="S44" i="7"/>
  <c r="W54" i="7"/>
  <c r="BM15" i="6"/>
  <c r="BM16" i="6" s="1"/>
  <c r="BJ15" i="6"/>
  <c r="BJ18" i="6" s="1"/>
  <c r="BD20" i="6"/>
  <c r="BN15" i="6"/>
  <c r="BN17" i="6" s="1"/>
  <c r="BG15" i="6"/>
  <c r="BG19" i="6" s="1"/>
  <c r="BI4" i="6"/>
  <c r="BI23" i="6"/>
  <c r="BD21" i="6"/>
  <c r="BI8" i="6"/>
  <c r="Z54" i="6"/>
  <c r="AB51" i="6"/>
  <c r="V51" i="6"/>
  <c r="AB54" i="6"/>
  <c r="Z51" i="6"/>
  <c r="AB54" i="5"/>
  <c r="BI18" i="5"/>
  <c r="BK20" i="5"/>
  <c r="BK18" i="5"/>
  <c r="Z51" i="5"/>
  <c r="BJ15" i="5"/>
  <c r="BJ18" i="5" s="1"/>
  <c r="BK17" i="5"/>
  <c r="BK22" i="5"/>
  <c r="BI23" i="5"/>
  <c r="BK19" i="5"/>
  <c r="AB51" i="5"/>
  <c r="V54" i="5"/>
  <c r="BJ35" i="4"/>
  <c r="BJ36" i="4"/>
  <c r="BK24" i="4"/>
  <c r="BJ38" i="4"/>
  <c r="BK22" i="4"/>
  <c r="BJ33" i="4"/>
  <c r="BK17" i="4"/>
  <c r="BJ39" i="4"/>
  <c r="BJ40" i="4"/>
  <c r="BN36" i="4"/>
  <c r="BF33" i="4"/>
  <c r="BK20" i="4"/>
  <c r="BF36" i="4"/>
  <c r="BF35" i="4"/>
  <c r="BF37" i="4"/>
  <c r="BJ34" i="4"/>
  <c r="BF39" i="4"/>
  <c r="BD20" i="4"/>
  <c r="BM32" i="4"/>
  <c r="BF32" i="4"/>
  <c r="BF34" i="4"/>
  <c r="BD19" i="4"/>
  <c r="BD23" i="4"/>
  <c r="BD22" i="4"/>
  <c r="BO39" i="4"/>
  <c r="BF38" i="4"/>
  <c r="BO37" i="4"/>
  <c r="BG33" i="4"/>
  <c r="BI24" i="4"/>
  <c r="BN35" i="4"/>
  <c r="BM35" i="4"/>
  <c r="BH15" i="4"/>
  <c r="BH18" i="4" s="1"/>
  <c r="BG36" i="4"/>
  <c r="BG37" i="4"/>
  <c r="BO38" i="4"/>
  <c r="BG32" i="4"/>
  <c r="BD21" i="4"/>
  <c r="BO40" i="4"/>
  <c r="BN37" i="4"/>
  <c r="BI20" i="4"/>
  <c r="BD18" i="4"/>
  <c r="BO32" i="4"/>
  <c r="BN38" i="4"/>
  <c r="BL31" i="4"/>
  <c r="BL34" i="4" s="1"/>
  <c r="BI16" i="4"/>
  <c r="BD17" i="4"/>
  <c r="BO34" i="4"/>
  <c r="BN39" i="4"/>
  <c r="BD24" i="4"/>
  <c r="BO35" i="4"/>
  <c r="BN32" i="4"/>
  <c r="BI18" i="4"/>
  <c r="BO36" i="4"/>
  <c r="BN33" i="4"/>
  <c r="BM40" i="4"/>
  <c r="BM33" i="4"/>
  <c r="BE36" i="4"/>
  <c r="BE33" i="4"/>
  <c r="BE32" i="4"/>
  <c r="BE35" i="4"/>
  <c r="BE40" i="4"/>
  <c r="BE34" i="4"/>
  <c r="BE39" i="4"/>
  <c r="BE38" i="4"/>
  <c r="BE37" i="4"/>
  <c r="BM34" i="4"/>
  <c r="BG34" i="4"/>
  <c r="BN40" i="4"/>
  <c r="BG38" i="4"/>
  <c r="BM36" i="4"/>
  <c r="BG39" i="4"/>
  <c r="BM37" i="4"/>
  <c r="BM38" i="4"/>
  <c r="BI22" i="4"/>
  <c r="BM15" i="4"/>
  <c r="BM22" i="4" s="1"/>
  <c r="BI19" i="4"/>
  <c r="BN15" i="4"/>
  <c r="BN24" i="4" s="1"/>
  <c r="BI21" i="4"/>
  <c r="BJ15" i="4"/>
  <c r="BJ17" i="4" s="1"/>
  <c r="BI23" i="4"/>
  <c r="BO15" i="4"/>
  <c r="BO22" i="4" s="1"/>
  <c r="BE15" i="4"/>
  <c r="BE18" i="4" s="1"/>
  <c r="BG15" i="4"/>
  <c r="BL15" i="4" s="1"/>
  <c r="BD16" i="4"/>
  <c r="BK21" i="4"/>
  <c r="BK18" i="4"/>
  <c r="BK19" i="4"/>
  <c r="BK23" i="4"/>
  <c r="BK6" i="8"/>
  <c r="BK7" i="8"/>
  <c r="BK8" i="8"/>
  <c r="BK4" i="8"/>
  <c r="BK5" i="8"/>
  <c r="BI5" i="8"/>
  <c r="BI6" i="8"/>
  <c r="BI7" i="8"/>
  <c r="BL3" i="8"/>
  <c r="BI8" i="8"/>
  <c r="BI4" i="8"/>
  <c r="BJ3" i="8"/>
  <c r="BH3" i="8"/>
  <c r="BD7" i="8"/>
  <c r="BG3" i="8"/>
  <c r="BD8" i="8"/>
  <c r="BF3" i="8"/>
  <c r="BD4" i="8"/>
  <c r="BE3" i="8"/>
  <c r="BD5" i="8"/>
  <c r="BD6" i="8"/>
  <c r="BI18" i="8"/>
  <c r="BI21" i="8"/>
  <c r="BI24" i="8"/>
  <c r="BI16" i="8"/>
  <c r="BI20" i="8"/>
  <c r="BI19" i="8"/>
  <c r="BI22" i="8"/>
  <c r="BI17" i="8"/>
  <c r="BJ15" i="8"/>
  <c r="BI23" i="8"/>
  <c r="AJ20" i="8"/>
  <c r="AJ22" i="8"/>
  <c r="AJ23" i="8"/>
  <c r="AJ18" i="8"/>
  <c r="AJ21" i="8"/>
  <c r="AJ24" i="8"/>
  <c r="AJ16" i="8"/>
  <c r="AJ19" i="8"/>
  <c r="AJ17" i="8"/>
  <c r="BD19" i="8"/>
  <c r="BH15" i="8"/>
  <c r="BD22" i="8"/>
  <c r="BO15" i="8"/>
  <c r="BG15" i="8"/>
  <c r="BD17" i="8"/>
  <c r="BN15" i="8"/>
  <c r="BF15" i="8"/>
  <c r="BD20" i="8"/>
  <c r="BM15" i="8"/>
  <c r="BE15" i="8"/>
  <c r="BD23" i="8"/>
  <c r="BD18" i="8"/>
  <c r="BD21" i="8"/>
  <c r="BD24" i="8"/>
  <c r="BD16" i="8"/>
  <c r="BK24" i="8"/>
  <c r="BK16" i="8"/>
  <c r="BK19" i="8"/>
  <c r="BK22" i="8"/>
  <c r="BK17" i="8"/>
  <c r="BK20" i="8"/>
  <c r="BK23" i="8"/>
  <c r="BK18" i="8"/>
  <c r="BK21" i="8"/>
  <c r="BD7" i="7"/>
  <c r="BG3" i="7"/>
  <c r="BD8" i="7"/>
  <c r="BF3" i="7"/>
  <c r="BD4" i="7"/>
  <c r="BE3" i="7"/>
  <c r="BD5" i="7"/>
  <c r="BH3" i="7"/>
  <c r="BD6" i="7"/>
  <c r="AJ23" i="7"/>
  <c r="AJ18" i="7"/>
  <c r="AJ21" i="7"/>
  <c r="AJ24" i="7"/>
  <c r="AJ16" i="7"/>
  <c r="AJ19" i="7"/>
  <c r="AJ22" i="7"/>
  <c r="AJ20" i="7"/>
  <c r="AJ17" i="7"/>
  <c r="BK7" i="7"/>
  <c r="BK8" i="7"/>
  <c r="BK4" i="7"/>
  <c r="BK5" i="7"/>
  <c r="BK6" i="7"/>
  <c r="BI21" i="7"/>
  <c r="BI24" i="7"/>
  <c r="BI16" i="7"/>
  <c r="BI19" i="7"/>
  <c r="BI22" i="7"/>
  <c r="BI17" i="7"/>
  <c r="BI23" i="7"/>
  <c r="BI20" i="7"/>
  <c r="BI18" i="7"/>
  <c r="BJ15" i="7"/>
  <c r="BK19" i="7"/>
  <c r="BK22" i="7"/>
  <c r="BK17" i="7"/>
  <c r="BK20" i="7"/>
  <c r="BK23" i="7"/>
  <c r="BK21" i="7"/>
  <c r="BK18" i="7"/>
  <c r="BK16" i="7"/>
  <c r="BK24" i="7"/>
  <c r="BI6" i="7"/>
  <c r="BI7" i="7"/>
  <c r="BL3" i="7"/>
  <c r="BI8" i="7"/>
  <c r="BJ3" i="7"/>
  <c r="BI5" i="7"/>
  <c r="BI4" i="7"/>
  <c r="BD22" i="7"/>
  <c r="BO15" i="7"/>
  <c r="BG15" i="7"/>
  <c r="BD17" i="7"/>
  <c r="BN15" i="7"/>
  <c r="BF15" i="7"/>
  <c r="BD20" i="7"/>
  <c r="BM15" i="7"/>
  <c r="BE15" i="7"/>
  <c r="BD23" i="7"/>
  <c r="BD18" i="7"/>
  <c r="BD21" i="7"/>
  <c r="BD24" i="7"/>
  <c r="BH15" i="7"/>
  <c r="BD16" i="7"/>
  <c r="BD19" i="7"/>
  <c r="BO24" i="6"/>
  <c r="BE7" i="6"/>
  <c r="BE8" i="6"/>
  <c r="BE4" i="6"/>
  <c r="BE23" i="6"/>
  <c r="BE21" i="6"/>
  <c r="BL6" i="6"/>
  <c r="BL4" i="6"/>
  <c r="BM20" i="6"/>
  <c r="BM21" i="6"/>
  <c r="BM24" i="6"/>
  <c r="BH23" i="6"/>
  <c r="BH20" i="6"/>
  <c r="BH18" i="6"/>
  <c r="BH21" i="6"/>
  <c r="BH24" i="6"/>
  <c r="BH16" i="6"/>
  <c r="BH19" i="6"/>
  <c r="BH22" i="6"/>
  <c r="BH17" i="6"/>
  <c r="BK24" i="6"/>
  <c r="BK16" i="6"/>
  <c r="BK21" i="6"/>
  <c r="BK19" i="6"/>
  <c r="BK22" i="6"/>
  <c r="BK17" i="6"/>
  <c r="BK20" i="6"/>
  <c r="BK23" i="6"/>
  <c r="BK18" i="6"/>
  <c r="BF8" i="6"/>
  <c r="BF4" i="6"/>
  <c r="BF7" i="6"/>
  <c r="BF5" i="6"/>
  <c r="BF6" i="6"/>
  <c r="BF17" i="6"/>
  <c r="BF20" i="6"/>
  <c r="BF23" i="6"/>
  <c r="BF22" i="6"/>
  <c r="BF18" i="6"/>
  <c r="BF21" i="6"/>
  <c r="BF24" i="6"/>
  <c r="BF16" i="6"/>
  <c r="BF19" i="6"/>
  <c r="BG5" i="6"/>
  <c r="BN24" i="6"/>
  <c r="BN22" i="6"/>
  <c r="BN19" i="6"/>
  <c r="AJ20" i="6"/>
  <c r="AJ23" i="6"/>
  <c r="AJ18" i="6"/>
  <c r="AJ21" i="6"/>
  <c r="AJ17" i="6"/>
  <c r="AJ24" i="6"/>
  <c r="AJ16" i="6"/>
  <c r="AJ19" i="6"/>
  <c r="AJ22" i="6"/>
  <c r="BJ7" i="6"/>
  <c r="BJ8" i="6"/>
  <c r="BJ5" i="6"/>
  <c r="BH6" i="6"/>
  <c r="BK21" i="5"/>
  <c r="BK24" i="5"/>
  <c r="BJ21" i="5"/>
  <c r="BJ24" i="5"/>
  <c r="BJ22" i="5"/>
  <c r="BD19" i="5"/>
  <c r="BH15" i="5"/>
  <c r="BD22" i="5"/>
  <c r="BO15" i="5"/>
  <c r="BG15" i="5"/>
  <c r="BD17" i="5"/>
  <c r="BN15" i="5"/>
  <c r="BF15" i="5"/>
  <c r="BD20" i="5"/>
  <c r="BM15" i="5"/>
  <c r="BE15" i="5"/>
  <c r="BD23" i="5"/>
  <c r="BD18" i="5"/>
  <c r="BD24" i="5"/>
  <c r="BD16" i="5"/>
  <c r="BD21" i="5"/>
  <c r="BK6" i="5"/>
  <c r="BK7" i="5"/>
  <c r="BK8" i="5"/>
  <c r="BK4" i="5"/>
  <c r="BK5" i="5"/>
  <c r="BI5" i="5"/>
  <c r="BI6" i="5"/>
  <c r="BI7" i="5"/>
  <c r="BL3" i="5"/>
  <c r="BI4" i="5"/>
  <c r="BJ3" i="5"/>
  <c r="BI8" i="5"/>
  <c r="BD6" i="5"/>
  <c r="BH3" i="5"/>
  <c r="BD7" i="5"/>
  <c r="BG3" i="5"/>
  <c r="BD8" i="5"/>
  <c r="BF3" i="5"/>
  <c r="BD4" i="5"/>
  <c r="BE3" i="5"/>
  <c r="BD5" i="5"/>
  <c r="AJ20" i="5"/>
  <c r="AJ23" i="5"/>
  <c r="AJ18" i="5"/>
  <c r="AJ21" i="5"/>
  <c r="AJ24" i="5"/>
  <c r="AJ16" i="5"/>
  <c r="AJ22" i="5"/>
  <c r="AJ19" i="5"/>
  <c r="AJ17" i="5"/>
  <c r="BF24" i="4"/>
  <c r="BF19" i="4"/>
  <c r="BF21" i="4"/>
  <c r="BF22" i="4"/>
  <c r="BF17" i="4"/>
  <c r="BF16" i="4"/>
  <c r="BF20" i="4"/>
  <c r="BF18" i="4"/>
  <c r="BF23" i="4"/>
  <c r="BI8" i="4"/>
  <c r="BL3" i="4"/>
  <c r="BK7" i="4"/>
  <c r="BK8" i="4"/>
  <c r="BK5" i="4"/>
  <c r="BK4" i="4"/>
  <c r="BG3" i="4"/>
  <c r="BG4" i="4" s="1"/>
  <c r="BD8" i="4"/>
  <c r="BD4" i="4"/>
  <c r="BF3" i="4"/>
  <c r="BF8" i="4" s="1"/>
  <c r="BH3" i="4"/>
  <c r="BH8" i="4" s="1"/>
  <c r="BD6" i="4"/>
  <c r="BI6" i="4"/>
  <c r="BI7" i="4"/>
  <c r="BI4" i="4"/>
  <c r="BI5" i="4"/>
  <c r="BJ3" i="4"/>
  <c r="BJ5" i="4" s="1"/>
  <c r="BE3" i="4"/>
  <c r="BE4" i="4" s="1"/>
  <c r="BD7" i="4"/>
  <c r="Z54" i="4" l="1"/>
  <c r="Z54" i="7"/>
  <c r="BJ6" i="6"/>
  <c r="BE19" i="6"/>
  <c r="BG17" i="6"/>
  <c r="BG6" i="6"/>
  <c r="BE17" i="6"/>
  <c r="BG7" i="6"/>
  <c r="BE20" i="6"/>
  <c r="BH4" i="6"/>
  <c r="BG8" i="6"/>
  <c r="BE22" i="6"/>
  <c r="BH8" i="6"/>
  <c r="BE6" i="6"/>
  <c r="BH7" i="6"/>
  <c r="BL5" i="6"/>
  <c r="BL8" i="6"/>
  <c r="BO16" i="6"/>
  <c r="BO18" i="6"/>
  <c r="BO23" i="6"/>
  <c r="BO17" i="6"/>
  <c r="BO20" i="6"/>
  <c r="BE16" i="6"/>
  <c r="BN16" i="6"/>
  <c r="BE24" i="6"/>
  <c r="BO21" i="6"/>
  <c r="BO22" i="6"/>
  <c r="BJ16" i="6"/>
  <c r="BJ17" i="6"/>
  <c r="BJ22" i="6"/>
  <c r="BJ19" i="6"/>
  <c r="BM18" i="6"/>
  <c r="BM23" i="6"/>
  <c r="BJ20" i="5"/>
  <c r="BJ17" i="5"/>
  <c r="BJ23" i="5"/>
  <c r="BJ19" i="5"/>
  <c r="BJ16" i="5"/>
  <c r="V54" i="4"/>
  <c r="AB54" i="4"/>
  <c r="V51" i="4"/>
  <c r="AB51" i="4"/>
  <c r="AB51" i="7"/>
  <c r="Z51" i="7"/>
  <c r="V54" i="7"/>
  <c r="AB54" i="7"/>
  <c r="V51" i="7"/>
  <c r="BJ21" i="6"/>
  <c r="BG18" i="6"/>
  <c r="BM19" i="6"/>
  <c r="BG23" i="6"/>
  <c r="BN23" i="6"/>
  <c r="BM22" i="6"/>
  <c r="BJ24" i="6"/>
  <c r="BG20" i="6"/>
  <c r="BN20" i="6"/>
  <c r="BL15" i="6"/>
  <c r="BL17" i="6" s="1"/>
  <c r="BG16" i="6"/>
  <c r="BG24" i="6"/>
  <c r="BG21" i="6"/>
  <c r="BN21" i="6"/>
  <c r="BM17" i="6"/>
  <c r="BN18" i="6"/>
  <c r="BJ23" i="6"/>
  <c r="BJ20" i="6"/>
  <c r="BG22" i="6"/>
  <c r="BJ20" i="4"/>
  <c r="BN20" i="4"/>
  <c r="BE24" i="4"/>
  <c r="BE23" i="4"/>
  <c r="BN23" i="4"/>
  <c r="BM19" i="4"/>
  <c r="BE20" i="4"/>
  <c r="BO18" i="4"/>
  <c r="BO19" i="4"/>
  <c r="BO24" i="4"/>
  <c r="BJ21" i="4"/>
  <c r="BM24" i="4"/>
  <c r="BE16" i="4"/>
  <c r="BO21" i="4"/>
  <c r="BH16" i="4"/>
  <c r="BL35" i="4"/>
  <c r="BG20" i="4"/>
  <c r="BH17" i="4"/>
  <c r="BG18" i="4"/>
  <c r="BE22" i="4"/>
  <c r="BJ19" i="4"/>
  <c r="BH22" i="4"/>
  <c r="BL37" i="4"/>
  <c r="BJ22" i="4"/>
  <c r="BL36" i="4"/>
  <c r="BG16" i="4"/>
  <c r="BE19" i="4"/>
  <c r="BJ16" i="4"/>
  <c r="BH19" i="4"/>
  <c r="BL38" i="4"/>
  <c r="BE17" i="4"/>
  <c r="BG17" i="4"/>
  <c r="BO23" i="4"/>
  <c r="BJ24" i="4"/>
  <c r="BH24" i="4"/>
  <c r="BL39" i="4"/>
  <c r="BO20" i="4"/>
  <c r="BH21" i="4"/>
  <c r="BL40" i="4"/>
  <c r="BG21" i="4"/>
  <c r="BO16" i="4"/>
  <c r="BJ18" i="4"/>
  <c r="BH23" i="4"/>
  <c r="BL32" i="4"/>
  <c r="BG22" i="4"/>
  <c r="BE21" i="4"/>
  <c r="BO17" i="4"/>
  <c r="BJ23" i="4"/>
  <c r="BH20" i="4"/>
  <c r="BL33" i="4"/>
  <c r="BM20" i="4"/>
  <c r="BG23" i="4"/>
  <c r="BN17" i="4"/>
  <c r="BN16" i="4"/>
  <c r="BM21" i="4"/>
  <c r="BN22" i="4"/>
  <c r="BN18" i="4"/>
  <c r="BM23" i="4"/>
  <c r="BG19" i="4"/>
  <c r="BM16" i="4"/>
  <c r="BG24" i="4"/>
  <c r="BN19" i="4"/>
  <c r="BM18" i="4"/>
  <c r="BM17" i="4"/>
  <c r="BN21" i="4"/>
  <c r="BL7" i="8"/>
  <c r="BL8" i="8"/>
  <c r="BL4" i="8"/>
  <c r="BL5" i="8"/>
  <c r="BL6" i="8"/>
  <c r="BJ21" i="8"/>
  <c r="BJ23" i="8"/>
  <c r="BJ24" i="8"/>
  <c r="BJ16" i="8"/>
  <c r="BJ19" i="8"/>
  <c r="BJ22" i="8"/>
  <c r="BJ17" i="8"/>
  <c r="BJ20" i="8"/>
  <c r="BJ18" i="8"/>
  <c r="BM22" i="8"/>
  <c r="BM24" i="8"/>
  <c r="BM17" i="8"/>
  <c r="BM20" i="8"/>
  <c r="BM23" i="8"/>
  <c r="BM18" i="8"/>
  <c r="BM21" i="8"/>
  <c r="BM16" i="8"/>
  <c r="BM19" i="8"/>
  <c r="BH23" i="8"/>
  <c r="BH18" i="8"/>
  <c r="BH21" i="8"/>
  <c r="BH24" i="8"/>
  <c r="BH16" i="8"/>
  <c r="BH19" i="8"/>
  <c r="BH22" i="8"/>
  <c r="BH17" i="8"/>
  <c r="BH20" i="8"/>
  <c r="BF8" i="8"/>
  <c r="BF4" i="8"/>
  <c r="BF5" i="8"/>
  <c r="BF6" i="8"/>
  <c r="BF7" i="8"/>
  <c r="BF17" i="8"/>
  <c r="BF20" i="8"/>
  <c r="BF23" i="8"/>
  <c r="BF18" i="8"/>
  <c r="BF21" i="8"/>
  <c r="BF24" i="8"/>
  <c r="BF16" i="8"/>
  <c r="BF19" i="8"/>
  <c r="BF22" i="8"/>
  <c r="BN17" i="8"/>
  <c r="BN19" i="8"/>
  <c r="BN20" i="8"/>
  <c r="BN23" i="8"/>
  <c r="BN18" i="8"/>
  <c r="BN21" i="8"/>
  <c r="BN24" i="8"/>
  <c r="BN16" i="8"/>
  <c r="BN22" i="8"/>
  <c r="BG4" i="8"/>
  <c r="BG5" i="8"/>
  <c r="BG6" i="8"/>
  <c r="BG8" i="8"/>
  <c r="BG7" i="8"/>
  <c r="BG20" i="8"/>
  <c r="BG23" i="8"/>
  <c r="BG18" i="8"/>
  <c r="BG22" i="8"/>
  <c r="BG21" i="8"/>
  <c r="BG24" i="8"/>
  <c r="BG16" i="8"/>
  <c r="BL15" i="8"/>
  <c r="BG19" i="8"/>
  <c r="BG17" i="8"/>
  <c r="BH5" i="8"/>
  <c r="BH6" i="8"/>
  <c r="BH7" i="8"/>
  <c r="BH4" i="8"/>
  <c r="BH8" i="8"/>
  <c r="BO20" i="8"/>
  <c r="BO23" i="8"/>
  <c r="BO18" i="8"/>
  <c r="BO21" i="8"/>
  <c r="BO24" i="8"/>
  <c r="BO16" i="8"/>
  <c r="BO19" i="8"/>
  <c r="BO22" i="8"/>
  <c r="BO17" i="8"/>
  <c r="BJ6" i="8"/>
  <c r="BJ7" i="8"/>
  <c r="BJ8" i="8"/>
  <c r="BJ4" i="8"/>
  <c r="BJ5" i="8"/>
  <c r="BE22" i="8"/>
  <c r="BE17" i="8"/>
  <c r="BE20" i="8"/>
  <c r="BE24" i="8"/>
  <c r="BE23" i="8"/>
  <c r="BE18" i="8"/>
  <c r="BE21" i="8"/>
  <c r="BE19" i="8"/>
  <c r="BE16" i="8"/>
  <c r="BE7" i="8"/>
  <c r="BE8" i="8"/>
  <c r="BE4" i="8"/>
  <c r="BE5" i="8"/>
  <c r="BE6" i="8"/>
  <c r="BH5" i="7"/>
  <c r="BH6" i="7"/>
  <c r="BH7" i="7"/>
  <c r="BH8" i="7"/>
  <c r="BH4" i="7"/>
  <c r="BF20" i="7"/>
  <c r="BF23" i="7"/>
  <c r="BF18" i="7"/>
  <c r="BF21" i="7"/>
  <c r="BF24" i="7"/>
  <c r="BF16" i="7"/>
  <c r="BF17" i="7"/>
  <c r="BF19" i="7"/>
  <c r="BF22" i="7"/>
  <c r="BN20" i="7"/>
  <c r="BN23" i="7"/>
  <c r="BN18" i="7"/>
  <c r="BN21" i="7"/>
  <c r="BN24" i="7"/>
  <c r="BN16" i="7"/>
  <c r="BN22" i="7"/>
  <c r="BN19" i="7"/>
  <c r="BN17" i="7"/>
  <c r="BE8" i="7"/>
  <c r="BE4" i="7"/>
  <c r="BE5" i="7"/>
  <c r="BE7" i="7"/>
  <c r="BE6" i="7"/>
  <c r="BH18" i="7"/>
  <c r="BH21" i="7"/>
  <c r="BH24" i="7"/>
  <c r="BH16" i="7"/>
  <c r="BH19" i="7"/>
  <c r="BH22" i="7"/>
  <c r="BH23" i="7"/>
  <c r="BH20" i="7"/>
  <c r="BH17" i="7"/>
  <c r="BG23" i="7"/>
  <c r="BG18" i="7"/>
  <c r="BG21" i="7"/>
  <c r="BG24" i="7"/>
  <c r="BG16" i="7"/>
  <c r="BL15" i="7"/>
  <c r="BG19" i="7"/>
  <c r="BG20" i="7"/>
  <c r="BG17" i="7"/>
  <c r="BG22" i="7"/>
  <c r="BF4" i="7"/>
  <c r="BF5" i="7"/>
  <c r="BF6" i="7"/>
  <c r="BF7" i="7"/>
  <c r="BF8" i="7"/>
  <c r="BO23" i="7"/>
  <c r="BO18" i="7"/>
  <c r="BO21" i="7"/>
  <c r="BO24" i="7"/>
  <c r="BO16" i="7"/>
  <c r="BO19" i="7"/>
  <c r="BO22" i="7"/>
  <c r="BO20" i="7"/>
  <c r="BO17" i="7"/>
  <c r="BG5" i="7"/>
  <c r="BG6" i="7"/>
  <c r="BG4" i="7"/>
  <c r="BG7" i="7"/>
  <c r="BG8" i="7"/>
  <c r="BJ6" i="7"/>
  <c r="BJ7" i="7"/>
  <c r="BJ8" i="7"/>
  <c r="BJ4" i="7"/>
  <c r="BJ5" i="7"/>
  <c r="BL7" i="7"/>
  <c r="BL8" i="7"/>
  <c r="BL4" i="7"/>
  <c r="BL5" i="7"/>
  <c r="BL6" i="7"/>
  <c r="BE17" i="7"/>
  <c r="BE20" i="7"/>
  <c r="BE23" i="7"/>
  <c r="BE18" i="7"/>
  <c r="BE21" i="7"/>
  <c r="BE24" i="7"/>
  <c r="BE19" i="7"/>
  <c r="BE22" i="7"/>
  <c r="BE16" i="7"/>
  <c r="BM17" i="7"/>
  <c r="BM20" i="7"/>
  <c r="BM23" i="7"/>
  <c r="BM18" i="7"/>
  <c r="BM21" i="7"/>
  <c r="BM24" i="7"/>
  <c r="BM22" i="7"/>
  <c r="BM16" i="7"/>
  <c r="BM19" i="7"/>
  <c r="BJ24" i="7"/>
  <c r="BJ16" i="7"/>
  <c r="BJ19" i="7"/>
  <c r="BJ22" i="7"/>
  <c r="BJ17" i="7"/>
  <c r="BJ20" i="7"/>
  <c r="BJ21" i="7"/>
  <c r="BJ23" i="7"/>
  <c r="BJ18" i="7"/>
  <c r="BL18" i="6"/>
  <c r="BH4" i="5"/>
  <c r="BH5" i="5"/>
  <c r="BH6" i="5"/>
  <c r="BH8" i="5"/>
  <c r="BH7" i="5"/>
  <c r="BN17" i="5"/>
  <c r="BN20" i="5"/>
  <c r="BN23" i="5"/>
  <c r="BN18" i="5"/>
  <c r="BN21" i="5"/>
  <c r="BN24" i="5"/>
  <c r="BN16" i="5"/>
  <c r="BN19" i="5"/>
  <c r="BN22" i="5"/>
  <c r="BO20" i="5"/>
  <c r="BO23" i="5"/>
  <c r="BO22" i="5"/>
  <c r="BO18" i="5"/>
  <c r="BO21" i="5"/>
  <c r="BO24" i="5"/>
  <c r="BO16" i="5"/>
  <c r="BO19" i="5"/>
  <c r="BO17" i="5"/>
  <c r="BJ5" i="5"/>
  <c r="BJ6" i="5"/>
  <c r="BJ7" i="5"/>
  <c r="BJ8" i="5"/>
  <c r="BJ4" i="5"/>
  <c r="BF7" i="5"/>
  <c r="BF8" i="5"/>
  <c r="BF4" i="5"/>
  <c r="BF5" i="5"/>
  <c r="BF6" i="5"/>
  <c r="BM22" i="5"/>
  <c r="BM16" i="5"/>
  <c r="BM17" i="5"/>
  <c r="BM20" i="5"/>
  <c r="BM24" i="5"/>
  <c r="BM23" i="5"/>
  <c r="BM18" i="5"/>
  <c r="BM21" i="5"/>
  <c r="BM19" i="5"/>
  <c r="BH23" i="5"/>
  <c r="BH18" i="5"/>
  <c r="BH21" i="5"/>
  <c r="BH17" i="5"/>
  <c r="BH24" i="5"/>
  <c r="BH16" i="5"/>
  <c r="BH19" i="5"/>
  <c r="BH22" i="5"/>
  <c r="BH20" i="5"/>
  <c r="BE22" i="5"/>
  <c r="BE17" i="5"/>
  <c r="BE24" i="5"/>
  <c r="BE20" i="5"/>
  <c r="BE23" i="5"/>
  <c r="BE18" i="5"/>
  <c r="BE21" i="5"/>
  <c r="BE19" i="5"/>
  <c r="BE16" i="5"/>
  <c r="BG20" i="5"/>
  <c r="BG23" i="5"/>
  <c r="BG18" i="5"/>
  <c r="BG21" i="5"/>
  <c r="BG24" i="5"/>
  <c r="BG16" i="5"/>
  <c r="BL15" i="5"/>
  <c r="BG19" i="5"/>
  <c r="BG17" i="5"/>
  <c r="BG22" i="5"/>
  <c r="BE7" i="5"/>
  <c r="BE8" i="5"/>
  <c r="BE4" i="5"/>
  <c r="BE5" i="5"/>
  <c r="BE6" i="5"/>
  <c r="BL6" i="5"/>
  <c r="BL7" i="5"/>
  <c r="BL8" i="5"/>
  <c r="BL4" i="5"/>
  <c r="BL5" i="5"/>
  <c r="BG8" i="5"/>
  <c r="BG4" i="5"/>
  <c r="BG5" i="5"/>
  <c r="BG6" i="5"/>
  <c r="BG7" i="5"/>
  <c r="BF17" i="5"/>
  <c r="BF20" i="5"/>
  <c r="BF23" i="5"/>
  <c r="BF18" i="5"/>
  <c r="BF21" i="5"/>
  <c r="BF19" i="5"/>
  <c r="BF24" i="5"/>
  <c r="BF16" i="5"/>
  <c r="BF22" i="5"/>
  <c r="BL22" i="4"/>
  <c r="BL17" i="4"/>
  <c r="BL16" i="4"/>
  <c r="BL20" i="4"/>
  <c r="BL24" i="4"/>
  <c r="BL23" i="4"/>
  <c r="BL19" i="4"/>
  <c r="BL18" i="4"/>
  <c r="BL21" i="4"/>
  <c r="BL5" i="4"/>
  <c r="BL4" i="4"/>
  <c r="BL6" i="4"/>
  <c r="BL7" i="4"/>
  <c r="BL8" i="4"/>
  <c r="BE8" i="4"/>
  <c r="BF7" i="4"/>
  <c r="BG5" i="4"/>
  <c r="BF4" i="4"/>
  <c r="BH6" i="4"/>
  <c r="BH7" i="4"/>
  <c r="BH4" i="4"/>
  <c r="BH5" i="4"/>
  <c r="BF5" i="4"/>
  <c r="BF6" i="4"/>
  <c r="BG7" i="4"/>
  <c r="BG8" i="4"/>
  <c r="BG6" i="4"/>
  <c r="BE6" i="4"/>
  <c r="BJ8" i="4"/>
  <c r="BJ6" i="4"/>
  <c r="BE5" i="4"/>
  <c r="BJ4" i="4"/>
  <c r="BE7" i="4"/>
  <c r="BJ7" i="4"/>
  <c r="BL22" i="6" l="1"/>
  <c r="BL16" i="6"/>
  <c r="BL19" i="6"/>
  <c r="BL21" i="6"/>
  <c r="BL23" i="6"/>
  <c r="BL20" i="6"/>
  <c r="BL24" i="6"/>
  <c r="BL19" i="8"/>
  <c r="BL22" i="8"/>
  <c r="BL17" i="8"/>
  <c r="BL20" i="8"/>
  <c r="BL21" i="8"/>
  <c r="BL23" i="8"/>
  <c r="BL18" i="8"/>
  <c r="BL16" i="8"/>
  <c r="BL24" i="8"/>
  <c r="BL22" i="7"/>
  <c r="BL17" i="7"/>
  <c r="BL20" i="7"/>
  <c r="BL23" i="7"/>
  <c r="BL18" i="7"/>
  <c r="BL19" i="7"/>
  <c r="BL21" i="7"/>
  <c r="BL16" i="7"/>
  <c r="BL24" i="7"/>
  <c r="BL19" i="5"/>
  <c r="BL22" i="5"/>
  <c r="BL21" i="5"/>
  <c r="BL17" i="5"/>
  <c r="BL20" i="5"/>
  <c r="BL23" i="5"/>
  <c r="BL18" i="5"/>
  <c r="BL24" i="5"/>
  <c r="BL1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Alexandra Knoblauch</author>
    <author>KNOBLAUCH Alexandra</author>
  </authors>
  <commentList>
    <comment ref="R12" authorId="0" shapeId="0" xr:uid="{A8A256D4-7D3F-4A45-8399-82AE30F60B36}">
      <text>
        <r>
          <rPr>
            <b/>
            <sz val="9"/>
            <color indexed="81"/>
            <rFont val="Tahoma"/>
            <family val="2"/>
          </rPr>
          <t>Alexandra Knoblauch:</t>
        </r>
        <r>
          <rPr>
            <sz val="9"/>
            <color indexed="81"/>
            <rFont val="Tahoma"/>
            <family val="2"/>
          </rPr>
          <t xml:space="preserve">
Exclude pre calibration blanks since used to wash insttrument</t>
        </r>
      </text>
    </comment>
    <comment ref="S42" authorId="1" shapeId="0" xr:uid="{5C8266F3-C65E-46EA-A386-F50F7D33994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T42" authorId="1" shapeId="0" xr:uid="{12878342-C208-4208-BF10-F98B0DF5797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X57" authorId="1" shapeId="0" xr:uid="{52FAB5C8-0702-4585-8A78-BBF61F3C5F5D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Measured Conc/Certificate Diluted Conc * 100%</t>
        </r>
      </text>
    </comment>
    <comment ref="S59" authorId="1" shapeId="0" xr:uid="{73C17A36-7A8C-40E5-9750-5CFC7368ADF7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Mean of Cal Checks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Alexandra Knoblauch</author>
    <author>KNOBLAUCH Alexandra</author>
  </authors>
  <commentList>
    <comment ref="R12" authorId="0" shapeId="0" xr:uid="{7B4543B4-11C8-4CCB-A659-AA840755AE88}">
      <text>
        <r>
          <rPr>
            <b/>
            <sz val="9"/>
            <color indexed="81"/>
            <rFont val="Tahoma"/>
            <family val="2"/>
          </rPr>
          <t>Alexandra Knoblauch:</t>
        </r>
        <r>
          <rPr>
            <sz val="9"/>
            <color indexed="81"/>
            <rFont val="Tahoma"/>
            <family val="2"/>
          </rPr>
          <t xml:space="preserve">
Exclude pre calibration blanks since used to wash insttrument</t>
        </r>
      </text>
    </comment>
    <comment ref="S42" authorId="1" shapeId="0" xr:uid="{C239DD9B-80A5-4681-B31C-4C717C1C2AB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T42" authorId="1" shapeId="0" xr:uid="{0506C114-CD29-4DE6-ABF3-4CACCC8CC9C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X57" authorId="1" shapeId="0" xr:uid="{9301ADEF-7B73-42EF-A504-920CA66EA395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Measured Conc/Certificate Diluted Conc * 100%</t>
        </r>
      </text>
    </comment>
    <comment ref="S59" authorId="1" shapeId="0" xr:uid="{452D3C7C-A84E-4EFA-9F8D-414D31158C1A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Mean of Cal Checks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Alexandra Knoblauch</author>
    <author>KNOBLAUCH Alexandra</author>
  </authors>
  <commentList>
    <comment ref="R12" authorId="0" shapeId="0" xr:uid="{27DE9802-F66E-44FC-95C6-F121A917B632}">
      <text>
        <r>
          <rPr>
            <b/>
            <sz val="9"/>
            <color indexed="81"/>
            <rFont val="Tahoma"/>
            <family val="2"/>
          </rPr>
          <t>Alexandra Knoblauch:</t>
        </r>
        <r>
          <rPr>
            <sz val="9"/>
            <color indexed="81"/>
            <rFont val="Tahoma"/>
            <family val="2"/>
          </rPr>
          <t xml:space="preserve">
Exclude pre calibration blanks since used to wash insttrument</t>
        </r>
      </text>
    </comment>
    <comment ref="S42" authorId="1" shapeId="0" xr:uid="{C2BF4C9B-0FC5-418A-8542-979AC42C1F2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T42" authorId="1" shapeId="0" xr:uid="{0740EDEA-AD73-40DD-B5AC-DC84F2BFF48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X57" authorId="1" shapeId="0" xr:uid="{408F97E3-D75D-4AC5-ABF9-20F23D36839A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Measured Conc/Certificate Diluted Conc * 100%</t>
        </r>
      </text>
    </comment>
    <comment ref="S59" authorId="1" shapeId="0" xr:uid="{89289636-CD34-4861-B9B4-E9FF04A8CE48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Mean of Cal Checks
</t>
        </r>
      </text>
    </comment>
    <comment ref="U59" authorId="1" shapeId="0" xr:uid="{5F043FEC-54CE-4C02-B696-689473B36734}">
      <text>
        <r>
          <rPr>
            <b/>
            <sz val="9"/>
            <color indexed="81"/>
            <rFont val="Tahoma"/>
            <family val="2"/>
          </rPr>
          <t xml:space="preserve">KNOBLAUCH Alexandra:
</t>
        </r>
        <r>
          <rPr>
            <sz val="9"/>
            <color indexed="81"/>
            <rFont val="Tahoma"/>
            <family val="2"/>
          </rPr>
          <t>100 ppm Al from 1000 ppm Al and then added with M16 and diluted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Alexandra Knoblauch</author>
    <author>KNOBLAUCH Alexandra</author>
  </authors>
  <commentList>
    <comment ref="R12" authorId="0" shapeId="0" xr:uid="{16D489E0-4959-439A-8B28-04733EF7658D}">
      <text>
        <r>
          <rPr>
            <b/>
            <sz val="9"/>
            <color indexed="81"/>
            <rFont val="Tahoma"/>
            <family val="2"/>
          </rPr>
          <t>Alexandra Knoblauch:</t>
        </r>
        <r>
          <rPr>
            <sz val="9"/>
            <color indexed="81"/>
            <rFont val="Tahoma"/>
            <family val="2"/>
          </rPr>
          <t xml:space="preserve">
Exclude pre calibration blanks since used to wash insttrument</t>
        </r>
      </text>
    </comment>
    <comment ref="S42" authorId="1" shapeId="0" xr:uid="{77BAC890-919B-45BD-B100-735CE1A23730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T42" authorId="1" shapeId="0" xr:uid="{F99E858C-89B5-4B91-9ACE-89E19716FE0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X57" authorId="1" shapeId="0" xr:uid="{8397ACAE-0D70-478C-AFED-CDBEE79CD715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Measured Conc/Certificate Diluted Conc * 100%</t>
        </r>
      </text>
    </comment>
    <comment ref="S59" authorId="1" shapeId="0" xr:uid="{D74A8666-CA4C-4611-8075-375E944FC6D3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Mean of Cal Checks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Alexandra Knoblauch</author>
    <author>KNOBLAUCH Alexandra</author>
  </authors>
  <commentList>
    <comment ref="R12" authorId="0" shapeId="0" xr:uid="{1A492FFE-3DF5-4AF0-9BCD-06A05A8D71FF}">
      <text>
        <r>
          <rPr>
            <b/>
            <sz val="9"/>
            <color indexed="81"/>
            <rFont val="Tahoma"/>
            <family val="2"/>
          </rPr>
          <t>Alexandra Knoblauch:</t>
        </r>
        <r>
          <rPr>
            <sz val="9"/>
            <color indexed="81"/>
            <rFont val="Tahoma"/>
            <family val="2"/>
          </rPr>
          <t xml:space="preserve">
Exclude pre calibration blanks since used to wash insttrument</t>
        </r>
      </text>
    </comment>
    <comment ref="S42" authorId="1" shapeId="0" xr:uid="{37AAC769-F22F-4219-9AEC-AB7461C9A97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T42" authorId="1" shapeId="0" xr:uid="{D13A5ADC-CA57-4ED0-B7A1-C9B426CCF17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X57" authorId="1" shapeId="0" xr:uid="{0E8FD03F-11BC-4EA4-B4FA-6368E9F94646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Measured Conc/Certificate Diluted Conc * 100%</t>
        </r>
      </text>
    </comment>
    <comment ref="S59" authorId="1" shapeId="0" xr:uid="{79ADADBC-A717-45A8-99F8-8AE0CEBC7243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Mean of Cal Checks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<sst xmlns="http://schemas.openxmlformats.org/spreadsheetml/2006/main" count="1080" uniqueCount="376">
  <si>
    <t>Sample</t>
  </si>
  <si>
    <t xml:space="preserve">27  Al  [ He ] </t>
  </si>
  <si>
    <t xml:space="preserve">55  Mn  [ He ] </t>
  </si>
  <si>
    <t xml:space="preserve">56  Fe  [ He ] </t>
  </si>
  <si>
    <t xml:space="preserve">57  Fe  [ He ] </t>
  </si>
  <si>
    <t xml:space="preserve">75  As  [ He ] </t>
  </si>
  <si>
    <t xml:space="preserve">45  Sc ( ISTD )  [ He ] </t>
  </si>
  <si>
    <t xml:space="preserve">103  Rh ( ISTD )  [ He ] </t>
  </si>
  <si>
    <t xml:space="preserve">193  Ir ( ISTD )  [ He ] </t>
  </si>
  <si>
    <t>Rjct</t>
  </si>
  <si>
    <t>Data File</t>
  </si>
  <si>
    <t>Acq. Date-Time</t>
  </si>
  <si>
    <t>Type</t>
  </si>
  <si>
    <t>Level</t>
  </si>
  <si>
    <t>Sample Name</t>
  </si>
  <si>
    <t>CPS</t>
  </si>
  <si>
    <t>CPS RSD</t>
  </si>
  <si>
    <t>001SMPL.d</t>
  </si>
  <si>
    <t>blk</t>
  </si>
  <si>
    <t>56  Fe  [ He ] :  CPS RSD value = 5.02 is over the allowed maximum = 5.00</t>
  </si>
  <si>
    <t>002SMPL.d</t>
  </si>
  <si>
    <t>003SMPL.d</t>
  </si>
  <si>
    <t>004CALB.d</t>
  </si>
  <si>
    <t>CalBlk</t>
  </si>
  <si>
    <t xml:space="preserve">0 ppb </t>
  </si>
  <si>
    <t>005CALS.d</t>
  </si>
  <si>
    <t>CalStd</t>
  </si>
  <si>
    <t>0.5 ppb m16 + Al</t>
  </si>
  <si>
    <t>45  Sc ( ISTD )  [ He ] :  ISTD Recovery Percent value = 135.23 is outside the allowed range [80.00, 120.00]103  Rh ( ISTD )  [ He ] :  ISTD Recovery Percent value = 137.11 is outside the allowed range [80.00, 120.00]</t>
  </si>
  <si>
    <t>006CALS.d</t>
  </si>
  <si>
    <t>1 ppb m16 + Al</t>
  </si>
  <si>
    <t>45  Sc ( ISTD )  [ He ] :  ISTD Recovery Percent value = 158.50 is outside the allowed range [80.00, 120.00]103  Rh ( ISTD )  [ He ] :  ISTD Recovery Percent value = 166.42 is outside the allowed range [80.00, 120.00]</t>
  </si>
  <si>
    <t>007CALS.d</t>
  </si>
  <si>
    <t>5 ppb m16 + Al</t>
  </si>
  <si>
    <t>45  Sc ( ISTD )  [ He ] :  ISTD Recovery Percent value = 191.39 is outside the allowed range [80.00, 120.00]103  Rh ( ISTD )  [ He ] :  ISTD Recovery Percent value = 202.01 is outside the allowed range [80.00, 120.00]</t>
  </si>
  <si>
    <t>008CALS.d</t>
  </si>
  <si>
    <t>10 ppb m16 + Al</t>
  </si>
  <si>
    <t>45  Sc ( ISTD )  [ He ] :  ISTD Recovery Percent value = 226.75 is outside the allowed range [80.00, 120.00]103  Rh ( ISTD )  [ He ] :  ISTD Recovery Percent value = 246.55 is outside the allowed range [80.00, 120.00]</t>
  </si>
  <si>
    <t>009CALS.d</t>
  </si>
  <si>
    <t>50 ppb m16 + Al</t>
  </si>
  <si>
    <t>45  Sc ( ISTD )  [ He ] :  ISTD Recovery Percent value = 294.14 is outside the allowed range [80.00, 120.00]103  Rh ( ISTD )  [ He ] :  ISTD Recovery Percent value = 306.45 is outside the allowed range [80.00, 120.00]</t>
  </si>
  <si>
    <t>010CALS.d</t>
  </si>
  <si>
    <t>100 ppb m16 + Al</t>
  </si>
  <si>
    <t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t>
  </si>
  <si>
    <t>011CALS.d</t>
  </si>
  <si>
    <t>500 ppb m16 + Al</t>
  </si>
  <si>
    <t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t>
  </si>
  <si>
    <t>012CALS.d</t>
  </si>
  <si>
    <t>1000 ppb m16 + Al</t>
  </si>
  <si>
    <t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t>
  </si>
  <si>
    <t>080SMPL.d</t>
  </si>
  <si>
    <t>level 10 m6</t>
  </si>
  <si>
    <t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t>
  </si>
  <si>
    <t>081SMPL.d</t>
  </si>
  <si>
    <t>level 11 m6</t>
  </si>
  <si>
    <t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t>
  </si>
  <si>
    <t>013SMPL.d</t>
  </si>
  <si>
    <t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t>
  </si>
  <si>
    <t>014SMPL.d</t>
  </si>
  <si>
    <t>m6 x100 x100</t>
  </si>
  <si>
    <t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t>
  </si>
  <si>
    <t>015SMPL.d</t>
  </si>
  <si>
    <t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t>
  </si>
  <si>
    <t>016SMPL.d</t>
  </si>
  <si>
    <t>0-10-T</t>
  </si>
  <si>
    <t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t>
  </si>
  <si>
    <t>017SMPL.d</t>
  </si>
  <si>
    <t>0-20-T</t>
  </si>
  <si>
    <t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t>
  </si>
  <si>
    <t>018SMPL.d</t>
  </si>
  <si>
    <t>0-30-T</t>
  </si>
  <si>
    <t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t>
  </si>
  <si>
    <t>019SMPL.d</t>
  </si>
  <si>
    <t>0-40-T</t>
  </si>
  <si>
    <t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t>
  </si>
  <si>
    <t>020SMPL.d</t>
  </si>
  <si>
    <t>0-60-T</t>
  </si>
  <si>
    <t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t>
  </si>
  <si>
    <t>021SMPL.d</t>
  </si>
  <si>
    <t>0-70-T</t>
  </si>
  <si>
    <t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t>
  </si>
  <si>
    <t>022SMPL.d</t>
  </si>
  <si>
    <t>0-80-T</t>
  </si>
  <si>
    <t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t>
  </si>
  <si>
    <t>023SMPL.d</t>
  </si>
  <si>
    <t>0-90-T</t>
  </si>
  <si>
    <t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t>
  </si>
  <si>
    <t>024SMPL.d</t>
  </si>
  <si>
    <t>0-100-T</t>
  </si>
  <si>
    <t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t>
  </si>
  <si>
    <t>025SMPL.d</t>
  </si>
  <si>
    <t>0-10-B</t>
  </si>
  <si>
    <t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t>
  </si>
  <si>
    <t>026SMPL.d</t>
  </si>
  <si>
    <t xml:space="preserve">blk </t>
  </si>
  <si>
    <t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t>
  </si>
  <si>
    <t>027SMPL.d</t>
  </si>
  <si>
    <t>100 ppb check</t>
  </si>
  <si>
    <t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t>
  </si>
  <si>
    <t>028SMPL.d</t>
  </si>
  <si>
    <t>0-50-T</t>
  </si>
  <si>
    <t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t>
  </si>
  <si>
    <t>029SMPL.d</t>
  </si>
  <si>
    <t>0-60-B</t>
  </si>
  <si>
    <t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t>
  </si>
  <si>
    <t>030SMPL.d</t>
  </si>
  <si>
    <t>0-100-B</t>
  </si>
  <si>
    <t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t>
  </si>
  <si>
    <t>031SMPL.d</t>
  </si>
  <si>
    <t>0-70-B</t>
  </si>
  <si>
    <t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t>
  </si>
  <si>
    <t>032SMPL.d</t>
  </si>
  <si>
    <t>20-100-T</t>
  </si>
  <si>
    <t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t>
  </si>
  <si>
    <t>033SMPL.d</t>
  </si>
  <si>
    <t>20-80-T</t>
  </si>
  <si>
    <t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t>
  </si>
  <si>
    <t>034SMPL.d</t>
  </si>
  <si>
    <t>20-30-B</t>
  </si>
  <si>
    <t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t>
  </si>
  <si>
    <t>035SMPL.d</t>
  </si>
  <si>
    <t>20-70-T</t>
  </si>
  <si>
    <t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t>
  </si>
  <si>
    <t>036SMPL.d</t>
  </si>
  <si>
    <t>20-60-T</t>
  </si>
  <si>
    <t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t>
  </si>
  <si>
    <t>037SMPL.d</t>
  </si>
  <si>
    <t>20-90-B</t>
  </si>
  <si>
    <t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t>
  </si>
  <si>
    <t>038SMPL.d</t>
  </si>
  <si>
    <t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t>
  </si>
  <si>
    <t>039SMPL.d</t>
  </si>
  <si>
    <t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t>
  </si>
  <si>
    <t>040SMPL.d</t>
  </si>
  <si>
    <t>0-50-B</t>
  </si>
  <si>
    <t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t>
  </si>
  <si>
    <t>041SMPL.d</t>
  </si>
  <si>
    <t>0-90-B</t>
  </si>
  <si>
    <t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t>
  </si>
  <si>
    <t>042SMPL.d</t>
  </si>
  <si>
    <t>20-40-T</t>
  </si>
  <si>
    <t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t>
  </si>
  <si>
    <t>043SMPL.d</t>
  </si>
  <si>
    <t>20-20-T</t>
  </si>
  <si>
    <t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t>
  </si>
  <si>
    <t>044SMPL.d</t>
  </si>
  <si>
    <t>20-100-B</t>
  </si>
  <si>
    <t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t>
  </si>
  <si>
    <t>045SMPL.d</t>
  </si>
  <si>
    <t>20-10-B</t>
  </si>
  <si>
    <t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t>
  </si>
  <si>
    <t>046SMPL.d</t>
  </si>
  <si>
    <t>20-30-T</t>
  </si>
  <si>
    <t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t>
  </si>
  <si>
    <t>047SMPL.d</t>
  </si>
  <si>
    <t>10-0-T</t>
  </si>
  <si>
    <t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t>
  </si>
  <si>
    <t>048SMPL.d</t>
  </si>
  <si>
    <t>10-10-T</t>
  </si>
  <si>
    <t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t>
  </si>
  <si>
    <t>049SMPL.d</t>
  </si>
  <si>
    <t>10-20-T</t>
  </si>
  <si>
    <t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t>
  </si>
  <si>
    <t>050SMPL.d</t>
  </si>
  <si>
    <t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t>
  </si>
  <si>
    <t>051SMPL.d</t>
  </si>
  <si>
    <t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t>
  </si>
  <si>
    <t>052SMPL.d</t>
  </si>
  <si>
    <t>10-30-T</t>
  </si>
  <si>
    <t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t>
  </si>
  <si>
    <t>053SMPL.d</t>
  </si>
  <si>
    <t>10-40-T</t>
  </si>
  <si>
    <t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t>
  </si>
  <si>
    <t>054SMPL.d</t>
  </si>
  <si>
    <t>10-50-T</t>
  </si>
  <si>
    <t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t>
  </si>
  <si>
    <t>055SMPL.d</t>
  </si>
  <si>
    <t>10-80-T</t>
  </si>
  <si>
    <t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t>
  </si>
  <si>
    <t>056SMPL.d</t>
  </si>
  <si>
    <t>10-100-T</t>
  </si>
  <si>
    <t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t>
  </si>
  <si>
    <t>057SMPL.d</t>
  </si>
  <si>
    <t>10-90-T</t>
  </si>
  <si>
    <t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t>
  </si>
  <si>
    <t>058SMPL.d</t>
  </si>
  <si>
    <t>10-60-T</t>
  </si>
  <si>
    <t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t>
  </si>
  <si>
    <t>059SMPL.d</t>
  </si>
  <si>
    <t>10-70-T</t>
  </si>
  <si>
    <t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t>
  </si>
  <si>
    <t>060SMPL.d</t>
  </si>
  <si>
    <t>10-0-B</t>
  </si>
  <si>
    <t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t>
  </si>
  <si>
    <t>061SMPL.d</t>
  </si>
  <si>
    <t>10-20-B</t>
  </si>
  <si>
    <t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t>
  </si>
  <si>
    <t>062SMPL.d</t>
  </si>
  <si>
    <t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t>
  </si>
  <si>
    <t>063SMPL.d</t>
  </si>
  <si>
    <t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t>
  </si>
  <si>
    <t>064SMPL.d</t>
  </si>
  <si>
    <t>10-80-B</t>
  </si>
  <si>
    <t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t>
  </si>
  <si>
    <t>065SMPL.d</t>
  </si>
  <si>
    <t>10-90-B</t>
  </si>
  <si>
    <t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t>
  </si>
  <si>
    <t>066SMPL.d</t>
  </si>
  <si>
    <t>10-10-B</t>
  </si>
  <si>
    <t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t>
  </si>
  <si>
    <t>067SMPL.d</t>
  </si>
  <si>
    <t>10-50-B</t>
  </si>
  <si>
    <t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t>
  </si>
  <si>
    <t>068SMPL.d</t>
  </si>
  <si>
    <t>10-60-B</t>
  </si>
  <si>
    <t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t>
  </si>
  <si>
    <t>069SMPL.d</t>
  </si>
  <si>
    <t>10-70-B</t>
  </si>
  <si>
    <t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t>
  </si>
  <si>
    <t>070SMPL.d</t>
  </si>
  <si>
    <t>10-100-B</t>
  </si>
  <si>
    <t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t>
  </si>
  <si>
    <t>071SMPL.d</t>
  </si>
  <si>
    <t>20-10-T</t>
  </si>
  <si>
    <t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t>
  </si>
  <si>
    <t>072SMPL.d</t>
  </si>
  <si>
    <t>20-50-T</t>
  </si>
  <si>
    <t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t>
  </si>
  <si>
    <t>073SMPL.d</t>
  </si>
  <si>
    <t>20-70-B</t>
  </si>
  <si>
    <t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t>
  </si>
  <si>
    <t>074SMPL.d</t>
  </si>
  <si>
    <t>20-60-B</t>
  </si>
  <si>
    <t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t>
  </si>
  <si>
    <t>075SMPL.d</t>
  </si>
  <si>
    <t>20-80-B</t>
  </si>
  <si>
    <t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t>
  </si>
  <si>
    <t>076SMPL.d</t>
  </si>
  <si>
    <t>20-90-T</t>
  </si>
  <si>
    <t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t>
  </si>
  <si>
    <t>077SMPL.d</t>
  </si>
  <si>
    <t>DI H2O</t>
  </si>
  <si>
    <t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t>
  </si>
  <si>
    <t>078SMPL.d</t>
  </si>
  <si>
    <t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t>
  </si>
  <si>
    <t>079SMPL.d</t>
  </si>
  <si>
    <t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t>
  </si>
  <si>
    <t>082SMPL.d</t>
  </si>
  <si>
    <t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t>
  </si>
  <si>
    <t>083SMPL.d</t>
  </si>
  <si>
    <t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t>
  </si>
  <si>
    <t>084SMPL.d</t>
  </si>
  <si>
    <t>Number</t>
  </si>
  <si>
    <t>Sc</t>
  </si>
  <si>
    <t>Rh</t>
  </si>
  <si>
    <t>Ir</t>
  </si>
  <si>
    <t>Mean</t>
  </si>
  <si>
    <t>Stdev</t>
  </si>
  <si>
    <t>120%Mean</t>
  </si>
  <si>
    <t>80%Mean</t>
  </si>
  <si>
    <t>RelStdev</t>
  </si>
  <si>
    <t>Range</t>
  </si>
  <si>
    <t>Quality Sats</t>
  </si>
  <si>
    <t>Blanks</t>
  </si>
  <si>
    <t>120% Mean</t>
  </si>
  <si>
    <t>80% Mean</t>
  </si>
  <si>
    <t>110% Mean</t>
  </si>
  <si>
    <t>90% Mean</t>
  </si>
  <si>
    <t>minus 2 Std</t>
  </si>
  <si>
    <t>plus 1 Std</t>
  </si>
  <si>
    <t>minus 1 Std</t>
  </si>
  <si>
    <t>plus 2 Std</t>
  </si>
  <si>
    <t>m</t>
  </si>
  <si>
    <t>c</t>
  </si>
  <si>
    <t>100 ppb cal checks corrected</t>
  </si>
  <si>
    <t>100 ppb cal checks masured</t>
  </si>
  <si>
    <t>55  Mn  [ He ] corrected</t>
  </si>
  <si>
    <t>R^2</t>
  </si>
  <si>
    <t>F-statistic</t>
  </si>
  <si>
    <t>Regression Sum of Squares</t>
  </si>
  <si>
    <t xml:space="preserve">m </t>
  </si>
  <si>
    <t>intercept</t>
  </si>
  <si>
    <t>Std error of intercept</t>
  </si>
  <si>
    <t>Degrees of freedom</t>
  </si>
  <si>
    <t>Residual sum of Squares</t>
  </si>
  <si>
    <t>Std error of Y estimate</t>
  </si>
  <si>
    <t>Std error of X</t>
  </si>
  <si>
    <t>Std error</t>
  </si>
  <si>
    <t>Linear Model of 100 ppb checks</t>
  </si>
  <si>
    <t>Blanks corrected</t>
  </si>
  <si>
    <t>Linear Model of blanks</t>
  </si>
  <si>
    <t>75 As  [ He ] corrected</t>
  </si>
  <si>
    <t>27 Al  [ He ] corrected</t>
  </si>
  <si>
    <t>56 Fe  [ He ] corrected</t>
  </si>
  <si>
    <t>57 Fe  [ He ] corrected</t>
  </si>
  <si>
    <t>55 Mn corrected</t>
  </si>
  <si>
    <t>CPS corrected</t>
  </si>
  <si>
    <t>Blanks corrected Cal check model</t>
  </si>
  <si>
    <t>Mn</t>
  </si>
  <si>
    <t>As</t>
  </si>
  <si>
    <t>Al</t>
  </si>
  <si>
    <t>Calibration Standards Concentrations ppb</t>
  </si>
  <si>
    <t>Name</t>
  </si>
  <si>
    <t>Mass</t>
  </si>
  <si>
    <t>Unit</t>
  </si>
  <si>
    <t>ppb</t>
  </si>
  <si>
    <t>Fe</t>
  </si>
  <si>
    <t>M6</t>
  </si>
  <si>
    <t>M6x10</t>
  </si>
  <si>
    <t>M16x100 + Al</t>
  </si>
  <si>
    <t>(M16x100 + Al)x2</t>
  </si>
  <si>
    <t>HNO3</t>
  </si>
  <si>
    <t>(M16x100 + Al)x1000</t>
  </si>
  <si>
    <t>(M16x100 + Al)x200</t>
  </si>
  <si>
    <t>(M16x100 + Al)x2000</t>
  </si>
  <si>
    <t>(M16x100 + Al)x100</t>
  </si>
  <si>
    <t>(M16x100 + Al)x20</t>
  </si>
  <si>
    <t>(M16x100 + Al)x10</t>
  </si>
  <si>
    <t>Calibration</t>
  </si>
  <si>
    <t>Linear Model of Mn Calibration</t>
  </si>
  <si>
    <t>55 Mn concentration calc</t>
  </si>
  <si>
    <t>55 Mn conc measure</t>
  </si>
  <si>
    <t>LOD &amp; LOQ</t>
  </si>
  <si>
    <t>LOD</t>
  </si>
  <si>
    <t>LOQ</t>
  </si>
  <si>
    <t>Calc Conc</t>
  </si>
  <si>
    <t>Calc Conc ppb</t>
  </si>
  <si>
    <t>Measure Conc ppb</t>
  </si>
  <si>
    <t>Measure conc ppb</t>
  </si>
  <si>
    <t>Quality Stats</t>
  </si>
  <si>
    <t>CPS Cal Checks</t>
  </si>
  <si>
    <t>Calc Conc Cal Checks</t>
  </si>
  <si>
    <t>Measure Conc Cal Checks</t>
  </si>
  <si>
    <t>CPS Blanks</t>
  </si>
  <si>
    <t>Calc Conc Blanks</t>
  </si>
  <si>
    <t>Measure Conc Blanks</t>
  </si>
  <si>
    <t>Certificate</t>
  </si>
  <si>
    <t>M6x100x100</t>
  </si>
  <si>
    <t>Measure Conc</t>
  </si>
  <si>
    <t>Median</t>
  </si>
  <si>
    <t>Max</t>
  </si>
  <si>
    <t>Min</t>
  </si>
  <si>
    <t>100 ppb Cal Check (M16x100 + Al)x10</t>
  </si>
  <si>
    <t>Certificate Uncertainty</t>
  </si>
  <si>
    <t>Certificate Diluted</t>
  </si>
  <si>
    <t>Var</t>
  </si>
  <si>
    <t>Std Error</t>
  </si>
  <si>
    <t>% Accuracy Measure</t>
  </si>
  <si>
    <t>% Accuracy Calc</t>
  </si>
  <si>
    <t>75 As corrected</t>
  </si>
  <si>
    <t>75 As conc measure</t>
  </si>
  <si>
    <t>75 As concentration calc</t>
  </si>
  <si>
    <t>27 Al corrected</t>
  </si>
  <si>
    <t>27 Al concentration calc</t>
  </si>
  <si>
    <t>27 Al conc measure</t>
  </si>
  <si>
    <t>Linear Model of Al Calibration</t>
  </si>
  <si>
    <t>Linear Model of As Calibration</t>
  </si>
  <si>
    <t>56 Fe corrected</t>
  </si>
  <si>
    <t>56 Fe concentration calc</t>
  </si>
  <si>
    <t>56 Fe conc measure</t>
  </si>
  <si>
    <t>Linear Model of 56 Fe Calibration</t>
  </si>
  <si>
    <t>Linear Model of 57 Fe Calibration</t>
  </si>
  <si>
    <t>Dilution Factor</t>
  </si>
  <si>
    <t>55 Mn undil conc measure</t>
  </si>
  <si>
    <t>55 Mn undil concentration calc</t>
  </si>
  <si>
    <t>57 Fe undil concentration calc</t>
  </si>
  <si>
    <t>57 Fe undil conc measure</t>
  </si>
  <si>
    <t>57 Fe corrected</t>
  </si>
  <si>
    <t>57 Fe concentration calc</t>
  </si>
  <si>
    <t>57 Fe conc measure</t>
  </si>
  <si>
    <t>56 Fe undil concentration calc</t>
  </si>
  <si>
    <t>56 Fe undil conc measure</t>
  </si>
  <si>
    <t>27 Al undil concentration calc</t>
  </si>
  <si>
    <t>27 Al undil conc measure</t>
  </si>
  <si>
    <t>75 As undil concentration calc</t>
  </si>
  <si>
    <t>75 As undil conc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</si>
</sst>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0.00000"/>
    <numFmt numFmtId="166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C00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164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16" fillId="37" borderId="10" xfId="0" applyFont="1" applyFill="1" applyBorder="1"/>
    <xf numFmtId="0" fontId="0" fillId="0" borderId="10" xfId="0" applyBorder="1"/>
    <xf numFmtId="0" fontId="16" fillId="36" borderId="10" xfId="0" applyFont="1" applyFill="1" applyBorder="1"/>
    <xf numFmtId="164" fontId="16" fillId="37" borderId="10" xfId="0" applyNumberFormat="1" applyFont="1" applyFill="1" applyBorder="1"/>
    <xf numFmtId="164" fontId="0" fillId="0" borderId="10" xfId="0" applyNumberFormat="1" applyBorder="1"/>
    <xf numFmtId="0" fontId="16" fillId="38" borderId="10" xfId="0" applyFont="1" applyFill="1" applyBorder="1"/>
    <xf numFmtId="0" fontId="16" fillId="39" borderId="10" xfId="0" applyFont="1" applyFill="1" applyBorder="1"/>
    <xf numFmtId="0" fontId="16" fillId="40" borderId="10" xfId="0" applyFont="1" applyFill="1" applyBorder="1"/>
    <xf numFmtId="0" fontId="16" fillId="41" borderId="10" xfId="0" applyFont="1" applyFill="1" applyBorder="1"/>
    <xf numFmtId="0" fontId="16" fillId="42" borderId="10" xfId="0" applyFont="1" applyFill="1" applyBorder="1"/>
    <xf numFmtId="2" fontId="0" fillId="0" borderId="10" xfId="0" applyNumberFormat="1" applyBorder="1"/>
    <xf numFmtId="0" fontId="0" fillId="43" borderId="10" xfId="0" applyFill="1" applyBorder="1"/>
    <xf numFmtId="164" fontId="0" fillId="43" borderId="10" xfId="0" applyNumberFormat="1" applyFill="1" applyBorder="1"/>
    <xf numFmtId="2" fontId="0" fillId="0" borderId="0" xfId="0" applyNumberFormat="1"/>
    <xf numFmtId="2" fontId="0" fillId="43" borderId="10" xfId="0" applyNumberFormat="1" applyFill="1" applyBorder="1"/>
    <xf numFmtId="165" fontId="16" fillId="37" borderId="10" xfId="0" applyNumberFormat="1" applyFont="1" applyFill="1" applyBorder="1"/>
    <xf numFmtId="165" fontId="0" fillId="0" borderId="10" xfId="0" applyNumberFormat="1" applyBorder="1"/>
    <xf numFmtId="165" fontId="0" fillId="0" borderId="0" xfId="0" applyNumberFormat="1"/>
    <xf numFmtId="165" fontId="16" fillId="0" borderId="10" xfId="0" applyNumberFormat="1" applyFont="1" applyBorder="1"/>
    <xf numFmtId="165" fontId="0" fillId="43" borderId="10" xfId="0" applyNumberFormat="1" applyFill="1" applyBorder="1"/>
    <xf numFmtId="0" fontId="0" fillId="36" borderId="10" xfId="0" applyFill="1" applyBorder="1"/>
    <xf numFmtId="0" fontId="0" fillId="37" borderId="10" xfId="0" applyFill="1" applyBorder="1"/>
    <xf numFmtId="0" fontId="20" fillId="39" borderId="10" xfId="0" applyFont="1" applyFill="1" applyBorder="1"/>
    <xf numFmtId="0" fontId="0" fillId="39" borderId="10" xfId="0" applyFill="1" applyBorder="1"/>
    <xf numFmtId="0" fontId="0" fillId="44" borderId="10" xfId="0" applyFill="1" applyBorder="1"/>
    <xf numFmtId="0" fontId="20" fillId="42" borderId="10" xfId="0" applyFont="1" applyFill="1" applyBorder="1"/>
    <xf numFmtId="0" fontId="0" fillId="42" borderId="10" xfId="0" applyFill="1" applyBorder="1"/>
    <xf numFmtId="0" fontId="20" fillId="38" borderId="10" xfId="0" applyFont="1" applyFill="1" applyBorder="1"/>
    <xf numFmtId="0" fontId="0" fillId="38" borderId="10" xfId="0" applyFill="1" applyBorder="1"/>
    <xf numFmtId="0" fontId="20" fillId="40" borderId="10" xfId="0" applyFont="1" applyFill="1" applyBorder="1"/>
    <xf numFmtId="0" fontId="0" fillId="40" borderId="10" xfId="0" applyFill="1" applyBorder="1"/>
    <xf numFmtId="0" fontId="20" fillId="41" borderId="10" xfId="0" applyFont="1" applyFill="1" applyBorder="1"/>
    <xf numFmtId="0" fontId="0" fillId="41" borderId="10" xfId="0" applyFill="1" applyBorder="1"/>
    <xf numFmtId="0" fontId="0" fillId="45" borderId="10" xfId="0" applyFill="1" applyBorder="1"/>
    <xf numFmtId="164" fontId="16" fillId="39" borderId="10" xfId="0" applyNumberFormat="1" applyFont="1" applyFill="1" applyBorder="1"/>
    <xf numFmtId="2" fontId="16" fillId="39" borderId="10" xfId="0" applyNumberFormat="1" applyFont="1" applyFill="1" applyBorder="1"/>
    <xf numFmtId="2" fontId="0" fillId="45" borderId="10" xfId="0" applyNumberFormat="1" applyFill="1" applyBorder="1"/>
    <xf numFmtId="166" fontId="0" fillId="0" borderId="10" xfId="0" applyNumberFormat="1" applyBorder="1"/>
    <xf numFmtId="2" fontId="21" fillId="39" borderId="10" xfId="0" applyNumberFormat="1" applyFont="1" applyFill="1" applyBorder="1"/>
    <xf numFmtId="2" fontId="22" fillId="44" borderId="10" xfId="0" applyNumberFormat="1" applyFont="1" applyFill="1" applyBorder="1"/>
    <xf numFmtId="2" fontId="22" fillId="0" borderId="10" xfId="0" applyNumberFormat="1" applyFont="1" applyBorder="1"/>
    <xf numFmtId="2" fontId="22" fillId="45" borderId="10" xfId="0" applyNumberFormat="1" applyFont="1" applyFill="1" applyBorder="1"/>
    <xf numFmtId="2" fontId="22" fillId="0" borderId="0" xfId="0" applyNumberFormat="1" applyFont="1"/>
    <xf numFmtId="0" fontId="23" fillId="3" borderId="10" xfId="7" applyFont="1" applyBorder="1"/>
    <xf numFmtId="0" fontId="24" fillId="4" borderId="10" xfId="8" applyFont="1" applyBorder="1"/>
    <xf numFmtId="1" fontId="0" fillId="0" borderId="10" xfId="0" applyNumberFormat="1" applyBorder="1"/>
    <xf numFmtId="2" fontId="21" fillId="42" borderId="10" xfId="0" applyNumberFormat="1" applyFont="1" applyFill="1" applyBorder="1"/>
    <xf numFmtId="2" fontId="16" fillId="42" borderId="10" xfId="0" applyNumberFormat="1" applyFont="1" applyFill="1" applyBorder="1"/>
    <xf numFmtId="0" fontId="22" fillId="0" borderId="0" xfId="0" applyFont="1"/>
    <xf numFmtId="2" fontId="21" fillId="38" borderId="10" xfId="0" applyNumberFormat="1" applyFont="1" applyFill="1" applyBorder="1"/>
    <xf numFmtId="2" fontId="16" fillId="38" borderId="10" xfId="0" applyNumberFormat="1" applyFont="1" applyFill="1" applyBorder="1"/>
    <xf numFmtId="164" fontId="16" fillId="42" borderId="10" xfId="0" applyNumberFormat="1" applyFont="1" applyFill="1" applyBorder="1"/>
    <xf numFmtId="164" fontId="16" fillId="38" borderId="10" xfId="0" applyNumberFormat="1" applyFont="1" applyFill="1" applyBorder="1"/>
    <xf numFmtId="2" fontId="21" fillId="40" borderId="10" xfId="0" applyNumberFormat="1" applyFont="1" applyFill="1" applyBorder="1"/>
    <xf numFmtId="2" fontId="16" fillId="40" borderId="10" xfId="0" applyNumberFormat="1" applyFont="1" applyFill="1" applyBorder="1"/>
    <xf numFmtId="164" fontId="16" fillId="40" borderId="10" xfId="0" applyNumberFormat="1" applyFont="1" applyFill="1" applyBorder="1"/>
    <xf numFmtId="2" fontId="21" fillId="41" borderId="10" xfId="0" applyNumberFormat="1" applyFont="1" applyFill="1" applyBorder="1"/>
    <xf numFmtId="2" fontId="16" fillId="41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0"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numFmt numFmtId="0" formatCode="General"/>
      <fill>
        <patternFill>
          <bgColor rgb="FFFFC7CE"/>
        </patternFill>
      </fill>
    </dxf>
    <dxf>
      <font>
        <b val="0"/>
        <i val="0"/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ED07E688-B7E3-4984-BAFF-0EB6D042D5E7}"/>
  </tableStyles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7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8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1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ICP-MS</a:t>
            </a:r>
            <a:r>
              <a:rPr lang="en-US" sz="1600" baseline="0"/>
              <a:t> Internal Standards</a:t>
            </a:r>
            <a:r>
              <a:rPr lang="en-US" sz="1600"/>
              <a:t> Drift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51124790421379"/>
          <c:y val="5.1796805352179072E-2"/>
          <c:w val="0.83682705935876633"/>
          <c:h val="0.84833853807841519"/>
        </c:manualLayout>
      </c:layout>
      <c:scatterChart>
        <c:scatterStyle val="lineMarker"/>
        <c:varyColors val="0"/>
        <c:ser>
          <c:idx val="0"/>
          <c:order val="0"/>
          <c:tx>
            <c:v>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ICP_Internal_Drift!$I$3:$I$86</c:f>
              <c:numCache>
                <c:formatCode>0.00</c:formatCode>
                <c:ptCount val="84"/>
                <c:pt idx="0">
                  <c:v>33.33</c:v>
                </c:pt>
                <c:pt idx="1">
                  <c:v>46.67</c:v>
                </c:pt>
                <c:pt idx="2">
                  <c:v>6288.22</c:v>
                </c:pt>
                <c:pt idx="3">
                  <c:v>2707.03</c:v>
                </c:pt>
                <c:pt idx="4">
                  <c:v>2790.38</c:v>
                </c:pt>
                <c:pt idx="5">
                  <c:v>3660.59</c:v>
                </c:pt>
                <c:pt idx="6">
                  <c:v>4290.7700000000004</c:v>
                </c:pt>
                <c:pt idx="7">
                  <c:v>5181.09</c:v>
                </c:pt>
                <c:pt idx="8">
                  <c:v>6138.16</c:v>
                </c:pt>
                <c:pt idx="9">
                  <c:v>7962.46</c:v>
                </c:pt>
                <c:pt idx="10">
                  <c:v>10464.120000000001</c:v>
                </c:pt>
                <c:pt idx="11">
                  <c:v>12502.48</c:v>
                </c:pt>
                <c:pt idx="12">
                  <c:v>15228.45</c:v>
                </c:pt>
                <c:pt idx="13">
                  <c:v>17013.830000000002</c:v>
                </c:pt>
                <c:pt idx="14">
                  <c:v>44512.22</c:v>
                </c:pt>
                <c:pt idx="15">
                  <c:v>49009.82</c:v>
                </c:pt>
                <c:pt idx="16">
                  <c:v>51819.63</c:v>
                </c:pt>
                <c:pt idx="17">
                  <c:v>55028.08</c:v>
                </c:pt>
                <c:pt idx="18">
                  <c:v>55576.77</c:v>
                </c:pt>
                <c:pt idx="19">
                  <c:v>60626.77</c:v>
                </c:pt>
                <c:pt idx="20">
                  <c:v>63097.18</c:v>
                </c:pt>
                <c:pt idx="21">
                  <c:v>65655.210000000006</c:v>
                </c:pt>
                <c:pt idx="22">
                  <c:v>69623.44</c:v>
                </c:pt>
                <c:pt idx="23">
                  <c:v>72926.19</c:v>
                </c:pt>
                <c:pt idx="24">
                  <c:v>77818.2</c:v>
                </c:pt>
                <c:pt idx="25">
                  <c:v>78029.210000000006</c:v>
                </c:pt>
                <c:pt idx="26">
                  <c:v>81843.399999999994</c:v>
                </c:pt>
                <c:pt idx="27">
                  <c:v>85628.41</c:v>
                </c:pt>
                <c:pt idx="28">
                  <c:v>89397.19</c:v>
                </c:pt>
                <c:pt idx="29">
                  <c:v>93241.1</c:v>
                </c:pt>
                <c:pt idx="30">
                  <c:v>92600.92</c:v>
                </c:pt>
                <c:pt idx="31">
                  <c:v>100370.84</c:v>
                </c:pt>
                <c:pt idx="32">
                  <c:v>104308.38</c:v>
                </c:pt>
                <c:pt idx="33">
                  <c:v>109050.73</c:v>
                </c:pt>
                <c:pt idx="34">
                  <c:v>112226.79</c:v>
                </c:pt>
                <c:pt idx="35">
                  <c:v>114154.89</c:v>
                </c:pt>
                <c:pt idx="36">
                  <c:v>133009.35</c:v>
                </c:pt>
                <c:pt idx="37">
                  <c:v>132885.17000000001</c:v>
                </c:pt>
                <c:pt idx="38">
                  <c:v>136107.75</c:v>
                </c:pt>
                <c:pt idx="39">
                  <c:v>141805.26999999999</c:v>
                </c:pt>
                <c:pt idx="40">
                  <c:v>144151.39000000001</c:v>
                </c:pt>
                <c:pt idx="41">
                  <c:v>143744.62</c:v>
                </c:pt>
                <c:pt idx="42">
                  <c:v>161647.97</c:v>
                </c:pt>
                <c:pt idx="43">
                  <c:v>147123.74</c:v>
                </c:pt>
                <c:pt idx="44">
                  <c:v>167609.71</c:v>
                </c:pt>
                <c:pt idx="45">
                  <c:v>168802.42</c:v>
                </c:pt>
                <c:pt idx="46">
                  <c:v>154247.57999999999</c:v>
                </c:pt>
                <c:pt idx="47">
                  <c:v>170707.37</c:v>
                </c:pt>
                <c:pt idx="48">
                  <c:v>170938.9</c:v>
                </c:pt>
                <c:pt idx="49">
                  <c:v>170221.05</c:v>
                </c:pt>
                <c:pt idx="50">
                  <c:v>171745.36</c:v>
                </c:pt>
                <c:pt idx="51">
                  <c:v>176810.27</c:v>
                </c:pt>
                <c:pt idx="52">
                  <c:v>180948.75</c:v>
                </c:pt>
                <c:pt idx="53">
                  <c:v>181637.13</c:v>
                </c:pt>
                <c:pt idx="54">
                  <c:v>179742.8</c:v>
                </c:pt>
                <c:pt idx="55">
                  <c:v>184066.88</c:v>
                </c:pt>
                <c:pt idx="56">
                  <c:v>190906.8</c:v>
                </c:pt>
                <c:pt idx="57">
                  <c:v>190653.1</c:v>
                </c:pt>
                <c:pt idx="58">
                  <c:v>192020.93</c:v>
                </c:pt>
                <c:pt idx="59">
                  <c:v>192551.42</c:v>
                </c:pt>
                <c:pt idx="60">
                  <c:v>196048.52</c:v>
                </c:pt>
                <c:pt idx="61">
                  <c:v>188001.7</c:v>
                </c:pt>
                <c:pt idx="62">
                  <c:v>191833.94</c:v>
                </c:pt>
                <c:pt idx="63">
                  <c:v>199047.63</c:v>
                </c:pt>
                <c:pt idx="64">
                  <c:v>196743.36</c:v>
                </c:pt>
                <c:pt idx="65">
                  <c:v>197496.38</c:v>
                </c:pt>
                <c:pt idx="66">
                  <c:v>201018.26</c:v>
                </c:pt>
                <c:pt idx="67">
                  <c:v>201285.28</c:v>
                </c:pt>
                <c:pt idx="68">
                  <c:v>201933.85</c:v>
                </c:pt>
                <c:pt idx="69">
                  <c:v>200272.37</c:v>
                </c:pt>
                <c:pt idx="70">
                  <c:v>203853.83</c:v>
                </c:pt>
                <c:pt idx="71">
                  <c:v>202765.11</c:v>
                </c:pt>
                <c:pt idx="72">
                  <c:v>202000.13</c:v>
                </c:pt>
                <c:pt idx="73">
                  <c:v>197643.47</c:v>
                </c:pt>
                <c:pt idx="74">
                  <c:v>199026.16</c:v>
                </c:pt>
                <c:pt idx="75">
                  <c:v>200186.8</c:v>
                </c:pt>
                <c:pt idx="76">
                  <c:v>199169.21</c:v>
                </c:pt>
                <c:pt idx="77">
                  <c:v>200405.89</c:v>
                </c:pt>
                <c:pt idx="78">
                  <c:v>202535.27</c:v>
                </c:pt>
                <c:pt idx="79">
                  <c:v>200714.18</c:v>
                </c:pt>
                <c:pt idx="80">
                  <c:v>180908.09</c:v>
                </c:pt>
                <c:pt idx="81">
                  <c:v>198844.31</c:v>
                </c:pt>
                <c:pt idx="82">
                  <c:v>198456.42</c:v>
                </c:pt>
                <c:pt idx="83">
                  <c:v>200559.28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0-43A1-B991-2CADB1A91CD5}"/>
            </c:ext>
          </c:extLst>
        </c:ser>
        <c:ser>
          <c:idx val="1"/>
          <c:order val="1"/>
          <c:tx>
            <c:v>Rh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ICP_Internal_Drift!$N$3:$N$86</c:f>
              <c:numCache>
                <c:formatCode>0.00</c:formatCode>
                <c:ptCount val="84"/>
                <c:pt idx="0">
                  <c:v>110.01</c:v>
                </c:pt>
                <c:pt idx="1">
                  <c:v>140</c:v>
                </c:pt>
                <c:pt idx="2">
                  <c:v>54600.29</c:v>
                </c:pt>
                <c:pt idx="3">
                  <c:v>22608.86</c:v>
                </c:pt>
                <c:pt idx="4">
                  <c:v>26562.51</c:v>
                </c:pt>
                <c:pt idx="5">
                  <c:v>30998.35</c:v>
                </c:pt>
                <c:pt idx="6">
                  <c:v>37624.870000000003</c:v>
                </c:pt>
                <c:pt idx="7">
                  <c:v>45672.01</c:v>
                </c:pt>
                <c:pt idx="8">
                  <c:v>55741.53</c:v>
                </c:pt>
                <c:pt idx="9">
                  <c:v>69284.83</c:v>
                </c:pt>
                <c:pt idx="10">
                  <c:v>91541.18</c:v>
                </c:pt>
                <c:pt idx="11">
                  <c:v>114602.58</c:v>
                </c:pt>
                <c:pt idx="12">
                  <c:v>132257.44</c:v>
                </c:pt>
                <c:pt idx="13">
                  <c:v>151788.79999999999</c:v>
                </c:pt>
                <c:pt idx="14">
                  <c:v>386224.16</c:v>
                </c:pt>
                <c:pt idx="15">
                  <c:v>426554.58</c:v>
                </c:pt>
                <c:pt idx="16">
                  <c:v>450635.99</c:v>
                </c:pt>
                <c:pt idx="17">
                  <c:v>472463.03</c:v>
                </c:pt>
                <c:pt idx="18">
                  <c:v>485245.67</c:v>
                </c:pt>
                <c:pt idx="19">
                  <c:v>522091.83</c:v>
                </c:pt>
                <c:pt idx="20">
                  <c:v>544848.32999999996</c:v>
                </c:pt>
                <c:pt idx="21">
                  <c:v>568173.23</c:v>
                </c:pt>
                <c:pt idx="22">
                  <c:v>599584.25</c:v>
                </c:pt>
                <c:pt idx="23">
                  <c:v>630367.96</c:v>
                </c:pt>
                <c:pt idx="24">
                  <c:v>664066.34</c:v>
                </c:pt>
                <c:pt idx="25">
                  <c:v>671680.2</c:v>
                </c:pt>
                <c:pt idx="26">
                  <c:v>703381.97</c:v>
                </c:pt>
                <c:pt idx="27">
                  <c:v>741157.72</c:v>
                </c:pt>
                <c:pt idx="28">
                  <c:v>768011.5</c:v>
                </c:pt>
                <c:pt idx="29">
                  <c:v>809082.57</c:v>
                </c:pt>
                <c:pt idx="30">
                  <c:v>822596.97</c:v>
                </c:pt>
                <c:pt idx="31">
                  <c:v>859080.14</c:v>
                </c:pt>
                <c:pt idx="32">
                  <c:v>895850.9</c:v>
                </c:pt>
                <c:pt idx="33">
                  <c:v>940440.27</c:v>
                </c:pt>
                <c:pt idx="34">
                  <c:v>967091.39</c:v>
                </c:pt>
                <c:pt idx="35">
                  <c:v>970176.49</c:v>
                </c:pt>
                <c:pt idx="36">
                  <c:v>1152294.72</c:v>
                </c:pt>
                <c:pt idx="37">
                  <c:v>1158292.53</c:v>
                </c:pt>
                <c:pt idx="38">
                  <c:v>1184898.99</c:v>
                </c:pt>
                <c:pt idx="39">
                  <c:v>1228359.3600000001</c:v>
                </c:pt>
                <c:pt idx="40">
                  <c:v>1242497.5900000001</c:v>
                </c:pt>
                <c:pt idx="41">
                  <c:v>1254960.92</c:v>
                </c:pt>
                <c:pt idx="42">
                  <c:v>1389508.76</c:v>
                </c:pt>
                <c:pt idx="43">
                  <c:v>1058476.3600000001</c:v>
                </c:pt>
                <c:pt idx="44">
                  <c:v>1311511.23</c:v>
                </c:pt>
                <c:pt idx="45">
                  <c:v>1339476.1299999999</c:v>
                </c:pt>
                <c:pt idx="46">
                  <c:v>1257332.06</c:v>
                </c:pt>
                <c:pt idx="47">
                  <c:v>1362452.43</c:v>
                </c:pt>
                <c:pt idx="48">
                  <c:v>1374854.82</c:v>
                </c:pt>
                <c:pt idx="49">
                  <c:v>1370174.62</c:v>
                </c:pt>
                <c:pt idx="50">
                  <c:v>1387237.32</c:v>
                </c:pt>
                <c:pt idx="51">
                  <c:v>1458086.75</c:v>
                </c:pt>
                <c:pt idx="52">
                  <c:v>1555817.11</c:v>
                </c:pt>
                <c:pt idx="53">
                  <c:v>1491518.67</c:v>
                </c:pt>
                <c:pt idx="54">
                  <c:v>1508387.89</c:v>
                </c:pt>
                <c:pt idx="55">
                  <c:v>1584405.6</c:v>
                </c:pt>
                <c:pt idx="56">
                  <c:v>1548428.73</c:v>
                </c:pt>
                <c:pt idx="57">
                  <c:v>1647582.68</c:v>
                </c:pt>
                <c:pt idx="58">
                  <c:v>1670914.14</c:v>
                </c:pt>
                <c:pt idx="59">
                  <c:v>1658047.94</c:v>
                </c:pt>
                <c:pt idx="60">
                  <c:v>1691485.24</c:v>
                </c:pt>
                <c:pt idx="61">
                  <c:v>1646761.64</c:v>
                </c:pt>
                <c:pt idx="62">
                  <c:v>1642997.11</c:v>
                </c:pt>
                <c:pt idx="63">
                  <c:v>1711979.04</c:v>
                </c:pt>
                <c:pt idx="64">
                  <c:v>1703670.96</c:v>
                </c:pt>
                <c:pt idx="65">
                  <c:v>1733122.58</c:v>
                </c:pt>
                <c:pt idx="66">
                  <c:v>1742151.74</c:v>
                </c:pt>
                <c:pt idx="67">
                  <c:v>1746084.45</c:v>
                </c:pt>
                <c:pt idx="68">
                  <c:v>1754612.01</c:v>
                </c:pt>
                <c:pt idx="69">
                  <c:v>1741981.95</c:v>
                </c:pt>
                <c:pt idx="70">
                  <c:v>1766525.81</c:v>
                </c:pt>
                <c:pt idx="71">
                  <c:v>1763836.85</c:v>
                </c:pt>
                <c:pt idx="72">
                  <c:v>1724379.35</c:v>
                </c:pt>
                <c:pt idx="73">
                  <c:v>1745395.86</c:v>
                </c:pt>
                <c:pt idx="74">
                  <c:v>1750624.72</c:v>
                </c:pt>
                <c:pt idx="75">
                  <c:v>1743629.45</c:v>
                </c:pt>
                <c:pt idx="76">
                  <c:v>1779022.84</c:v>
                </c:pt>
                <c:pt idx="77">
                  <c:v>1754948.15</c:v>
                </c:pt>
                <c:pt idx="78">
                  <c:v>1744522.37</c:v>
                </c:pt>
                <c:pt idx="79">
                  <c:v>1697271.9</c:v>
                </c:pt>
                <c:pt idx="80">
                  <c:v>1348858.31</c:v>
                </c:pt>
                <c:pt idx="81">
                  <c:v>1831976.22</c:v>
                </c:pt>
                <c:pt idx="82">
                  <c:v>1855948.25</c:v>
                </c:pt>
                <c:pt idx="83">
                  <c:v>1821425.03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3BB0-43A1-B991-2CADB1A91CD5}"/>
            </c:ext>
          </c:extLst>
        </c:ser>
        <c:ser>
          <c:idx val="2"/>
          <c:order val="2"/>
          <c:tx>
            <c:v>Ir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ICP_Internal_Drift!$S$3:$S$86</c:f>
              <c:numCache>
                <c:formatCode>0.00</c:formatCode>
                <c:ptCount val="84"/>
                <c:pt idx="0">
                  <c:v>590.03</c:v>
                </c:pt>
                <c:pt idx="1">
                  <c:v>600.04</c:v>
                </c:pt>
                <c:pt idx="2">
                  <c:v>1123.42</c:v>
                </c:pt>
                <c:pt idx="3">
                  <c:v>763.38</c:v>
                </c:pt>
                <c:pt idx="4">
                  <c:v>773.39</c:v>
                </c:pt>
                <c:pt idx="5">
                  <c:v>760.05</c:v>
                </c:pt>
                <c:pt idx="6">
                  <c:v>796.73</c:v>
                </c:pt>
                <c:pt idx="7">
                  <c:v>800.06</c:v>
                </c:pt>
                <c:pt idx="8">
                  <c:v>750.05</c:v>
                </c:pt>
                <c:pt idx="9">
                  <c:v>886.73</c:v>
                </c:pt>
                <c:pt idx="10">
                  <c:v>1060.08</c:v>
                </c:pt>
                <c:pt idx="11">
                  <c:v>1190.0999999999999</c:v>
                </c:pt>
                <c:pt idx="12">
                  <c:v>1216.77</c:v>
                </c:pt>
                <c:pt idx="13">
                  <c:v>1343.46</c:v>
                </c:pt>
                <c:pt idx="14">
                  <c:v>2543.67</c:v>
                </c:pt>
                <c:pt idx="15">
                  <c:v>3533.95</c:v>
                </c:pt>
                <c:pt idx="16">
                  <c:v>3774.06</c:v>
                </c:pt>
                <c:pt idx="17">
                  <c:v>3693.99</c:v>
                </c:pt>
                <c:pt idx="18">
                  <c:v>3844.04</c:v>
                </c:pt>
                <c:pt idx="19">
                  <c:v>4367.57</c:v>
                </c:pt>
                <c:pt idx="20">
                  <c:v>4310.87</c:v>
                </c:pt>
                <c:pt idx="21">
                  <c:v>4367.54</c:v>
                </c:pt>
                <c:pt idx="22">
                  <c:v>4874.45</c:v>
                </c:pt>
                <c:pt idx="23">
                  <c:v>4757.67</c:v>
                </c:pt>
                <c:pt idx="24">
                  <c:v>4941.3</c:v>
                </c:pt>
                <c:pt idx="25">
                  <c:v>4561.59</c:v>
                </c:pt>
                <c:pt idx="26">
                  <c:v>4517.6099999999997</c:v>
                </c:pt>
                <c:pt idx="27">
                  <c:v>6147.5</c:v>
                </c:pt>
                <c:pt idx="28">
                  <c:v>5354.66</c:v>
                </c:pt>
                <c:pt idx="29">
                  <c:v>5744.76</c:v>
                </c:pt>
                <c:pt idx="30">
                  <c:v>5508.05</c:v>
                </c:pt>
                <c:pt idx="31">
                  <c:v>5974.95</c:v>
                </c:pt>
                <c:pt idx="32">
                  <c:v>6645.27</c:v>
                </c:pt>
                <c:pt idx="33">
                  <c:v>6935.45</c:v>
                </c:pt>
                <c:pt idx="34">
                  <c:v>6695.25</c:v>
                </c:pt>
                <c:pt idx="35">
                  <c:v>6558.62</c:v>
                </c:pt>
                <c:pt idx="36">
                  <c:v>8070.27</c:v>
                </c:pt>
                <c:pt idx="37">
                  <c:v>9804.85</c:v>
                </c:pt>
                <c:pt idx="38">
                  <c:v>7755.96</c:v>
                </c:pt>
                <c:pt idx="39">
                  <c:v>8466.39</c:v>
                </c:pt>
                <c:pt idx="40">
                  <c:v>8666.91</c:v>
                </c:pt>
                <c:pt idx="41">
                  <c:v>8796.77</c:v>
                </c:pt>
                <c:pt idx="42">
                  <c:v>10121.76</c:v>
                </c:pt>
                <c:pt idx="43">
                  <c:v>6695.35</c:v>
                </c:pt>
                <c:pt idx="44">
                  <c:v>8853.4699999999993</c:v>
                </c:pt>
                <c:pt idx="45">
                  <c:v>8516.5300000000007</c:v>
                </c:pt>
                <c:pt idx="46">
                  <c:v>14980.13</c:v>
                </c:pt>
                <c:pt idx="47">
                  <c:v>8930.02</c:v>
                </c:pt>
                <c:pt idx="48">
                  <c:v>8756.6</c:v>
                </c:pt>
                <c:pt idx="49">
                  <c:v>8429.8700000000008</c:v>
                </c:pt>
                <c:pt idx="50">
                  <c:v>8437.18</c:v>
                </c:pt>
                <c:pt idx="51">
                  <c:v>9497.34</c:v>
                </c:pt>
                <c:pt idx="52">
                  <c:v>9253.69</c:v>
                </c:pt>
                <c:pt idx="53">
                  <c:v>9677.5499999999993</c:v>
                </c:pt>
                <c:pt idx="54">
                  <c:v>9814.06</c:v>
                </c:pt>
                <c:pt idx="55">
                  <c:v>9413.7199999999993</c:v>
                </c:pt>
                <c:pt idx="56">
                  <c:v>8349.65</c:v>
                </c:pt>
                <c:pt idx="57">
                  <c:v>9773.94</c:v>
                </c:pt>
                <c:pt idx="58">
                  <c:v>9827.4500000000007</c:v>
                </c:pt>
                <c:pt idx="59">
                  <c:v>10411.76</c:v>
                </c:pt>
                <c:pt idx="60">
                  <c:v>10301.36</c:v>
                </c:pt>
                <c:pt idx="61">
                  <c:v>9607.42</c:v>
                </c:pt>
                <c:pt idx="62">
                  <c:v>9347.14</c:v>
                </c:pt>
                <c:pt idx="63">
                  <c:v>10494.6</c:v>
                </c:pt>
                <c:pt idx="64">
                  <c:v>9590.4699999999993</c:v>
                </c:pt>
                <c:pt idx="65">
                  <c:v>10461.31</c:v>
                </c:pt>
                <c:pt idx="66">
                  <c:v>10401.209999999999</c:v>
                </c:pt>
                <c:pt idx="67">
                  <c:v>10454.51</c:v>
                </c:pt>
                <c:pt idx="68">
                  <c:v>10594.9</c:v>
                </c:pt>
                <c:pt idx="69">
                  <c:v>10160.94</c:v>
                </c:pt>
                <c:pt idx="70">
                  <c:v>10247.67</c:v>
                </c:pt>
                <c:pt idx="71">
                  <c:v>10214.36</c:v>
                </c:pt>
                <c:pt idx="72">
                  <c:v>10528.22</c:v>
                </c:pt>
                <c:pt idx="73">
                  <c:v>9507.1299999999992</c:v>
                </c:pt>
                <c:pt idx="74">
                  <c:v>9870.9599999999991</c:v>
                </c:pt>
                <c:pt idx="75">
                  <c:v>10114.370000000001</c:v>
                </c:pt>
                <c:pt idx="76">
                  <c:v>9787.0300000000007</c:v>
                </c:pt>
                <c:pt idx="77">
                  <c:v>10696.92</c:v>
                </c:pt>
                <c:pt idx="78">
                  <c:v>9403.7099999999991</c:v>
                </c:pt>
                <c:pt idx="79">
                  <c:v>9387.18</c:v>
                </c:pt>
                <c:pt idx="80">
                  <c:v>8643.16</c:v>
                </c:pt>
                <c:pt idx="81">
                  <c:v>10484.790000000001</c:v>
                </c:pt>
                <c:pt idx="82">
                  <c:v>9874.17</c:v>
                </c:pt>
                <c:pt idx="83">
                  <c:v>9477.1200000000008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BB0-43A1-B991-2CADB1A91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5400000" spcFirstLastPara="1" vertOverflow="ellipsis" wrap="square" anchor="ctr" anchorCtr="0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Internal Standards</a:t>
            </a:r>
            <a:r>
              <a:rPr lang="en-US" sz="1600"/>
              <a:t> Drift Sc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360930913359552"/>
          <c:y val="5.4978273806280585E-2"/>
          <c:w val="0.83682705935876633"/>
          <c:h val="0.84833853807841519"/>
        </c:manualLayout>
      </c:layout>
      <c:scatterChart>
        <c:scatterStyle val="lineMarker"/>
        <c:varyColors val="0"/>
        <c:ser>
          <c:idx val="0"/>
          <c:order val="0"/>
          <c:tx>
            <c:strRef>
              <c:f>ICP_Internal_Drift!$I$1</c:f>
              <c:strCache>
                <c:ptCount val="1"/>
                <c:pt idx="0">
                  <c:v>45  Sc ( ISTD )  [ He ]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ICP_Internal_Drift!$I$3:$I$86</c:f>
              <c:numCache>
                <c:formatCode>0.00</c:formatCode>
                <c:ptCount val="84"/>
                <c:pt idx="0">
                  <c:v>33.33</c:v>
                </c:pt>
                <c:pt idx="1">
                  <c:v>46.67</c:v>
                </c:pt>
                <c:pt idx="2">
                  <c:v>6288.22</c:v>
                </c:pt>
                <c:pt idx="3">
                  <c:v>2707.03</c:v>
                </c:pt>
                <c:pt idx="4">
                  <c:v>2790.38</c:v>
                </c:pt>
                <c:pt idx="5">
                  <c:v>3660.59</c:v>
                </c:pt>
                <c:pt idx="6">
                  <c:v>4290.7700000000004</c:v>
                </c:pt>
                <c:pt idx="7">
                  <c:v>5181.09</c:v>
                </c:pt>
                <c:pt idx="8">
                  <c:v>6138.16</c:v>
                </c:pt>
                <c:pt idx="9">
                  <c:v>7962.46</c:v>
                </c:pt>
                <c:pt idx="10">
                  <c:v>10464.120000000001</c:v>
                </c:pt>
                <c:pt idx="11">
                  <c:v>12502.48</c:v>
                </c:pt>
                <c:pt idx="12">
                  <c:v>15228.45</c:v>
                </c:pt>
                <c:pt idx="13">
                  <c:v>17013.830000000002</c:v>
                </c:pt>
                <c:pt idx="14">
                  <c:v>44512.22</c:v>
                </c:pt>
                <c:pt idx="15">
                  <c:v>49009.82</c:v>
                </c:pt>
                <c:pt idx="16">
                  <c:v>51819.63</c:v>
                </c:pt>
                <c:pt idx="17">
                  <c:v>55028.08</c:v>
                </c:pt>
                <c:pt idx="18">
                  <c:v>55576.77</c:v>
                </c:pt>
                <c:pt idx="19">
                  <c:v>60626.77</c:v>
                </c:pt>
                <c:pt idx="20">
                  <c:v>63097.18</c:v>
                </c:pt>
                <c:pt idx="21">
                  <c:v>65655.210000000006</c:v>
                </c:pt>
                <c:pt idx="22">
                  <c:v>69623.44</c:v>
                </c:pt>
                <c:pt idx="23">
                  <c:v>72926.19</c:v>
                </c:pt>
                <c:pt idx="24">
                  <c:v>77818.2</c:v>
                </c:pt>
                <c:pt idx="25">
                  <c:v>78029.210000000006</c:v>
                </c:pt>
                <c:pt idx="26">
                  <c:v>81843.399999999994</c:v>
                </c:pt>
                <c:pt idx="27">
                  <c:v>85628.41</c:v>
                </c:pt>
                <c:pt idx="28">
                  <c:v>89397.19</c:v>
                </c:pt>
                <c:pt idx="29">
                  <c:v>93241.1</c:v>
                </c:pt>
                <c:pt idx="30">
                  <c:v>92600.92</c:v>
                </c:pt>
                <c:pt idx="31">
                  <c:v>100370.84</c:v>
                </c:pt>
                <c:pt idx="32">
                  <c:v>104308.38</c:v>
                </c:pt>
                <c:pt idx="33">
                  <c:v>109050.73</c:v>
                </c:pt>
                <c:pt idx="34">
                  <c:v>112226.79</c:v>
                </c:pt>
                <c:pt idx="35">
                  <c:v>114154.89</c:v>
                </c:pt>
                <c:pt idx="36">
                  <c:v>133009.35</c:v>
                </c:pt>
                <c:pt idx="37">
                  <c:v>132885.17000000001</c:v>
                </c:pt>
                <c:pt idx="38">
                  <c:v>136107.75</c:v>
                </c:pt>
                <c:pt idx="39">
                  <c:v>141805.26999999999</c:v>
                </c:pt>
                <c:pt idx="40">
                  <c:v>144151.39000000001</c:v>
                </c:pt>
                <c:pt idx="41">
                  <c:v>143744.62</c:v>
                </c:pt>
                <c:pt idx="42">
                  <c:v>161647.97</c:v>
                </c:pt>
                <c:pt idx="43">
                  <c:v>147123.74</c:v>
                </c:pt>
                <c:pt idx="44">
                  <c:v>167609.71</c:v>
                </c:pt>
                <c:pt idx="45">
                  <c:v>168802.42</c:v>
                </c:pt>
                <c:pt idx="46">
                  <c:v>154247.57999999999</c:v>
                </c:pt>
                <c:pt idx="47">
                  <c:v>170707.37</c:v>
                </c:pt>
                <c:pt idx="48">
                  <c:v>170938.9</c:v>
                </c:pt>
                <c:pt idx="49">
                  <c:v>170221.05</c:v>
                </c:pt>
                <c:pt idx="50">
                  <c:v>171745.36</c:v>
                </c:pt>
                <c:pt idx="51">
                  <c:v>176810.27</c:v>
                </c:pt>
                <c:pt idx="52">
                  <c:v>180948.75</c:v>
                </c:pt>
                <c:pt idx="53">
                  <c:v>181637.13</c:v>
                </c:pt>
                <c:pt idx="54">
                  <c:v>179742.8</c:v>
                </c:pt>
                <c:pt idx="55">
                  <c:v>184066.88</c:v>
                </c:pt>
                <c:pt idx="56">
                  <c:v>190906.8</c:v>
                </c:pt>
                <c:pt idx="57">
                  <c:v>190653.1</c:v>
                </c:pt>
                <c:pt idx="58">
                  <c:v>192020.93</c:v>
                </c:pt>
                <c:pt idx="59">
                  <c:v>192551.42</c:v>
                </c:pt>
                <c:pt idx="60">
                  <c:v>196048.52</c:v>
                </c:pt>
                <c:pt idx="61">
                  <c:v>188001.7</c:v>
                </c:pt>
                <c:pt idx="62">
                  <c:v>191833.94</c:v>
                </c:pt>
                <c:pt idx="63">
                  <c:v>199047.63</c:v>
                </c:pt>
                <c:pt idx="64">
                  <c:v>196743.36</c:v>
                </c:pt>
                <c:pt idx="65">
                  <c:v>197496.38</c:v>
                </c:pt>
                <c:pt idx="66">
                  <c:v>201018.26</c:v>
                </c:pt>
                <c:pt idx="67">
                  <c:v>201285.28</c:v>
                </c:pt>
                <c:pt idx="68">
                  <c:v>201933.85</c:v>
                </c:pt>
                <c:pt idx="69">
                  <c:v>200272.37</c:v>
                </c:pt>
                <c:pt idx="70">
                  <c:v>203853.83</c:v>
                </c:pt>
                <c:pt idx="71">
                  <c:v>202765.11</c:v>
                </c:pt>
                <c:pt idx="72">
                  <c:v>202000.13</c:v>
                </c:pt>
                <c:pt idx="73">
                  <c:v>197643.47</c:v>
                </c:pt>
                <c:pt idx="74">
                  <c:v>199026.16</c:v>
                </c:pt>
                <c:pt idx="75">
                  <c:v>200186.8</c:v>
                </c:pt>
                <c:pt idx="76">
                  <c:v>199169.21</c:v>
                </c:pt>
                <c:pt idx="77">
                  <c:v>200405.89</c:v>
                </c:pt>
                <c:pt idx="78">
                  <c:v>202535.27</c:v>
                </c:pt>
                <c:pt idx="79">
                  <c:v>200714.18</c:v>
                </c:pt>
                <c:pt idx="80">
                  <c:v>180908.09</c:v>
                </c:pt>
                <c:pt idx="81">
                  <c:v>198844.31</c:v>
                </c:pt>
                <c:pt idx="82">
                  <c:v>198456.42</c:v>
                </c:pt>
                <c:pt idx="83">
                  <c:v>200559.28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64-42BD-B9C5-CF3B2227A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Rh</c:v>
                </c:tx>
                <c:marker>
                  <c:symbol val="circle"/>
                  <c:size val="5"/>
                </c:marker>
                <c:xVal>
                  <c:numRef>
                    <c:extLst>
                      <c:ext uri="{02D57815-91ED-43cb-92C2-25804820EDAC}">
                        <c15:formulaRef>
                          <c15:sqref>ICP_Internal_Drift!$E$3:$E$86</c15:sqref>
                        </c15:formulaRef>
                      </c:ext>
                    </c:extLst>
                    <c:numCache>
                      <c:formatCode>[$-F400]h:mm:ss\ AM/PM</c:formatCode>
                      <c:ptCount val="84"/>
                      <c:pt idx="0">
                        <c:v>45246.480185185188</c:v>
                      </c:pt>
                      <c:pt idx="1">
                        <c:v>45246.48133101852</c:v>
                      </c:pt>
                      <c:pt idx="2">
                        <c:v>45246.482511574075</c:v>
                      </c:pt>
                      <c:pt idx="3">
                        <c:v>45246.483634259261</c:v>
                      </c:pt>
                      <c:pt idx="4">
                        <c:v>45246.484803240739</c:v>
                      </c:pt>
                      <c:pt idx="5">
                        <c:v>45246.485972222225</c:v>
                      </c:pt>
                      <c:pt idx="6">
                        <c:v>45246.487187500003</c:v>
                      </c:pt>
                      <c:pt idx="7">
                        <c:v>45246.488368055558</c:v>
                      </c:pt>
                      <c:pt idx="8">
                        <c:v>45246.48951388889</c:v>
                      </c:pt>
                      <c:pt idx="9">
                        <c:v>45246.490717592591</c:v>
                      </c:pt>
                      <c:pt idx="10">
                        <c:v>45246.491875</c:v>
                      </c:pt>
                      <c:pt idx="11">
                        <c:v>45246.493032407408</c:v>
                      </c:pt>
                      <c:pt idx="12">
                        <c:v>45246.494143518517</c:v>
                      </c:pt>
                      <c:pt idx="13">
                        <c:v>45246.495312500003</c:v>
                      </c:pt>
                      <c:pt idx="14">
                        <c:v>45246.508993055555</c:v>
                      </c:pt>
                      <c:pt idx="15">
                        <c:v>45246.510115740741</c:v>
                      </c:pt>
                      <c:pt idx="16">
                        <c:v>45246.511261574073</c:v>
                      </c:pt>
                      <c:pt idx="17">
                        <c:v>45246.512361111112</c:v>
                      </c:pt>
                      <c:pt idx="18">
                        <c:v>45246.513541666667</c:v>
                      </c:pt>
                      <c:pt idx="19">
                        <c:v>45246.514664351853</c:v>
                      </c:pt>
                      <c:pt idx="20">
                        <c:v>45246.515787037039</c:v>
                      </c:pt>
                      <c:pt idx="21">
                        <c:v>45246.516909722224</c:v>
                      </c:pt>
                      <c:pt idx="22">
                        <c:v>45246.518078703702</c:v>
                      </c:pt>
                      <c:pt idx="23">
                        <c:v>45246.519201388888</c:v>
                      </c:pt>
                      <c:pt idx="24">
                        <c:v>45246.520312499997</c:v>
                      </c:pt>
                      <c:pt idx="25">
                        <c:v>45246.521423611113</c:v>
                      </c:pt>
                      <c:pt idx="26">
                        <c:v>45246.522592592592</c:v>
                      </c:pt>
                      <c:pt idx="27">
                        <c:v>45246.5237037037</c:v>
                      </c:pt>
                      <c:pt idx="28">
                        <c:v>45246.524826388886</c:v>
                      </c:pt>
                      <c:pt idx="29">
                        <c:v>45246.525949074072</c:v>
                      </c:pt>
                      <c:pt idx="30">
                        <c:v>45246.527129629627</c:v>
                      </c:pt>
                      <c:pt idx="31">
                        <c:v>45246.528263888889</c:v>
                      </c:pt>
                      <c:pt idx="32">
                        <c:v>45246.529386574075</c:v>
                      </c:pt>
                      <c:pt idx="33">
                        <c:v>45246.530509259261</c:v>
                      </c:pt>
                      <c:pt idx="34">
                        <c:v>45246.531678240739</c:v>
                      </c:pt>
                      <c:pt idx="35">
                        <c:v>45246.532812500001</c:v>
                      </c:pt>
                      <c:pt idx="36">
                        <c:v>45246.542581018519</c:v>
                      </c:pt>
                      <c:pt idx="37">
                        <c:v>45246.543715277781</c:v>
                      </c:pt>
                      <c:pt idx="38">
                        <c:v>45246.544849537036</c:v>
                      </c:pt>
                      <c:pt idx="39">
                        <c:v>45246.545972222222</c:v>
                      </c:pt>
                      <c:pt idx="40">
                        <c:v>45246.547164351854</c:v>
                      </c:pt>
                      <c:pt idx="41">
                        <c:v>45246.548414351855</c:v>
                      </c:pt>
                      <c:pt idx="42">
                        <c:v>45246.54954861111</c:v>
                      </c:pt>
                      <c:pt idx="43">
                        <c:v>45246.550740740742</c:v>
                      </c:pt>
                      <c:pt idx="44">
                        <c:v>45246.551874999997</c:v>
                      </c:pt>
                      <c:pt idx="45">
                        <c:v>45246.552974537037</c:v>
                      </c:pt>
                      <c:pt idx="46">
                        <c:v>45246.554108796299</c:v>
                      </c:pt>
                      <c:pt idx="47">
                        <c:v>45246.555289351854</c:v>
                      </c:pt>
                      <c:pt idx="48">
                        <c:v>45246.556423611109</c:v>
                      </c:pt>
                      <c:pt idx="49">
                        <c:v>45246.561041666668</c:v>
                      </c:pt>
                      <c:pt idx="50">
                        <c:v>45246.5621875</c:v>
                      </c:pt>
                      <c:pt idx="51">
                        <c:v>45246.563321759262</c:v>
                      </c:pt>
                      <c:pt idx="52">
                        <c:v>45246.564456018517</c:v>
                      </c:pt>
                      <c:pt idx="53">
                        <c:v>45246.565636574072</c:v>
                      </c:pt>
                      <c:pt idx="54">
                        <c:v>45246.566770833335</c:v>
                      </c:pt>
                      <c:pt idx="55">
                        <c:v>45246.56790509259</c:v>
                      </c:pt>
                      <c:pt idx="56">
                        <c:v>45246.569039351853</c:v>
                      </c:pt>
                      <c:pt idx="57">
                        <c:v>45246.570231481484</c:v>
                      </c:pt>
                      <c:pt idx="58">
                        <c:v>45246.57136574074</c:v>
                      </c:pt>
                      <c:pt idx="59">
                        <c:v>45246.572488425925</c:v>
                      </c:pt>
                      <c:pt idx="60">
                        <c:v>45246.573611111111</c:v>
                      </c:pt>
                      <c:pt idx="61">
                        <c:v>45246.574791666666</c:v>
                      </c:pt>
                      <c:pt idx="62">
                        <c:v>45246.575925925928</c:v>
                      </c:pt>
                      <c:pt idx="63">
                        <c:v>45246.577060185184</c:v>
                      </c:pt>
                      <c:pt idx="64">
                        <c:v>45246.578182870369</c:v>
                      </c:pt>
                      <c:pt idx="65">
                        <c:v>45246.579363425924</c:v>
                      </c:pt>
                      <c:pt idx="66">
                        <c:v>45246.58048611111</c:v>
                      </c:pt>
                      <c:pt idx="67">
                        <c:v>45246.581631944442</c:v>
                      </c:pt>
                      <c:pt idx="68">
                        <c:v>45246.582743055558</c:v>
                      </c:pt>
                      <c:pt idx="69">
                        <c:v>45246.583923611113</c:v>
                      </c:pt>
                      <c:pt idx="70">
                        <c:v>45246.585069444445</c:v>
                      </c:pt>
                      <c:pt idx="71">
                        <c:v>45246.5862037037</c:v>
                      </c:pt>
                      <c:pt idx="72">
                        <c:v>45246.587337962963</c:v>
                      </c:pt>
                      <c:pt idx="73">
                        <c:v>45246.588530092595</c:v>
                      </c:pt>
                      <c:pt idx="74">
                        <c:v>45246.58966435185</c:v>
                      </c:pt>
                      <c:pt idx="75">
                        <c:v>45246.590798611112</c:v>
                      </c:pt>
                      <c:pt idx="76">
                        <c:v>45246.591932870368</c:v>
                      </c:pt>
                      <c:pt idx="77">
                        <c:v>45246.593124999999</c:v>
                      </c:pt>
                      <c:pt idx="78">
                        <c:v>45246.594259259262</c:v>
                      </c:pt>
                      <c:pt idx="79">
                        <c:v>45246.595393518517</c:v>
                      </c:pt>
                      <c:pt idx="80">
                        <c:v>45246.596516203703</c:v>
                      </c:pt>
                      <c:pt idx="81">
                        <c:v>45246.597719907404</c:v>
                      </c:pt>
                      <c:pt idx="82">
                        <c:v>45246.598865740743</c:v>
                      </c:pt>
                      <c:pt idx="83">
                        <c:v>45246.599988425929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ICP_Internal_Drift!$N$3:$N$86</c15:sqref>
                        </c15:formulaRef>
                      </c:ext>
                    </c:extLst>
                    <c:numCache>
                      <c:formatCode>0.00</c:formatCode>
                      <c:ptCount val="84"/>
                      <c:pt idx="0">
                        <c:v>110.01</c:v>
                      </c:pt>
                      <c:pt idx="1">
                        <c:v>140</c:v>
                      </c:pt>
                      <c:pt idx="2">
                        <c:v>54600.29</c:v>
                      </c:pt>
                      <c:pt idx="3">
                        <c:v>22608.86</c:v>
                      </c:pt>
                      <c:pt idx="4">
                        <c:v>26562.51</c:v>
                      </c:pt>
                      <c:pt idx="5">
                        <c:v>30998.35</c:v>
                      </c:pt>
                      <c:pt idx="6">
                        <c:v>37624.870000000003</c:v>
                      </c:pt>
                      <c:pt idx="7">
                        <c:v>45672.01</c:v>
                      </c:pt>
                      <c:pt idx="8">
                        <c:v>55741.53</c:v>
                      </c:pt>
                      <c:pt idx="9">
                        <c:v>69284.83</c:v>
                      </c:pt>
                      <c:pt idx="10">
                        <c:v>91541.18</c:v>
                      </c:pt>
                      <c:pt idx="11">
                        <c:v>114602.58</c:v>
                      </c:pt>
                      <c:pt idx="12">
                        <c:v>132257.44</c:v>
                      </c:pt>
                      <c:pt idx="13">
                        <c:v>151788.79999999999</c:v>
                      </c:pt>
                      <c:pt idx="14">
                        <c:v>386224.16</c:v>
                      </c:pt>
                      <c:pt idx="15">
                        <c:v>426554.58</c:v>
                      </c:pt>
                      <c:pt idx="16">
                        <c:v>450635.99</c:v>
                      </c:pt>
                      <c:pt idx="17">
                        <c:v>472463.03</c:v>
                      </c:pt>
                      <c:pt idx="18">
                        <c:v>485245.67</c:v>
                      </c:pt>
                      <c:pt idx="19">
                        <c:v>522091.83</c:v>
                      </c:pt>
                      <c:pt idx="20">
                        <c:v>544848.32999999996</c:v>
                      </c:pt>
                      <c:pt idx="21">
                        <c:v>568173.23</c:v>
                      </c:pt>
                      <c:pt idx="22">
                        <c:v>599584.25</c:v>
                      </c:pt>
                      <c:pt idx="23">
                        <c:v>630367.96</c:v>
                      </c:pt>
                      <c:pt idx="24">
                        <c:v>664066.34</c:v>
                      </c:pt>
                      <c:pt idx="25">
                        <c:v>671680.2</c:v>
                      </c:pt>
                      <c:pt idx="26">
                        <c:v>703381.97</c:v>
                      </c:pt>
                      <c:pt idx="27">
                        <c:v>741157.72</c:v>
                      </c:pt>
                      <c:pt idx="28">
                        <c:v>768011.5</c:v>
                      </c:pt>
                      <c:pt idx="29">
                        <c:v>809082.57</c:v>
                      </c:pt>
                      <c:pt idx="30">
                        <c:v>822596.97</c:v>
                      </c:pt>
                      <c:pt idx="31">
                        <c:v>859080.14</c:v>
                      </c:pt>
                      <c:pt idx="32">
                        <c:v>895850.9</c:v>
                      </c:pt>
                      <c:pt idx="33">
                        <c:v>940440.27</c:v>
                      </c:pt>
                      <c:pt idx="34">
                        <c:v>967091.39</c:v>
                      </c:pt>
                      <c:pt idx="35">
                        <c:v>970176.49</c:v>
                      </c:pt>
                      <c:pt idx="36">
                        <c:v>1152294.72</c:v>
                      </c:pt>
                      <c:pt idx="37">
                        <c:v>1158292.53</c:v>
                      </c:pt>
                      <c:pt idx="38">
                        <c:v>1184898.99</c:v>
                      </c:pt>
                      <c:pt idx="39">
                        <c:v>1228359.3600000001</c:v>
                      </c:pt>
                      <c:pt idx="40">
                        <c:v>1242497.5900000001</c:v>
                      </c:pt>
                      <c:pt idx="41">
                        <c:v>1254960.92</c:v>
                      </c:pt>
                      <c:pt idx="42">
                        <c:v>1389508.76</c:v>
                      </c:pt>
                      <c:pt idx="43">
                        <c:v>1058476.3600000001</c:v>
                      </c:pt>
                      <c:pt idx="44">
                        <c:v>1311511.23</c:v>
                      </c:pt>
                      <c:pt idx="45">
                        <c:v>1339476.1299999999</c:v>
                      </c:pt>
                      <c:pt idx="46">
                        <c:v>1257332.06</c:v>
                      </c:pt>
                      <c:pt idx="47">
                        <c:v>1362452.43</c:v>
                      </c:pt>
                      <c:pt idx="48">
                        <c:v>1374854.82</c:v>
                      </c:pt>
                      <c:pt idx="49">
                        <c:v>1370174.62</c:v>
                      </c:pt>
                      <c:pt idx="50">
                        <c:v>1387237.32</c:v>
                      </c:pt>
                      <c:pt idx="51">
                        <c:v>1458086.75</c:v>
                      </c:pt>
                      <c:pt idx="52">
                        <c:v>1555817.11</c:v>
                      </c:pt>
                      <c:pt idx="53">
                        <c:v>1491518.67</c:v>
                      </c:pt>
                      <c:pt idx="54">
                        <c:v>1508387.89</c:v>
                      </c:pt>
                      <c:pt idx="55">
                        <c:v>1584405.6</c:v>
                      </c:pt>
                      <c:pt idx="56">
                        <c:v>1548428.73</c:v>
                      </c:pt>
                      <c:pt idx="57">
                        <c:v>1647582.68</c:v>
                      </c:pt>
                      <c:pt idx="58">
                        <c:v>1670914.14</c:v>
                      </c:pt>
                      <c:pt idx="59">
                        <c:v>1658047.94</c:v>
                      </c:pt>
                      <c:pt idx="60">
                        <c:v>1691485.24</c:v>
                      </c:pt>
                      <c:pt idx="61">
                        <c:v>1646761.64</c:v>
                      </c:pt>
                      <c:pt idx="62">
                        <c:v>1642997.11</c:v>
                      </c:pt>
                      <c:pt idx="63">
                        <c:v>1711979.04</c:v>
                      </c:pt>
                      <c:pt idx="64">
                        <c:v>1703670.96</c:v>
                      </c:pt>
                      <c:pt idx="65">
                        <c:v>1733122.58</c:v>
                      </c:pt>
                      <c:pt idx="66">
                        <c:v>1742151.74</c:v>
                      </c:pt>
                      <c:pt idx="67">
                        <c:v>1746084.45</c:v>
                      </c:pt>
                      <c:pt idx="68">
                        <c:v>1754612.01</c:v>
                      </c:pt>
                      <c:pt idx="69">
                        <c:v>1741981.95</c:v>
                      </c:pt>
                      <c:pt idx="70">
                        <c:v>1766525.81</c:v>
                      </c:pt>
                      <c:pt idx="71">
                        <c:v>1763836.85</c:v>
                      </c:pt>
                      <c:pt idx="72">
                        <c:v>1724379.35</c:v>
                      </c:pt>
                      <c:pt idx="73">
                        <c:v>1745395.86</c:v>
                      </c:pt>
                      <c:pt idx="74">
                        <c:v>1750624.72</c:v>
                      </c:pt>
                      <c:pt idx="75">
                        <c:v>1743629.45</c:v>
                      </c:pt>
                      <c:pt idx="76">
                        <c:v>1779022.84</c:v>
                      </c:pt>
                      <c:pt idx="77">
                        <c:v>1754948.15</c:v>
                      </c:pt>
                      <c:pt idx="78">
                        <c:v>1744522.37</c:v>
                      </c:pt>
                      <c:pt idx="79">
                        <c:v>1697271.9</c:v>
                      </c:pt>
                      <c:pt idx="80">
                        <c:v>1348858.31</c:v>
                      </c:pt>
                      <c:pt idx="81">
                        <c:v>1831976.22</c:v>
                      </c:pt>
                      <c:pt idx="82">
                        <c:v>1855948.25</c:v>
                      </c:pt>
                      <c:pt idx="83">
                        <c:v>1821425.03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C64-42BD-B9C5-CF3B2227AC2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Ir</c:v>
                </c:tx>
                <c:marker>
                  <c:symbol val="circle"/>
                  <c:size val="5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ICP_Internal_Drift!$E$3:$E$86</c15:sqref>
                        </c15:formulaRef>
                      </c:ext>
                    </c:extLst>
                    <c:numCache>
                      <c:formatCode>[$-F400]h:mm:ss\ AM/PM</c:formatCode>
                      <c:ptCount val="84"/>
                      <c:pt idx="0">
                        <c:v>45246.480185185188</c:v>
                      </c:pt>
                      <c:pt idx="1">
                        <c:v>45246.48133101852</c:v>
                      </c:pt>
                      <c:pt idx="2">
                        <c:v>45246.482511574075</c:v>
                      </c:pt>
                      <c:pt idx="3">
                        <c:v>45246.483634259261</c:v>
                      </c:pt>
                      <c:pt idx="4">
                        <c:v>45246.484803240739</c:v>
                      </c:pt>
                      <c:pt idx="5">
                        <c:v>45246.485972222225</c:v>
                      </c:pt>
                      <c:pt idx="6">
                        <c:v>45246.487187500003</c:v>
                      </c:pt>
                      <c:pt idx="7">
                        <c:v>45246.488368055558</c:v>
                      </c:pt>
                      <c:pt idx="8">
                        <c:v>45246.48951388889</c:v>
                      </c:pt>
                      <c:pt idx="9">
                        <c:v>45246.490717592591</c:v>
                      </c:pt>
                      <c:pt idx="10">
                        <c:v>45246.491875</c:v>
                      </c:pt>
                      <c:pt idx="11">
                        <c:v>45246.493032407408</c:v>
                      </c:pt>
                      <c:pt idx="12">
                        <c:v>45246.494143518517</c:v>
                      </c:pt>
                      <c:pt idx="13">
                        <c:v>45246.495312500003</c:v>
                      </c:pt>
                      <c:pt idx="14">
                        <c:v>45246.508993055555</c:v>
                      </c:pt>
                      <c:pt idx="15">
                        <c:v>45246.510115740741</c:v>
                      </c:pt>
                      <c:pt idx="16">
                        <c:v>45246.511261574073</c:v>
                      </c:pt>
                      <c:pt idx="17">
                        <c:v>45246.512361111112</c:v>
                      </c:pt>
                      <c:pt idx="18">
                        <c:v>45246.513541666667</c:v>
                      </c:pt>
                      <c:pt idx="19">
                        <c:v>45246.514664351853</c:v>
                      </c:pt>
                      <c:pt idx="20">
                        <c:v>45246.515787037039</c:v>
                      </c:pt>
                      <c:pt idx="21">
                        <c:v>45246.516909722224</c:v>
                      </c:pt>
                      <c:pt idx="22">
                        <c:v>45246.518078703702</c:v>
                      </c:pt>
                      <c:pt idx="23">
                        <c:v>45246.519201388888</c:v>
                      </c:pt>
                      <c:pt idx="24">
                        <c:v>45246.520312499997</c:v>
                      </c:pt>
                      <c:pt idx="25">
                        <c:v>45246.521423611113</c:v>
                      </c:pt>
                      <c:pt idx="26">
                        <c:v>45246.522592592592</c:v>
                      </c:pt>
                      <c:pt idx="27">
                        <c:v>45246.5237037037</c:v>
                      </c:pt>
                      <c:pt idx="28">
                        <c:v>45246.524826388886</c:v>
                      </c:pt>
                      <c:pt idx="29">
                        <c:v>45246.525949074072</c:v>
                      </c:pt>
                      <c:pt idx="30">
                        <c:v>45246.527129629627</c:v>
                      </c:pt>
                      <c:pt idx="31">
                        <c:v>45246.528263888889</c:v>
                      </c:pt>
                      <c:pt idx="32">
                        <c:v>45246.529386574075</c:v>
                      </c:pt>
                      <c:pt idx="33">
                        <c:v>45246.530509259261</c:v>
                      </c:pt>
                      <c:pt idx="34">
                        <c:v>45246.531678240739</c:v>
                      </c:pt>
                      <c:pt idx="35">
                        <c:v>45246.532812500001</c:v>
                      </c:pt>
                      <c:pt idx="36">
                        <c:v>45246.542581018519</c:v>
                      </c:pt>
                      <c:pt idx="37">
                        <c:v>45246.543715277781</c:v>
                      </c:pt>
                      <c:pt idx="38">
                        <c:v>45246.544849537036</c:v>
                      </c:pt>
                      <c:pt idx="39">
                        <c:v>45246.545972222222</c:v>
                      </c:pt>
                      <c:pt idx="40">
                        <c:v>45246.547164351854</c:v>
                      </c:pt>
                      <c:pt idx="41">
                        <c:v>45246.548414351855</c:v>
                      </c:pt>
                      <c:pt idx="42">
                        <c:v>45246.54954861111</c:v>
                      </c:pt>
                      <c:pt idx="43">
                        <c:v>45246.550740740742</c:v>
                      </c:pt>
                      <c:pt idx="44">
                        <c:v>45246.551874999997</c:v>
                      </c:pt>
                      <c:pt idx="45">
                        <c:v>45246.552974537037</c:v>
                      </c:pt>
                      <c:pt idx="46">
                        <c:v>45246.554108796299</c:v>
                      </c:pt>
                      <c:pt idx="47">
                        <c:v>45246.555289351854</c:v>
                      </c:pt>
                      <c:pt idx="48">
                        <c:v>45246.556423611109</c:v>
                      </c:pt>
                      <c:pt idx="49">
                        <c:v>45246.561041666668</c:v>
                      </c:pt>
                      <c:pt idx="50">
                        <c:v>45246.5621875</c:v>
                      </c:pt>
                      <c:pt idx="51">
                        <c:v>45246.563321759262</c:v>
                      </c:pt>
                      <c:pt idx="52">
                        <c:v>45246.564456018517</c:v>
                      </c:pt>
                      <c:pt idx="53">
                        <c:v>45246.565636574072</c:v>
                      </c:pt>
                      <c:pt idx="54">
                        <c:v>45246.566770833335</c:v>
                      </c:pt>
                      <c:pt idx="55">
                        <c:v>45246.56790509259</c:v>
                      </c:pt>
                      <c:pt idx="56">
                        <c:v>45246.569039351853</c:v>
                      </c:pt>
                      <c:pt idx="57">
                        <c:v>45246.570231481484</c:v>
                      </c:pt>
                      <c:pt idx="58">
                        <c:v>45246.57136574074</c:v>
                      </c:pt>
                      <c:pt idx="59">
                        <c:v>45246.572488425925</c:v>
                      </c:pt>
                      <c:pt idx="60">
                        <c:v>45246.573611111111</c:v>
                      </c:pt>
                      <c:pt idx="61">
                        <c:v>45246.574791666666</c:v>
                      </c:pt>
                      <c:pt idx="62">
                        <c:v>45246.575925925928</c:v>
                      </c:pt>
                      <c:pt idx="63">
                        <c:v>45246.577060185184</c:v>
                      </c:pt>
                      <c:pt idx="64">
                        <c:v>45246.578182870369</c:v>
                      </c:pt>
                      <c:pt idx="65">
                        <c:v>45246.579363425924</c:v>
                      </c:pt>
                      <c:pt idx="66">
                        <c:v>45246.58048611111</c:v>
                      </c:pt>
                      <c:pt idx="67">
                        <c:v>45246.581631944442</c:v>
                      </c:pt>
                      <c:pt idx="68">
                        <c:v>45246.582743055558</c:v>
                      </c:pt>
                      <c:pt idx="69">
                        <c:v>45246.583923611113</c:v>
                      </c:pt>
                      <c:pt idx="70">
                        <c:v>45246.585069444445</c:v>
                      </c:pt>
                      <c:pt idx="71">
                        <c:v>45246.5862037037</c:v>
                      </c:pt>
                      <c:pt idx="72">
                        <c:v>45246.587337962963</c:v>
                      </c:pt>
                      <c:pt idx="73">
                        <c:v>45246.588530092595</c:v>
                      </c:pt>
                      <c:pt idx="74">
                        <c:v>45246.58966435185</c:v>
                      </c:pt>
                      <c:pt idx="75">
                        <c:v>45246.590798611112</c:v>
                      </c:pt>
                      <c:pt idx="76">
                        <c:v>45246.591932870368</c:v>
                      </c:pt>
                      <c:pt idx="77">
                        <c:v>45246.593124999999</c:v>
                      </c:pt>
                      <c:pt idx="78">
                        <c:v>45246.594259259262</c:v>
                      </c:pt>
                      <c:pt idx="79">
                        <c:v>45246.595393518517</c:v>
                      </c:pt>
                      <c:pt idx="80">
                        <c:v>45246.596516203703</c:v>
                      </c:pt>
                      <c:pt idx="81">
                        <c:v>45246.597719907404</c:v>
                      </c:pt>
                      <c:pt idx="82">
                        <c:v>45246.598865740743</c:v>
                      </c:pt>
                      <c:pt idx="83">
                        <c:v>45246.599988425929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ICP_Internal_Drift!$S$3:$S$86</c15:sqref>
                        </c15:formulaRef>
                      </c:ext>
                    </c:extLst>
                    <c:numCache>
                      <c:formatCode>0.00</c:formatCode>
                      <c:ptCount val="84"/>
                      <c:pt idx="0">
                        <c:v>590.03</c:v>
                      </c:pt>
                      <c:pt idx="1">
                        <c:v>600.04</c:v>
                      </c:pt>
                      <c:pt idx="2">
                        <c:v>1123.42</c:v>
                      </c:pt>
                      <c:pt idx="3">
                        <c:v>763.38</c:v>
                      </c:pt>
                      <c:pt idx="4">
                        <c:v>773.39</c:v>
                      </c:pt>
                      <c:pt idx="5">
                        <c:v>760.05</c:v>
                      </c:pt>
                      <c:pt idx="6">
                        <c:v>796.73</c:v>
                      </c:pt>
                      <c:pt idx="7">
                        <c:v>800.06</c:v>
                      </c:pt>
                      <c:pt idx="8">
                        <c:v>750.05</c:v>
                      </c:pt>
                      <c:pt idx="9">
                        <c:v>886.73</c:v>
                      </c:pt>
                      <c:pt idx="10">
                        <c:v>1060.08</c:v>
                      </c:pt>
                      <c:pt idx="11">
                        <c:v>1190.0999999999999</c:v>
                      </c:pt>
                      <c:pt idx="12">
                        <c:v>1216.77</c:v>
                      </c:pt>
                      <c:pt idx="13">
                        <c:v>1343.46</c:v>
                      </c:pt>
                      <c:pt idx="14">
                        <c:v>2543.67</c:v>
                      </c:pt>
                      <c:pt idx="15">
                        <c:v>3533.95</c:v>
                      </c:pt>
                      <c:pt idx="16">
                        <c:v>3774.06</c:v>
                      </c:pt>
                      <c:pt idx="17">
                        <c:v>3693.99</c:v>
                      </c:pt>
                      <c:pt idx="18">
                        <c:v>3844.04</c:v>
                      </c:pt>
                      <c:pt idx="19">
                        <c:v>4367.57</c:v>
                      </c:pt>
                      <c:pt idx="20">
                        <c:v>4310.87</c:v>
                      </c:pt>
                      <c:pt idx="21">
                        <c:v>4367.54</c:v>
                      </c:pt>
                      <c:pt idx="22">
                        <c:v>4874.45</c:v>
                      </c:pt>
                      <c:pt idx="23">
                        <c:v>4757.67</c:v>
                      </c:pt>
                      <c:pt idx="24">
                        <c:v>4941.3</c:v>
                      </c:pt>
                      <c:pt idx="25">
                        <c:v>4561.59</c:v>
                      </c:pt>
                      <c:pt idx="26">
                        <c:v>4517.6099999999997</c:v>
                      </c:pt>
                      <c:pt idx="27">
                        <c:v>6147.5</c:v>
                      </c:pt>
                      <c:pt idx="28">
                        <c:v>5354.66</c:v>
                      </c:pt>
                      <c:pt idx="29">
                        <c:v>5744.76</c:v>
                      </c:pt>
                      <c:pt idx="30">
                        <c:v>5508.05</c:v>
                      </c:pt>
                      <c:pt idx="31">
                        <c:v>5974.95</c:v>
                      </c:pt>
                      <c:pt idx="32">
                        <c:v>6645.27</c:v>
                      </c:pt>
                      <c:pt idx="33">
                        <c:v>6935.45</c:v>
                      </c:pt>
                      <c:pt idx="34">
                        <c:v>6695.25</c:v>
                      </c:pt>
                      <c:pt idx="35">
                        <c:v>6558.62</c:v>
                      </c:pt>
                      <c:pt idx="36">
                        <c:v>8070.27</c:v>
                      </c:pt>
                      <c:pt idx="37">
                        <c:v>9804.85</c:v>
                      </c:pt>
                      <c:pt idx="38">
                        <c:v>7755.96</c:v>
                      </c:pt>
                      <c:pt idx="39">
                        <c:v>8466.39</c:v>
                      </c:pt>
                      <c:pt idx="40">
                        <c:v>8666.91</c:v>
                      </c:pt>
                      <c:pt idx="41">
                        <c:v>8796.77</c:v>
                      </c:pt>
                      <c:pt idx="42">
                        <c:v>10121.76</c:v>
                      </c:pt>
                      <c:pt idx="43">
                        <c:v>6695.35</c:v>
                      </c:pt>
                      <c:pt idx="44">
                        <c:v>8853.4699999999993</c:v>
                      </c:pt>
                      <c:pt idx="45">
                        <c:v>8516.5300000000007</c:v>
                      </c:pt>
                      <c:pt idx="46">
                        <c:v>14980.13</c:v>
                      </c:pt>
                      <c:pt idx="47">
                        <c:v>8930.02</c:v>
                      </c:pt>
                      <c:pt idx="48">
                        <c:v>8756.6</c:v>
                      </c:pt>
                      <c:pt idx="49">
                        <c:v>8429.8700000000008</c:v>
                      </c:pt>
                      <c:pt idx="50">
                        <c:v>8437.18</c:v>
                      </c:pt>
                      <c:pt idx="51">
                        <c:v>9497.34</c:v>
                      </c:pt>
                      <c:pt idx="52">
                        <c:v>9253.69</c:v>
                      </c:pt>
                      <c:pt idx="53">
                        <c:v>9677.5499999999993</c:v>
                      </c:pt>
                      <c:pt idx="54">
                        <c:v>9814.06</c:v>
                      </c:pt>
                      <c:pt idx="55">
                        <c:v>9413.7199999999993</c:v>
                      </c:pt>
                      <c:pt idx="56">
                        <c:v>8349.65</c:v>
                      </c:pt>
                      <c:pt idx="57">
                        <c:v>9773.94</c:v>
                      </c:pt>
                      <c:pt idx="58">
                        <c:v>9827.4500000000007</c:v>
                      </c:pt>
                      <c:pt idx="59">
                        <c:v>10411.76</c:v>
                      </c:pt>
                      <c:pt idx="60">
                        <c:v>10301.36</c:v>
                      </c:pt>
                      <c:pt idx="61">
                        <c:v>9607.42</c:v>
                      </c:pt>
                      <c:pt idx="62">
                        <c:v>9347.14</c:v>
                      </c:pt>
                      <c:pt idx="63">
                        <c:v>10494.6</c:v>
                      </c:pt>
                      <c:pt idx="64">
                        <c:v>9590.4699999999993</c:v>
                      </c:pt>
                      <c:pt idx="65">
                        <c:v>10461.31</c:v>
                      </c:pt>
                      <c:pt idx="66">
                        <c:v>10401.209999999999</c:v>
                      </c:pt>
                      <c:pt idx="67">
                        <c:v>10454.51</c:v>
                      </c:pt>
                      <c:pt idx="68">
                        <c:v>10594.9</c:v>
                      </c:pt>
                      <c:pt idx="69">
                        <c:v>10160.94</c:v>
                      </c:pt>
                      <c:pt idx="70">
                        <c:v>10247.67</c:v>
                      </c:pt>
                      <c:pt idx="71">
                        <c:v>10214.36</c:v>
                      </c:pt>
                      <c:pt idx="72">
                        <c:v>10528.22</c:v>
                      </c:pt>
                      <c:pt idx="73">
                        <c:v>9507.1299999999992</c:v>
                      </c:pt>
                      <c:pt idx="74">
                        <c:v>9870.9599999999991</c:v>
                      </c:pt>
                      <c:pt idx="75">
                        <c:v>10114.370000000001</c:v>
                      </c:pt>
                      <c:pt idx="76">
                        <c:v>9787.0300000000007</c:v>
                      </c:pt>
                      <c:pt idx="77">
                        <c:v>10696.92</c:v>
                      </c:pt>
                      <c:pt idx="78">
                        <c:v>9403.7099999999991</c:v>
                      </c:pt>
                      <c:pt idx="79">
                        <c:v>9387.18</c:v>
                      </c:pt>
                      <c:pt idx="80">
                        <c:v>8643.16</c:v>
                      </c:pt>
                      <c:pt idx="81">
                        <c:v>10484.790000000001</c:v>
                      </c:pt>
                      <c:pt idx="82">
                        <c:v>9874.17</c:v>
                      </c:pt>
                      <c:pt idx="83">
                        <c:v>9477.1200000000008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C64-42BD-B9C5-CF3B2227AC28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3"/>
          <c:order val="3"/>
          <c:tx>
            <c:strRef>
              <c:f>ICP_Internal_Drift!$J$2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ICP_Internal_Drift!$J$3:$J$86</c:f>
              <c:numCache>
                <c:formatCode>0.00</c:formatCode>
                <c:ptCount val="84"/>
                <c:pt idx="0">
                  <c:v>125782.00142857141</c:v>
                </c:pt>
                <c:pt idx="1">
                  <c:v>125782.00142857141</c:v>
                </c:pt>
                <c:pt idx="2">
                  <c:v>125782.00142857141</c:v>
                </c:pt>
                <c:pt idx="3">
                  <c:v>125782.00142857141</c:v>
                </c:pt>
                <c:pt idx="4">
                  <c:v>125782.00142857141</c:v>
                </c:pt>
                <c:pt idx="5">
                  <c:v>125782.00142857141</c:v>
                </c:pt>
                <c:pt idx="6">
                  <c:v>125782.00142857141</c:v>
                </c:pt>
                <c:pt idx="7">
                  <c:v>125782.00142857141</c:v>
                </c:pt>
                <c:pt idx="8">
                  <c:v>125782.00142857141</c:v>
                </c:pt>
                <c:pt idx="9">
                  <c:v>125782.00142857141</c:v>
                </c:pt>
                <c:pt idx="10">
                  <c:v>125782.00142857141</c:v>
                </c:pt>
                <c:pt idx="11">
                  <c:v>125782.00142857141</c:v>
                </c:pt>
                <c:pt idx="12">
                  <c:v>125782.00142857141</c:v>
                </c:pt>
                <c:pt idx="13">
                  <c:v>125782.00142857141</c:v>
                </c:pt>
                <c:pt idx="14">
                  <c:v>125782.00142857141</c:v>
                </c:pt>
                <c:pt idx="15">
                  <c:v>125782.00142857141</c:v>
                </c:pt>
                <c:pt idx="16">
                  <c:v>125782.00142857141</c:v>
                </c:pt>
                <c:pt idx="17">
                  <c:v>125782.00142857141</c:v>
                </c:pt>
                <c:pt idx="18">
                  <c:v>125782.00142857141</c:v>
                </c:pt>
                <c:pt idx="19">
                  <c:v>125782.00142857141</c:v>
                </c:pt>
                <c:pt idx="20">
                  <c:v>125782.00142857141</c:v>
                </c:pt>
                <c:pt idx="21">
                  <c:v>125782.00142857141</c:v>
                </c:pt>
                <c:pt idx="22">
                  <c:v>125782.00142857141</c:v>
                </c:pt>
                <c:pt idx="23">
                  <c:v>125782.00142857141</c:v>
                </c:pt>
                <c:pt idx="24">
                  <c:v>125782.00142857141</c:v>
                </c:pt>
                <c:pt idx="25">
                  <c:v>125782.00142857141</c:v>
                </c:pt>
                <c:pt idx="26">
                  <c:v>125782.00142857141</c:v>
                </c:pt>
                <c:pt idx="27">
                  <c:v>125782.00142857141</c:v>
                </c:pt>
                <c:pt idx="28">
                  <c:v>125782.00142857141</c:v>
                </c:pt>
                <c:pt idx="29">
                  <c:v>125782.00142857141</c:v>
                </c:pt>
                <c:pt idx="30">
                  <c:v>125782.00142857141</c:v>
                </c:pt>
                <c:pt idx="31">
                  <c:v>125782.00142857141</c:v>
                </c:pt>
                <c:pt idx="32">
                  <c:v>125782.00142857141</c:v>
                </c:pt>
                <c:pt idx="33">
                  <c:v>125782.00142857141</c:v>
                </c:pt>
                <c:pt idx="34">
                  <c:v>125782.00142857141</c:v>
                </c:pt>
                <c:pt idx="35">
                  <c:v>125782.00142857141</c:v>
                </c:pt>
                <c:pt idx="36">
                  <c:v>125782.00142857141</c:v>
                </c:pt>
                <c:pt idx="37">
                  <c:v>125782.00142857141</c:v>
                </c:pt>
                <c:pt idx="38">
                  <c:v>125782.00142857141</c:v>
                </c:pt>
                <c:pt idx="39">
                  <c:v>125782.00142857141</c:v>
                </c:pt>
                <c:pt idx="40">
                  <c:v>125782.00142857141</c:v>
                </c:pt>
                <c:pt idx="41">
                  <c:v>125782.00142857141</c:v>
                </c:pt>
                <c:pt idx="42">
                  <c:v>125782.00142857141</c:v>
                </c:pt>
                <c:pt idx="43">
                  <c:v>125782.00142857141</c:v>
                </c:pt>
                <c:pt idx="44">
                  <c:v>125782.00142857141</c:v>
                </c:pt>
                <c:pt idx="45">
                  <c:v>125782.00142857141</c:v>
                </c:pt>
                <c:pt idx="46">
                  <c:v>125782.00142857141</c:v>
                </c:pt>
                <c:pt idx="47">
                  <c:v>125782.00142857141</c:v>
                </c:pt>
                <c:pt idx="48">
                  <c:v>125782.00142857141</c:v>
                </c:pt>
                <c:pt idx="49">
                  <c:v>125782.00142857141</c:v>
                </c:pt>
                <c:pt idx="50">
                  <c:v>125782.00142857141</c:v>
                </c:pt>
                <c:pt idx="51">
                  <c:v>125782.00142857141</c:v>
                </c:pt>
                <c:pt idx="52">
                  <c:v>125782.00142857141</c:v>
                </c:pt>
                <c:pt idx="53">
                  <c:v>125782.00142857141</c:v>
                </c:pt>
                <c:pt idx="54">
                  <c:v>125782.00142857141</c:v>
                </c:pt>
                <c:pt idx="55">
                  <c:v>125782.00142857141</c:v>
                </c:pt>
                <c:pt idx="56">
                  <c:v>125782.00142857141</c:v>
                </c:pt>
                <c:pt idx="57">
                  <c:v>125782.00142857141</c:v>
                </c:pt>
                <c:pt idx="58">
                  <c:v>125782.00142857141</c:v>
                </c:pt>
                <c:pt idx="59">
                  <c:v>125782.00142857141</c:v>
                </c:pt>
                <c:pt idx="60">
                  <c:v>125782.00142857141</c:v>
                </c:pt>
                <c:pt idx="61">
                  <c:v>125782.00142857141</c:v>
                </c:pt>
                <c:pt idx="62">
                  <c:v>125782.00142857141</c:v>
                </c:pt>
                <c:pt idx="63">
                  <c:v>125782.00142857141</c:v>
                </c:pt>
                <c:pt idx="64">
                  <c:v>125782.00142857141</c:v>
                </c:pt>
                <c:pt idx="65">
                  <c:v>125782.00142857141</c:v>
                </c:pt>
                <c:pt idx="66">
                  <c:v>125782.00142857141</c:v>
                </c:pt>
                <c:pt idx="67">
                  <c:v>125782.00142857141</c:v>
                </c:pt>
                <c:pt idx="68">
                  <c:v>125782.00142857141</c:v>
                </c:pt>
                <c:pt idx="69">
                  <c:v>125782.00142857141</c:v>
                </c:pt>
                <c:pt idx="70">
                  <c:v>125782.00142857141</c:v>
                </c:pt>
                <c:pt idx="71">
                  <c:v>125782.00142857141</c:v>
                </c:pt>
                <c:pt idx="72">
                  <c:v>125782.00142857141</c:v>
                </c:pt>
                <c:pt idx="73">
                  <c:v>125782.00142857141</c:v>
                </c:pt>
                <c:pt idx="74">
                  <c:v>125782.00142857141</c:v>
                </c:pt>
                <c:pt idx="75">
                  <c:v>125782.00142857141</c:v>
                </c:pt>
                <c:pt idx="76">
                  <c:v>125782.00142857141</c:v>
                </c:pt>
                <c:pt idx="77">
                  <c:v>125782.00142857141</c:v>
                </c:pt>
                <c:pt idx="78">
                  <c:v>125782.00142857141</c:v>
                </c:pt>
                <c:pt idx="79">
                  <c:v>125782.00142857141</c:v>
                </c:pt>
                <c:pt idx="80">
                  <c:v>125782.00142857141</c:v>
                </c:pt>
                <c:pt idx="81">
                  <c:v>125782.00142857141</c:v>
                </c:pt>
                <c:pt idx="82">
                  <c:v>125782.00142857141</c:v>
                </c:pt>
                <c:pt idx="83">
                  <c:v>125782.00142857141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7C64-42BD-B9C5-CF3B2227AC28}"/>
            </c:ext>
          </c:extLst>
        </c:ser>
        <c:ser>
          <c:idx val="4"/>
          <c:order val="4"/>
          <c:tx>
            <c:strRef>
              <c:f>ICP_Internal_Drift!$K$2</c:f>
              <c:strCache>
                <c:ptCount val="1"/>
                <c:pt idx="0">
                  <c:v>120%Mean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ICP_Internal_Drift!$K$3:$K$86</c:f>
              <c:numCache>
                <c:formatCode>0.00</c:formatCode>
                <c:ptCount val="84"/>
                <c:pt idx="0">
                  <c:v>150938.40171428569</c:v>
                </c:pt>
                <c:pt idx="1">
                  <c:v>150938.40171428569</c:v>
                </c:pt>
                <c:pt idx="2">
                  <c:v>150938.40171428569</c:v>
                </c:pt>
                <c:pt idx="3">
                  <c:v>150938.40171428569</c:v>
                </c:pt>
                <c:pt idx="4">
                  <c:v>150938.40171428569</c:v>
                </c:pt>
                <c:pt idx="5">
                  <c:v>150938.40171428569</c:v>
                </c:pt>
                <c:pt idx="6">
                  <c:v>150938.40171428569</c:v>
                </c:pt>
                <c:pt idx="7">
                  <c:v>150938.40171428569</c:v>
                </c:pt>
                <c:pt idx="8">
                  <c:v>150938.40171428569</c:v>
                </c:pt>
                <c:pt idx="9">
                  <c:v>150938.40171428569</c:v>
                </c:pt>
                <c:pt idx="10">
                  <c:v>150938.40171428569</c:v>
                </c:pt>
                <c:pt idx="11">
                  <c:v>150938.40171428569</c:v>
                </c:pt>
                <c:pt idx="12">
                  <c:v>150938.40171428569</c:v>
                </c:pt>
                <c:pt idx="13">
                  <c:v>150938.40171428569</c:v>
                </c:pt>
                <c:pt idx="14">
                  <c:v>150938.40171428569</c:v>
                </c:pt>
                <c:pt idx="15">
                  <c:v>150938.40171428569</c:v>
                </c:pt>
                <c:pt idx="16">
                  <c:v>150938.40171428569</c:v>
                </c:pt>
                <c:pt idx="17">
                  <c:v>150938.40171428569</c:v>
                </c:pt>
                <c:pt idx="18">
                  <c:v>150938.40171428569</c:v>
                </c:pt>
                <c:pt idx="19">
                  <c:v>150938.40171428569</c:v>
                </c:pt>
                <c:pt idx="20">
                  <c:v>150938.40171428569</c:v>
                </c:pt>
                <c:pt idx="21">
                  <c:v>150938.40171428569</c:v>
                </c:pt>
                <c:pt idx="22">
                  <c:v>150938.40171428569</c:v>
                </c:pt>
                <c:pt idx="23">
                  <c:v>150938.40171428569</c:v>
                </c:pt>
                <c:pt idx="24">
                  <c:v>150938.40171428569</c:v>
                </c:pt>
                <c:pt idx="25">
                  <c:v>150938.40171428569</c:v>
                </c:pt>
                <c:pt idx="26">
                  <c:v>150938.40171428569</c:v>
                </c:pt>
                <c:pt idx="27">
                  <c:v>150938.40171428569</c:v>
                </c:pt>
                <c:pt idx="28">
                  <c:v>150938.40171428569</c:v>
                </c:pt>
                <c:pt idx="29">
                  <c:v>150938.40171428569</c:v>
                </c:pt>
                <c:pt idx="30">
                  <c:v>150938.40171428569</c:v>
                </c:pt>
                <c:pt idx="31">
                  <c:v>150938.40171428569</c:v>
                </c:pt>
                <c:pt idx="32">
                  <c:v>150938.40171428569</c:v>
                </c:pt>
                <c:pt idx="33">
                  <c:v>150938.40171428569</c:v>
                </c:pt>
                <c:pt idx="34">
                  <c:v>150938.40171428569</c:v>
                </c:pt>
                <c:pt idx="35">
                  <c:v>150938.40171428569</c:v>
                </c:pt>
                <c:pt idx="36">
                  <c:v>150938.40171428569</c:v>
                </c:pt>
                <c:pt idx="37">
                  <c:v>150938.40171428569</c:v>
                </c:pt>
                <c:pt idx="38">
                  <c:v>150938.40171428569</c:v>
                </c:pt>
                <c:pt idx="39">
                  <c:v>150938.40171428569</c:v>
                </c:pt>
                <c:pt idx="40">
                  <c:v>150938.40171428569</c:v>
                </c:pt>
                <c:pt idx="41">
                  <c:v>150938.40171428569</c:v>
                </c:pt>
                <c:pt idx="42">
                  <c:v>150938.40171428569</c:v>
                </c:pt>
                <c:pt idx="43">
                  <c:v>150938.40171428569</c:v>
                </c:pt>
                <c:pt idx="44">
                  <c:v>150938.40171428569</c:v>
                </c:pt>
                <c:pt idx="45">
                  <c:v>150938.40171428569</c:v>
                </c:pt>
                <c:pt idx="46">
                  <c:v>150938.40171428569</c:v>
                </c:pt>
                <c:pt idx="47">
                  <c:v>150938.40171428569</c:v>
                </c:pt>
                <c:pt idx="48">
                  <c:v>150938.40171428569</c:v>
                </c:pt>
                <c:pt idx="49">
                  <c:v>150938.40171428569</c:v>
                </c:pt>
                <c:pt idx="50">
                  <c:v>150938.40171428569</c:v>
                </c:pt>
                <c:pt idx="51">
                  <c:v>150938.40171428569</c:v>
                </c:pt>
                <c:pt idx="52">
                  <c:v>150938.40171428569</c:v>
                </c:pt>
                <c:pt idx="53">
                  <c:v>150938.40171428569</c:v>
                </c:pt>
                <c:pt idx="54">
                  <c:v>150938.40171428569</c:v>
                </c:pt>
                <c:pt idx="55">
                  <c:v>150938.40171428569</c:v>
                </c:pt>
                <c:pt idx="56">
                  <c:v>150938.40171428569</c:v>
                </c:pt>
                <c:pt idx="57">
                  <c:v>150938.40171428569</c:v>
                </c:pt>
                <c:pt idx="58">
                  <c:v>150938.40171428569</c:v>
                </c:pt>
                <c:pt idx="59">
                  <c:v>150938.40171428569</c:v>
                </c:pt>
                <c:pt idx="60">
                  <c:v>150938.40171428569</c:v>
                </c:pt>
                <c:pt idx="61">
                  <c:v>150938.40171428569</c:v>
                </c:pt>
                <c:pt idx="62">
                  <c:v>150938.40171428569</c:v>
                </c:pt>
                <c:pt idx="63">
                  <c:v>150938.40171428569</c:v>
                </c:pt>
                <c:pt idx="64">
                  <c:v>150938.40171428569</c:v>
                </c:pt>
                <c:pt idx="65">
                  <c:v>150938.40171428569</c:v>
                </c:pt>
                <c:pt idx="66">
                  <c:v>150938.40171428569</c:v>
                </c:pt>
                <c:pt idx="67">
                  <c:v>150938.40171428569</c:v>
                </c:pt>
                <c:pt idx="68">
                  <c:v>150938.40171428569</c:v>
                </c:pt>
                <c:pt idx="69">
                  <c:v>150938.40171428569</c:v>
                </c:pt>
                <c:pt idx="70">
                  <c:v>150938.40171428569</c:v>
                </c:pt>
                <c:pt idx="71">
                  <c:v>150938.40171428569</c:v>
                </c:pt>
                <c:pt idx="72">
                  <c:v>150938.40171428569</c:v>
                </c:pt>
                <c:pt idx="73">
                  <c:v>150938.40171428569</c:v>
                </c:pt>
                <c:pt idx="74">
                  <c:v>150938.40171428569</c:v>
                </c:pt>
                <c:pt idx="75">
                  <c:v>150938.40171428569</c:v>
                </c:pt>
                <c:pt idx="76">
                  <c:v>150938.40171428569</c:v>
                </c:pt>
                <c:pt idx="77">
                  <c:v>150938.40171428569</c:v>
                </c:pt>
                <c:pt idx="78">
                  <c:v>150938.40171428569</c:v>
                </c:pt>
                <c:pt idx="79">
                  <c:v>150938.40171428569</c:v>
                </c:pt>
                <c:pt idx="80">
                  <c:v>150938.40171428569</c:v>
                </c:pt>
                <c:pt idx="81">
                  <c:v>150938.40171428569</c:v>
                </c:pt>
                <c:pt idx="82">
                  <c:v>150938.40171428569</c:v>
                </c:pt>
                <c:pt idx="83">
                  <c:v>150938.40171428569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7C64-42BD-B9C5-CF3B2227AC28}"/>
            </c:ext>
          </c:extLst>
        </c:ser>
        <c:ser>
          <c:idx val="5"/>
          <c:order val="5"/>
          <c:tx>
            <c:strRef>
              <c:f>ICP_Internal_Drift!$L$2</c:f>
              <c:strCache>
                <c:ptCount val="1"/>
                <c:pt idx="0">
                  <c:v>80%Mean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ICP_Internal_Drift!$L$3:$L$86</c:f>
              <c:numCache>
                <c:formatCode>0.00</c:formatCode>
                <c:ptCount val="84"/>
                <c:pt idx="0">
                  <c:v>100625.60114285714</c:v>
                </c:pt>
                <c:pt idx="1">
                  <c:v>100625.60114285714</c:v>
                </c:pt>
                <c:pt idx="2">
                  <c:v>100625.60114285714</c:v>
                </c:pt>
                <c:pt idx="3">
                  <c:v>100625.60114285714</c:v>
                </c:pt>
                <c:pt idx="4">
                  <c:v>100625.60114285714</c:v>
                </c:pt>
                <c:pt idx="5">
                  <c:v>100625.60114285714</c:v>
                </c:pt>
                <c:pt idx="6">
                  <c:v>100625.60114285714</c:v>
                </c:pt>
                <c:pt idx="7">
                  <c:v>100625.60114285714</c:v>
                </c:pt>
                <c:pt idx="8">
                  <c:v>100625.60114285714</c:v>
                </c:pt>
                <c:pt idx="9">
                  <c:v>100625.60114285714</c:v>
                </c:pt>
                <c:pt idx="10">
                  <c:v>100625.60114285714</c:v>
                </c:pt>
                <c:pt idx="11">
                  <c:v>100625.60114285714</c:v>
                </c:pt>
                <c:pt idx="12">
                  <c:v>100625.60114285714</c:v>
                </c:pt>
                <c:pt idx="13">
                  <c:v>100625.60114285714</c:v>
                </c:pt>
                <c:pt idx="14">
                  <c:v>100625.60114285714</c:v>
                </c:pt>
                <c:pt idx="15">
                  <c:v>100625.60114285714</c:v>
                </c:pt>
                <c:pt idx="16">
                  <c:v>100625.60114285714</c:v>
                </c:pt>
                <c:pt idx="17">
                  <c:v>100625.60114285714</c:v>
                </c:pt>
                <c:pt idx="18">
                  <c:v>100625.60114285714</c:v>
                </c:pt>
                <c:pt idx="19">
                  <c:v>100625.60114285714</c:v>
                </c:pt>
                <c:pt idx="20">
                  <c:v>100625.60114285714</c:v>
                </c:pt>
                <c:pt idx="21">
                  <c:v>100625.60114285714</c:v>
                </c:pt>
                <c:pt idx="22">
                  <c:v>100625.60114285714</c:v>
                </c:pt>
                <c:pt idx="23">
                  <c:v>100625.60114285714</c:v>
                </c:pt>
                <c:pt idx="24">
                  <c:v>100625.60114285714</c:v>
                </c:pt>
                <c:pt idx="25">
                  <c:v>100625.60114285714</c:v>
                </c:pt>
                <c:pt idx="26">
                  <c:v>100625.60114285714</c:v>
                </c:pt>
                <c:pt idx="27">
                  <c:v>100625.60114285714</c:v>
                </c:pt>
                <c:pt idx="28">
                  <c:v>100625.60114285714</c:v>
                </c:pt>
                <c:pt idx="29">
                  <c:v>100625.60114285714</c:v>
                </c:pt>
                <c:pt idx="30">
                  <c:v>100625.60114285714</c:v>
                </c:pt>
                <c:pt idx="31">
                  <c:v>100625.60114285714</c:v>
                </c:pt>
                <c:pt idx="32">
                  <c:v>100625.60114285714</c:v>
                </c:pt>
                <c:pt idx="33">
                  <c:v>100625.60114285714</c:v>
                </c:pt>
                <c:pt idx="34">
                  <c:v>100625.60114285714</c:v>
                </c:pt>
                <c:pt idx="35">
                  <c:v>100625.60114285714</c:v>
                </c:pt>
                <c:pt idx="36">
                  <c:v>100625.60114285714</c:v>
                </c:pt>
                <c:pt idx="37">
                  <c:v>100625.60114285714</c:v>
                </c:pt>
                <c:pt idx="38">
                  <c:v>100625.60114285714</c:v>
                </c:pt>
                <c:pt idx="39">
                  <c:v>100625.60114285714</c:v>
                </c:pt>
                <c:pt idx="40">
                  <c:v>100625.60114285714</c:v>
                </c:pt>
                <c:pt idx="41">
                  <c:v>100625.60114285714</c:v>
                </c:pt>
                <c:pt idx="42">
                  <c:v>100625.60114285714</c:v>
                </c:pt>
                <c:pt idx="43">
                  <c:v>100625.60114285714</c:v>
                </c:pt>
                <c:pt idx="44">
                  <c:v>100625.60114285714</c:v>
                </c:pt>
                <c:pt idx="45">
                  <c:v>100625.60114285714</c:v>
                </c:pt>
                <c:pt idx="46">
                  <c:v>100625.60114285714</c:v>
                </c:pt>
                <c:pt idx="47">
                  <c:v>100625.60114285714</c:v>
                </c:pt>
                <c:pt idx="48">
                  <c:v>100625.60114285714</c:v>
                </c:pt>
                <c:pt idx="49">
                  <c:v>100625.60114285714</c:v>
                </c:pt>
                <c:pt idx="50">
                  <c:v>100625.60114285714</c:v>
                </c:pt>
                <c:pt idx="51">
                  <c:v>100625.60114285714</c:v>
                </c:pt>
                <c:pt idx="52">
                  <c:v>100625.60114285714</c:v>
                </c:pt>
                <c:pt idx="53">
                  <c:v>100625.60114285714</c:v>
                </c:pt>
                <c:pt idx="54">
                  <c:v>100625.60114285714</c:v>
                </c:pt>
                <c:pt idx="55">
                  <c:v>100625.60114285714</c:v>
                </c:pt>
                <c:pt idx="56">
                  <c:v>100625.60114285714</c:v>
                </c:pt>
                <c:pt idx="57">
                  <c:v>100625.60114285714</c:v>
                </c:pt>
                <c:pt idx="58">
                  <c:v>100625.60114285714</c:v>
                </c:pt>
                <c:pt idx="59">
                  <c:v>100625.60114285714</c:v>
                </c:pt>
                <c:pt idx="60">
                  <c:v>100625.60114285714</c:v>
                </c:pt>
                <c:pt idx="61">
                  <c:v>100625.60114285714</c:v>
                </c:pt>
                <c:pt idx="62">
                  <c:v>100625.60114285714</c:v>
                </c:pt>
                <c:pt idx="63">
                  <c:v>100625.60114285714</c:v>
                </c:pt>
                <c:pt idx="64">
                  <c:v>100625.60114285714</c:v>
                </c:pt>
                <c:pt idx="65">
                  <c:v>100625.60114285714</c:v>
                </c:pt>
                <c:pt idx="66">
                  <c:v>100625.60114285714</c:v>
                </c:pt>
                <c:pt idx="67">
                  <c:v>100625.60114285714</c:v>
                </c:pt>
                <c:pt idx="68">
                  <c:v>100625.60114285714</c:v>
                </c:pt>
                <c:pt idx="69">
                  <c:v>100625.60114285714</c:v>
                </c:pt>
                <c:pt idx="70">
                  <c:v>100625.60114285714</c:v>
                </c:pt>
                <c:pt idx="71">
                  <c:v>100625.60114285714</c:v>
                </c:pt>
                <c:pt idx="72">
                  <c:v>100625.60114285714</c:v>
                </c:pt>
                <c:pt idx="73">
                  <c:v>100625.60114285714</c:v>
                </c:pt>
                <c:pt idx="74">
                  <c:v>100625.60114285714</c:v>
                </c:pt>
                <c:pt idx="75">
                  <c:v>100625.60114285714</c:v>
                </c:pt>
                <c:pt idx="76">
                  <c:v>100625.60114285714</c:v>
                </c:pt>
                <c:pt idx="77">
                  <c:v>100625.60114285714</c:v>
                </c:pt>
                <c:pt idx="78">
                  <c:v>100625.60114285714</c:v>
                </c:pt>
                <c:pt idx="79">
                  <c:v>100625.60114285714</c:v>
                </c:pt>
                <c:pt idx="80">
                  <c:v>100625.60114285714</c:v>
                </c:pt>
                <c:pt idx="81">
                  <c:v>100625.60114285714</c:v>
                </c:pt>
                <c:pt idx="82">
                  <c:v>100625.60114285714</c:v>
                </c:pt>
                <c:pt idx="83">
                  <c:v>100625.60114285714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7C64-42BD-B9C5-CF3B2227A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h:mm:ss;@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0.00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450701699404181"/>
          <c:y val="0.62820721419104797"/>
          <c:w val="0.17280325423837511"/>
          <c:h val="0.1612038356742961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Internal Standards</a:t>
            </a:r>
            <a:r>
              <a:rPr lang="en-US" sz="1600"/>
              <a:t> Drift Rh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360930913359552"/>
          <c:y val="5.4978273806280585E-2"/>
          <c:w val="0.83682705935876633"/>
          <c:h val="0.84833853807841519"/>
        </c:manualLayout>
      </c:layout>
      <c:scatterChart>
        <c:scatterStyle val="lineMarker"/>
        <c:varyColors val="0"/>
        <c:ser>
          <c:idx val="1"/>
          <c:order val="1"/>
          <c:tx>
            <c:strRef>
              <c:f>ICP_Internal_Drift!$N$1</c:f>
              <c:strCache>
                <c:ptCount val="1"/>
                <c:pt idx="0">
                  <c:v>103  Rh ( ISTD )  [ He ]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  <c:extLst xmlns:c15="http://schemas.microsoft.com/office/drawing/2012/chart"/>
            </c:numRef>
          </c:xVal>
          <c:yVal>
            <c:numRef>
              <c:f>ICP_Internal_Drift!$N$3:$N$86</c:f>
              <c:numCache>
                <c:formatCode>0.00</c:formatCode>
                <c:ptCount val="84"/>
                <c:pt idx="0">
                  <c:v>110.01</c:v>
                </c:pt>
                <c:pt idx="1">
                  <c:v>140</c:v>
                </c:pt>
                <c:pt idx="2">
                  <c:v>54600.29</c:v>
                </c:pt>
                <c:pt idx="3">
                  <c:v>22608.86</c:v>
                </c:pt>
                <c:pt idx="4">
                  <c:v>26562.51</c:v>
                </c:pt>
                <c:pt idx="5">
                  <c:v>30998.35</c:v>
                </c:pt>
                <c:pt idx="6">
                  <c:v>37624.870000000003</c:v>
                </c:pt>
                <c:pt idx="7">
                  <c:v>45672.01</c:v>
                </c:pt>
                <c:pt idx="8">
                  <c:v>55741.53</c:v>
                </c:pt>
                <c:pt idx="9">
                  <c:v>69284.83</c:v>
                </c:pt>
                <c:pt idx="10">
                  <c:v>91541.18</c:v>
                </c:pt>
                <c:pt idx="11">
                  <c:v>114602.58</c:v>
                </c:pt>
                <c:pt idx="12">
                  <c:v>132257.44</c:v>
                </c:pt>
                <c:pt idx="13">
                  <c:v>151788.79999999999</c:v>
                </c:pt>
                <c:pt idx="14">
                  <c:v>386224.16</c:v>
                </c:pt>
                <c:pt idx="15">
                  <c:v>426554.58</c:v>
                </c:pt>
                <c:pt idx="16">
                  <c:v>450635.99</c:v>
                </c:pt>
                <c:pt idx="17">
                  <c:v>472463.03</c:v>
                </c:pt>
                <c:pt idx="18">
                  <c:v>485245.67</c:v>
                </c:pt>
                <c:pt idx="19">
                  <c:v>522091.83</c:v>
                </c:pt>
                <c:pt idx="20">
                  <c:v>544848.32999999996</c:v>
                </c:pt>
                <c:pt idx="21">
                  <c:v>568173.23</c:v>
                </c:pt>
                <c:pt idx="22">
                  <c:v>599584.25</c:v>
                </c:pt>
                <c:pt idx="23">
                  <c:v>630367.96</c:v>
                </c:pt>
                <c:pt idx="24">
                  <c:v>664066.34</c:v>
                </c:pt>
                <c:pt idx="25">
                  <c:v>671680.2</c:v>
                </c:pt>
                <c:pt idx="26">
                  <c:v>703381.97</c:v>
                </c:pt>
                <c:pt idx="27">
                  <c:v>741157.72</c:v>
                </c:pt>
                <c:pt idx="28">
                  <c:v>768011.5</c:v>
                </c:pt>
                <c:pt idx="29">
                  <c:v>809082.57</c:v>
                </c:pt>
                <c:pt idx="30">
                  <c:v>822596.97</c:v>
                </c:pt>
                <c:pt idx="31">
                  <c:v>859080.14</c:v>
                </c:pt>
                <c:pt idx="32">
                  <c:v>895850.9</c:v>
                </c:pt>
                <c:pt idx="33">
                  <c:v>940440.27</c:v>
                </c:pt>
                <c:pt idx="34">
                  <c:v>967091.39</c:v>
                </c:pt>
                <c:pt idx="35">
                  <c:v>970176.49</c:v>
                </c:pt>
                <c:pt idx="36">
                  <c:v>1152294.72</c:v>
                </c:pt>
                <c:pt idx="37">
                  <c:v>1158292.53</c:v>
                </c:pt>
                <c:pt idx="38">
                  <c:v>1184898.99</c:v>
                </c:pt>
                <c:pt idx="39">
                  <c:v>1228359.3600000001</c:v>
                </c:pt>
                <c:pt idx="40">
                  <c:v>1242497.5900000001</c:v>
                </c:pt>
                <c:pt idx="41">
                  <c:v>1254960.92</c:v>
                </c:pt>
                <c:pt idx="42">
                  <c:v>1389508.76</c:v>
                </c:pt>
                <c:pt idx="43">
                  <c:v>1058476.3600000001</c:v>
                </c:pt>
                <c:pt idx="44">
                  <c:v>1311511.23</c:v>
                </c:pt>
                <c:pt idx="45">
                  <c:v>1339476.1299999999</c:v>
                </c:pt>
                <c:pt idx="46">
                  <c:v>1257332.06</c:v>
                </c:pt>
                <c:pt idx="47">
                  <c:v>1362452.43</c:v>
                </c:pt>
                <c:pt idx="48">
                  <c:v>1374854.82</c:v>
                </c:pt>
                <c:pt idx="49">
                  <c:v>1370174.62</c:v>
                </c:pt>
                <c:pt idx="50">
                  <c:v>1387237.32</c:v>
                </c:pt>
                <c:pt idx="51">
                  <c:v>1458086.75</c:v>
                </c:pt>
                <c:pt idx="52">
                  <c:v>1555817.11</c:v>
                </c:pt>
                <c:pt idx="53">
                  <c:v>1491518.67</c:v>
                </c:pt>
                <c:pt idx="54">
                  <c:v>1508387.89</c:v>
                </c:pt>
                <c:pt idx="55">
                  <c:v>1584405.6</c:v>
                </c:pt>
                <c:pt idx="56">
                  <c:v>1548428.73</c:v>
                </c:pt>
                <c:pt idx="57">
                  <c:v>1647582.68</c:v>
                </c:pt>
                <c:pt idx="58">
                  <c:v>1670914.14</c:v>
                </c:pt>
                <c:pt idx="59">
                  <c:v>1658047.94</c:v>
                </c:pt>
                <c:pt idx="60">
                  <c:v>1691485.24</c:v>
                </c:pt>
                <c:pt idx="61">
                  <c:v>1646761.64</c:v>
                </c:pt>
                <c:pt idx="62">
                  <c:v>1642997.11</c:v>
                </c:pt>
                <c:pt idx="63">
                  <c:v>1711979.04</c:v>
                </c:pt>
                <c:pt idx="64">
                  <c:v>1703670.96</c:v>
                </c:pt>
                <c:pt idx="65">
                  <c:v>1733122.58</c:v>
                </c:pt>
                <c:pt idx="66">
                  <c:v>1742151.74</c:v>
                </c:pt>
                <c:pt idx="67">
                  <c:v>1746084.45</c:v>
                </c:pt>
                <c:pt idx="68">
                  <c:v>1754612.01</c:v>
                </c:pt>
                <c:pt idx="69">
                  <c:v>1741981.95</c:v>
                </c:pt>
                <c:pt idx="70">
                  <c:v>1766525.81</c:v>
                </c:pt>
                <c:pt idx="71">
                  <c:v>1763836.85</c:v>
                </c:pt>
                <c:pt idx="72">
                  <c:v>1724379.35</c:v>
                </c:pt>
                <c:pt idx="73">
                  <c:v>1745395.86</c:v>
                </c:pt>
                <c:pt idx="74">
                  <c:v>1750624.72</c:v>
                </c:pt>
                <c:pt idx="75">
                  <c:v>1743629.45</c:v>
                </c:pt>
                <c:pt idx="76">
                  <c:v>1779022.84</c:v>
                </c:pt>
                <c:pt idx="77">
                  <c:v>1754948.15</c:v>
                </c:pt>
                <c:pt idx="78">
                  <c:v>1744522.37</c:v>
                </c:pt>
                <c:pt idx="79">
                  <c:v>1697271.9</c:v>
                </c:pt>
                <c:pt idx="80">
                  <c:v>1348858.31</c:v>
                </c:pt>
                <c:pt idx="81">
                  <c:v>1831976.22</c:v>
                </c:pt>
                <c:pt idx="82">
                  <c:v>1855948.25</c:v>
                </c:pt>
                <c:pt idx="83">
                  <c:v>1821425.03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249-4FBD-B6B2-AF242E6F3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ICP_Internal_Drift!$I$1</c15:sqref>
                        </c15:formulaRef>
                      </c:ext>
                    </c:extLst>
                    <c:strCache>
                      <c:ptCount val="1"/>
                      <c:pt idx="0">
                        <c:v>45  Sc ( ISTD )  [ He ] </c:v>
                      </c:pt>
                    </c:strCache>
                  </c:strRef>
                </c:tx>
                <c:spPr>
                  <a:ln w="19050">
                    <a:noFill/>
                  </a:ln>
                </c:spPr>
                <c:marker>
                  <c:symbol val="circle"/>
                  <c:size val="5"/>
                </c:marker>
                <c:xVal>
                  <c:numRef>
                    <c:extLst>
                      <c:ext uri="{02D57815-91ED-43cb-92C2-25804820EDAC}">
                        <c15:formulaRef>
                          <c15:sqref>ICP_Internal_Drift!$E$3:$E$86</c15:sqref>
                        </c15:formulaRef>
                      </c:ext>
                    </c:extLst>
                    <c:numCache>
                      <c:formatCode>[$-F400]h:mm:ss\ AM/PM</c:formatCode>
                      <c:ptCount val="84"/>
                      <c:pt idx="0">
                        <c:v>45246.480185185188</c:v>
                      </c:pt>
                      <c:pt idx="1">
                        <c:v>45246.48133101852</c:v>
                      </c:pt>
                      <c:pt idx="2">
                        <c:v>45246.482511574075</c:v>
                      </c:pt>
                      <c:pt idx="3">
                        <c:v>45246.483634259261</c:v>
                      </c:pt>
                      <c:pt idx="4">
                        <c:v>45246.484803240739</c:v>
                      </c:pt>
                      <c:pt idx="5">
                        <c:v>45246.485972222225</c:v>
                      </c:pt>
                      <c:pt idx="6">
                        <c:v>45246.487187500003</c:v>
                      </c:pt>
                      <c:pt idx="7">
                        <c:v>45246.488368055558</c:v>
                      </c:pt>
                      <c:pt idx="8">
                        <c:v>45246.48951388889</c:v>
                      </c:pt>
                      <c:pt idx="9">
                        <c:v>45246.490717592591</c:v>
                      </c:pt>
                      <c:pt idx="10">
                        <c:v>45246.491875</c:v>
                      </c:pt>
                      <c:pt idx="11">
                        <c:v>45246.493032407408</c:v>
                      </c:pt>
                      <c:pt idx="12">
                        <c:v>45246.494143518517</c:v>
                      </c:pt>
                      <c:pt idx="13">
                        <c:v>45246.495312500003</c:v>
                      </c:pt>
                      <c:pt idx="14">
                        <c:v>45246.508993055555</c:v>
                      </c:pt>
                      <c:pt idx="15">
                        <c:v>45246.510115740741</c:v>
                      </c:pt>
                      <c:pt idx="16">
                        <c:v>45246.511261574073</c:v>
                      </c:pt>
                      <c:pt idx="17">
                        <c:v>45246.512361111112</c:v>
                      </c:pt>
                      <c:pt idx="18">
                        <c:v>45246.513541666667</c:v>
                      </c:pt>
                      <c:pt idx="19">
                        <c:v>45246.514664351853</c:v>
                      </c:pt>
                      <c:pt idx="20">
                        <c:v>45246.515787037039</c:v>
                      </c:pt>
                      <c:pt idx="21">
                        <c:v>45246.516909722224</c:v>
                      </c:pt>
                      <c:pt idx="22">
                        <c:v>45246.518078703702</c:v>
                      </c:pt>
                      <c:pt idx="23">
                        <c:v>45246.519201388888</c:v>
                      </c:pt>
                      <c:pt idx="24">
                        <c:v>45246.520312499997</c:v>
                      </c:pt>
                      <c:pt idx="25">
                        <c:v>45246.521423611113</c:v>
                      </c:pt>
                      <c:pt idx="26">
                        <c:v>45246.522592592592</c:v>
                      </c:pt>
                      <c:pt idx="27">
                        <c:v>45246.5237037037</c:v>
                      </c:pt>
                      <c:pt idx="28">
                        <c:v>45246.524826388886</c:v>
                      </c:pt>
                      <c:pt idx="29">
                        <c:v>45246.525949074072</c:v>
                      </c:pt>
                      <c:pt idx="30">
                        <c:v>45246.527129629627</c:v>
                      </c:pt>
                      <c:pt idx="31">
                        <c:v>45246.528263888889</c:v>
                      </c:pt>
                      <c:pt idx="32">
                        <c:v>45246.529386574075</c:v>
                      </c:pt>
                      <c:pt idx="33">
                        <c:v>45246.530509259261</c:v>
                      </c:pt>
                      <c:pt idx="34">
                        <c:v>45246.531678240739</c:v>
                      </c:pt>
                      <c:pt idx="35">
                        <c:v>45246.532812500001</c:v>
                      </c:pt>
                      <c:pt idx="36">
                        <c:v>45246.542581018519</c:v>
                      </c:pt>
                      <c:pt idx="37">
                        <c:v>45246.543715277781</c:v>
                      </c:pt>
                      <c:pt idx="38">
                        <c:v>45246.544849537036</c:v>
                      </c:pt>
                      <c:pt idx="39">
                        <c:v>45246.545972222222</c:v>
                      </c:pt>
                      <c:pt idx="40">
                        <c:v>45246.547164351854</c:v>
                      </c:pt>
                      <c:pt idx="41">
                        <c:v>45246.548414351855</c:v>
                      </c:pt>
                      <c:pt idx="42">
                        <c:v>45246.54954861111</c:v>
                      </c:pt>
                      <c:pt idx="43">
                        <c:v>45246.550740740742</c:v>
                      </c:pt>
                      <c:pt idx="44">
                        <c:v>45246.551874999997</c:v>
                      </c:pt>
                      <c:pt idx="45">
                        <c:v>45246.552974537037</c:v>
                      </c:pt>
                      <c:pt idx="46">
                        <c:v>45246.554108796299</c:v>
                      </c:pt>
                      <c:pt idx="47">
                        <c:v>45246.555289351854</c:v>
                      </c:pt>
                      <c:pt idx="48">
                        <c:v>45246.556423611109</c:v>
                      </c:pt>
                      <c:pt idx="49">
                        <c:v>45246.561041666668</c:v>
                      </c:pt>
                      <c:pt idx="50">
                        <c:v>45246.5621875</c:v>
                      </c:pt>
                      <c:pt idx="51">
                        <c:v>45246.563321759262</c:v>
                      </c:pt>
                      <c:pt idx="52">
                        <c:v>45246.564456018517</c:v>
                      </c:pt>
                      <c:pt idx="53">
                        <c:v>45246.565636574072</c:v>
                      </c:pt>
                      <c:pt idx="54">
                        <c:v>45246.566770833335</c:v>
                      </c:pt>
                      <c:pt idx="55">
                        <c:v>45246.56790509259</c:v>
                      </c:pt>
                      <c:pt idx="56">
                        <c:v>45246.569039351853</c:v>
                      </c:pt>
                      <c:pt idx="57">
                        <c:v>45246.570231481484</c:v>
                      </c:pt>
                      <c:pt idx="58">
                        <c:v>45246.57136574074</c:v>
                      </c:pt>
                      <c:pt idx="59">
                        <c:v>45246.572488425925</c:v>
                      </c:pt>
                      <c:pt idx="60">
                        <c:v>45246.573611111111</c:v>
                      </c:pt>
                      <c:pt idx="61">
                        <c:v>45246.574791666666</c:v>
                      </c:pt>
                      <c:pt idx="62">
                        <c:v>45246.575925925928</c:v>
                      </c:pt>
                      <c:pt idx="63">
                        <c:v>45246.577060185184</c:v>
                      </c:pt>
                      <c:pt idx="64">
                        <c:v>45246.578182870369</c:v>
                      </c:pt>
                      <c:pt idx="65">
                        <c:v>45246.579363425924</c:v>
                      </c:pt>
                      <c:pt idx="66">
                        <c:v>45246.58048611111</c:v>
                      </c:pt>
                      <c:pt idx="67">
                        <c:v>45246.581631944442</c:v>
                      </c:pt>
                      <c:pt idx="68">
                        <c:v>45246.582743055558</c:v>
                      </c:pt>
                      <c:pt idx="69">
                        <c:v>45246.583923611113</c:v>
                      </c:pt>
                      <c:pt idx="70">
                        <c:v>45246.585069444445</c:v>
                      </c:pt>
                      <c:pt idx="71">
                        <c:v>45246.5862037037</c:v>
                      </c:pt>
                      <c:pt idx="72">
                        <c:v>45246.587337962963</c:v>
                      </c:pt>
                      <c:pt idx="73">
                        <c:v>45246.588530092595</c:v>
                      </c:pt>
                      <c:pt idx="74">
                        <c:v>45246.58966435185</c:v>
                      </c:pt>
                      <c:pt idx="75">
                        <c:v>45246.590798611112</c:v>
                      </c:pt>
                      <c:pt idx="76">
                        <c:v>45246.591932870368</c:v>
                      </c:pt>
                      <c:pt idx="77">
                        <c:v>45246.593124999999</c:v>
                      </c:pt>
                      <c:pt idx="78">
                        <c:v>45246.594259259262</c:v>
                      </c:pt>
                      <c:pt idx="79">
                        <c:v>45246.595393518517</c:v>
                      </c:pt>
                      <c:pt idx="80">
                        <c:v>45246.596516203703</c:v>
                      </c:pt>
                      <c:pt idx="81">
                        <c:v>45246.597719907404</c:v>
                      </c:pt>
                      <c:pt idx="82">
                        <c:v>45246.598865740743</c:v>
                      </c:pt>
                      <c:pt idx="83">
                        <c:v>45246.599988425929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ICP_Internal_Drift!$I$3:$I$86</c15:sqref>
                        </c15:formulaRef>
                      </c:ext>
                    </c:extLst>
                    <c:numCache>
                      <c:formatCode>0.00</c:formatCode>
                      <c:ptCount val="84"/>
                      <c:pt idx="0">
                        <c:v>33.33</c:v>
                      </c:pt>
                      <c:pt idx="1">
                        <c:v>46.67</c:v>
                      </c:pt>
                      <c:pt idx="2">
                        <c:v>6288.22</c:v>
                      </c:pt>
                      <c:pt idx="3">
                        <c:v>2707.03</c:v>
                      </c:pt>
                      <c:pt idx="4">
                        <c:v>2790.38</c:v>
                      </c:pt>
                      <c:pt idx="5">
                        <c:v>3660.59</c:v>
                      </c:pt>
                      <c:pt idx="6">
                        <c:v>4290.7700000000004</c:v>
                      </c:pt>
                      <c:pt idx="7">
                        <c:v>5181.09</c:v>
                      </c:pt>
                      <c:pt idx="8">
                        <c:v>6138.16</c:v>
                      </c:pt>
                      <c:pt idx="9">
                        <c:v>7962.46</c:v>
                      </c:pt>
                      <c:pt idx="10">
                        <c:v>10464.120000000001</c:v>
                      </c:pt>
                      <c:pt idx="11">
                        <c:v>12502.48</c:v>
                      </c:pt>
                      <c:pt idx="12">
                        <c:v>15228.45</c:v>
                      </c:pt>
                      <c:pt idx="13">
                        <c:v>17013.830000000002</c:v>
                      </c:pt>
                      <c:pt idx="14">
                        <c:v>44512.22</c:v>
                      </c:pt>
                      <c:pt idx="15">
                        <c:v>49009.82</c:v>
                      </c:pt>
                      <c:pt idx="16">
                        <c:v>51819.63</c:v>
                      </c:pt>
                      <c:pt idx="17">
                        <c:v>55028.08</c:v>
                      </c:pt>
                      <c:pt idx="18">
                        <c:v>55576.77</c:v>
                      </c:pt>
                      <c:pt idx="19">
                        <c:v>60626.77</c:v>
                      </c:pt>
                      <c:pt idx="20">
                        <c:v>63097.18</c:v>
                      </c:pt>
                      <c:pt idx="21">
                        <c:v>65655.210000000006</c:v>
                      </c:pt>
                      <c:pt idx="22">
                        <c:v>69623.44</c:v>
                      </c:pt>
                      <c:pt idx="23">
                        <c:v>72926.19</c:v>
                      </c:pt>
                      <c:pt idx="24">
                        <c:v>77818.2</c:v>
                      </c:pt>
                      <c:pt idx="25">
                        <c:v>78029.210000000006</c:v>
                      </c:pt>
                      <c:pt idx="26">
                        <c:v>81843.399999999994</c:v>
                      </c:pt>
                      <c:pt idx="27">
                        <c:v>85628.41</c:v>
                      </c:pt>
                      <c:pt idx="28">
                        <c:v>89397.19</c:v>
                      </c:pt>
                      <c:pt idx="29">
                        <c:v>93241.1</c:v>
                      </c:pt>
                      <c:pt idx="30">
                        <c:v>92600.92</c:v>
                      </c:pt>
                      <c:pt idx="31">
                        <c:v>100370.84</c:v>
                      </c:pt>
                      <c:pt idx="32">
                        <c:v>104308.38</c:v>
                      </c:pt>
                      <c:pt idx="33">
                        <c:v>109050.73</c:v>
                      </c:pt>
                      <c:pt idx="34">
                        <c:v>112226.79</c:v>
                      </c:pt>
                      <c:pt idx="35">
                        <c:v>114154.89</c:v>
                      </c:pt>
                      <c:pt idx="36">
                        <c:v>133009.35</c:v>
                      </c:pt>
                      <c:pt idx="37">
                        <c:v>132885.17000000001</c:v>
                      </c:pt>
                      <c:pt idx="38">
                        <c:v>136107.75</c:v>
                      </c:pt>
                      <c:pt idx="39">
                        <c:v>141805.26999999999</c:v>
                      </c:pt>
                      <c:pt idx="40">
                        <c:v>144151.39000000001</c:v>
                      </c:pt>
                      <c:pt idx="41">
                        <c:v>143744.62</c:v>
                      </c:pt>
                      <c:pt idx="42">
                        <c:v>161647.97</c:v>
                      </c:pt>
                      <c:pt idx="43">
                        <c:v>147123.74</c:v>
                      </c:pt>
                      <c:pt idx="44">
                        <c:v>167609.71</c:v>
                      </c:pt>
                      <c:pt idx="45">
                        <c:v>168802.42</c:v>
                      </c:pt>
                      <c:pt idx="46">
                        <c:v>154247.57999999999</c:v>
                      </c:pt>
                      <c:pt idx="47">
                        <c:v>170707.37</c:v>
                      </c:pt>
                      <c:pt idx="48">
                        <c:v>170938.9</c:v>
                      </c:pt>
                      <c:pt idx="49">
                        <c:v>170221.05</c:v>
                      </c:pt>
                      <c:pt idx="50">
                        <c:v>171745.36</c:v>
                      </c:pt>
                      <c:pt idx="51">
                        <c:v>176810.27</c:v>
                      </c:pt>
                      <c:pt idx="52">
                        <c:v>180948.75</c:v>
                      </c:pt>
                      <c:pt idx="53">
                        <c:v>181637.13</c:v>
                      </c:pt>
                      <c:pt idx="54">
                        <c:v>179742.8</c:v>
                      </c:pt>
                      <c:pt idx="55">
                        <c:v>184066.88</c:v>
                      </c:pt>
                      <c:pt idx="56">
                        <c:v>190906.8</c:v>
                      </c:pt>
                      <c:pt idx="57">
                        <c:v>190653.1</c:v>
                      </c:pt>
                      <c:pt idx="58">
                        <c:v>192020.93</c:v>
                      </c:pt>
                      <c:pt idx="59">
                        <c:v>192551.42</c:v>
                      </c:pt>
                      <c:pt idx="60">
                        <c:v>196048.52</c:v>
                      </c:pt>
                      <c:pt idx="61">
                        <c:v>188001.7</c:v>
                      </c:pt>
                      <c:pt idx="62">
                        <c:v>191833.94</c:v>
                      </c:pt>
                      <c:pt idx="63">
                        <c:v>199047.63</c:v>
                      </c:pt>
                      <c:pt idx="64">
                        <c:v>196743.36</c:v>
                      </c:pt>
                      <c:pt idx="65">
                        <c:v>197496.38</c:v>
                      </c:pt>
                      <c:pt idx="66">
                        <c:v>201018.26</c:v>
                      </c:pt>
                      <c:pt idx="67">
                        <c:v>201285.28</c:v>
                      </c:pt>
                      <c:pt idx="68">
                        <c:v>201933.85</c:v>
                      </c:pt>
                      <c:pt idx="69">
                        <c:v>200272.37</c:v>
                      </c:pt>
                      <c:pt idx="70">
                        <c:v>203853.83</c:v>
                      </c:pt>
                      <c:pt idx="71">
                        <c:v>202765.11</c:v>
                      </c:pt>
                      <c:pt idx="72">
                        <c:v>202000.13</c:v>
                      </c:pt>
                      <c:pt idx="73">
                        <c:v>197643.47</c:v>
                      </c:pt>
                      <c:pt idx="74">
                        <c:v>199026.16</c:v>
                      </c:pt>
                      <c:pt idx="75">
                        <c:v>200186.8</c:v>
                      </c:pt>
                      <c:pt idx="76">
                        <c:v>199169.21</c:v>
                      </c:pt>
                      <c:pt idx="77">
                        <c:v>200405.89</c:v>
                      </c:pt>
                      <c:pt idx="78">
                        <c:v>202535.27</c:v>
                      </c:pt>
                      <c:pt idx="79">
                        <c:v>200714.18</c:v>
                      </c:pt>
                      <c:pt idx="80">
                        <c:v>180908.09</c:v>
                      </c:pt>
                      <c:pt idx="81">
                        <c:v>198844.31</c:v>
                      </c:pt>
                      <c:pt idx="82">
                        <c:v>198456.42</c:v>
                      </c:pt>
                      <c:pt idx="83">
                        <c:v>200559.28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249-4FBD-B6B2-AF242E6F3F4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Ir</c:v>
                </c:tx>
                <c:marker>
                  <c:symbol val="circle"/>
                  <c:size val="5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ICP_Internal_Drift!$E$3:$E$86</c15:sqref>
                        </c15:formulaRef>
                      </c:ext>
                    </c:extLst>
                    <c:numCache>
                      <c:formatCode>[$-F400]h:mm:ss\ AM/PM</c:formatCode>
                      <c:ptCount val="84"/>
                      <c:pt idx="0">
                        <c:v>45246.480185185188</c:v>
                      </c:pt>
                      <c:pt idx="1">
                        <c:v>45246.48133101852</c:v>
                      </c:pt>
                      <c:pt idx="2">
                        <c:v>45246.482511574075</c:v>
                      </c:pt>
                      <c:pt idx="3">
                        <c:v>45246.483634259261</c:v>
                      </c:pt>
                      <c:pt idx="4">
                        <c:v>45246.484803240739</c:v>
                      </c:pt>
                      <c:pt idx="5">
                        <c:v>45246.485972222225</c:v>
                      </c:pt>
                      <c:pt idx="6">
                        <c:v>45246.487187500003</c:v>
                      </c:pt>
                      <c:pt idx="7">
                        <c:v>45246.488368055558</c:v>
                      </c:pt>
                      <c:pt idx="8">
                        <c:v>45246.48951388889</c:v>
                      </c:pt>
                      <c:pt idx="9">
                        <c:v>45246.490717592591</c:v>
                      </c:pt>
                      <c:pt idx="10">
                        <c:v>45246.491875</c:v>
                      </c:pt>
                      <c:pt idx="11">
                        <c:v>45246.493032407408</c:v>
                      </c:pt>
                      <c:pt idx="12">
                        <c:v>45246.494143518517</c:v>
                      </c:pt>
                      <c:pt idx="13">
                        <c:v>45246.495312500003</c:v>
                      </c:pt>
                      <c:pt idx="14">
                        <c:v>45246.508993055555</c:v>
                      </c:pt>
                      <c:pt idx="15">
                        <c:v>45246.510115740741</c:v>
                      </c:pt>
                      <c:pt idx="16">
                        <c:v>45246.511261574073</c:v>
                      </c:pt>
                      <c:pt idx="17">
                        <c:v>45246.512361111112</c:v>
                      </c:pt>
                      <c:pt idx="18">
                        <c:v>45246.513541666667</c:v>
                      </c:pt>
                      <c:pt idx="19">
                        <c:v>45246.514664351853</c:v>
                      </c:pt>
                      <c:pt idx="20">
                        <c:v>45246.515787037039</c:v>
                      </c:pt>
                      <c:pt idx="21">
                        <c:v>45246.516909722224</c:v>
                      </c:pt>
                      <c:pt idx="22">
                        <c:v>45246.518078703702</c:v>
                      </c:pt>
                      <c:pt idx="23">
                        <c:v>45246.519201388888</c:v>
                      </c:pt>
                      <c:pt idx="24">
                        <c:v>45246.520312499997</c:v>
                      </c:pt>
                      <c:pt idx="25">
                        <c:v>45246.521423611113</c:v>
                      </c:pt>
                      <c:pt idx="26">
                        <c:v>45246.522592592592</c:v>
                      </c:pt>
                      <c:pt idx="27">
                        <c:v>45246.5237037037</c:v>
                      </c:pt>
                      <c:pt idx="28">
                        <c:v>45246.524826388886</c:v>
                      </c:pt>
                      <c:pt idx="29">
                        <c:v>45246.525949074072</c:v>
                      </c:pt>
                      <c:pt idx="30">
                        <c:v>45246.527129629627</c:v>
                      </c:pt>
                      <c:pt idx="31">
                        <c:v>45246.528263888889</c:v>
                      </c:pt>
                      <c:pt idx="32">
                        <c:v>45246.529386574075</c:v>
                      </c:pt>
                      <c:pt idx="33">
                        <c:v>45246.530509259261</c:v>
                      </c:pt>
                      <c:pt idx="34">
                        <c:v>45246.531678240739</c:v>
                      </c:pt>
                      <c:pt idx="35">
                        <c:v>45246.532812500001</c:v>
                      </c:pt>
                      <c:pt idx="36">
                        <c:v>45246.542581018519</c:v>
                      </c:pt>
                      <c:pt idx="37">
                        <c:v>45246.543715277781</c:v>
                      </c:pt>
                      <c:pt idx="38">
                        <c:v>45246.544849537036</c:v>
                      </c:pt>
                      <c:pt idx="39">
                        <c:v>45246.545972222222</c:v>
                      </c:pt>
                      <c:pt idx="40">
                        <c:v>45246.547164351854</c:v>
                      </c:pt>
                      <c:pt idx="41">
                        <c:v>45246.548414351855</c:v>
                      </c:pt>
                      <c:pt idx="42">
                        <c:v>45246.54954861111</c:v>
                      </c:pt>
                      <c:pt idx="43">
                        <c:v>45246.550740740742</c:v>
                      </c:pt>
                      <c:pt idx="44">
                        <c:v>45246.551874999997</c:v>
                      </c:pt>
                      <c:pt idx="45">
                        <c:v>45246.552974537037</c:v>
                      </c:pt>
                      <c:pt idx="46">
                        <c:v>45246.554108796299</c:v>
                      </c:pt>
                      <c:pt idx="47">
                        <c:v>45246.555289351854</c:v>
                      </c:pt>
                      <c:pt idx="48">
                        <c:v>45246.556423611109</c:v>
                      </c:pt>
                      <c:pt idx="49">
                        <c:v>45246.561041666668</c:v>
                      </c:pt>
                      <c:pt idx="50">
                        <c:v>45246.5621875</c:v>
                      </c:pt>
                      <c:pt idx="51">
                        <c:v>45246.563321759262</c:v>
                      </c:pt>
                      <c:pt idx="52">
                        <c:v>45246.564456018517</c:v>
                      </c:pt>
                      <c:pt idx="53">
                        <c:v>45246.565636574072</c:v>
                      </c:pt>
                      <c:pt idx="54">
                        <c:v>45246.566770833335</c:v>
                      </c:pt>
                      <c:pt idx="55">
                        <c:v>45246.56790509259</c:v>
                      </c:pt>
                      <c:pt idx="56">
                        <c:v>45246.569039351853</c:v>
                      </c:pt>
                      <c:pt idx="57">
                        <c:v>45246.570231481484</c:v>
                      </c:pt>
                      <c:pt idx="58">
                        <c:v>45246.57136574074</c:v>
                      </c:pt>
                      <c:pt idx="59">
                        <c:v>45246.572488425925</c:v>
                      </c:pt>
                      <c:pt idx="60">
                        <c:v>45246.573611111111</c:v>
                      </c:pt>
                      <c:pt idx="61">
                        <c:v>45246.574791666666</c:v>
                      </c:pt>
                      <c:pt idx="62">
                        <c:v>45246.575925925928</c:v>
                      </c:pt>
                      <c:pt idx="63">
                        <c:v>45246.577060185184</c:v>
                      </c:pt>
                      <c:pt idx="64">
                        <c:v>45246.578182870369</c:v>
                      </c:pt>
                      <c:pt idx="65">
                        <c:v>45246.579363425924</c:v>
                      </c:pt>
                      <c:pt idx="66">
                        <c:v>45246.58048611111</c:v>
                      </c:pt>
                      <c:pt idx="67">
                        <c:v>45246.581631944442</c:v>
                      </c:pt>
                      <c:pt idx="68">
                        <c:v>45246.582743055558</c:v>
                      </c:pt>
                      <c:pt idx="69">
                        <c:v>45246.583923611113</c:v>
                      </c:pt>
                      <c:pt idx="70">
                        <c:v>45246.585069444445</c:v>
                      </c:pt>
                      <c:pt idx="71">
                        <c:v>45246.5862037037</c:v>
                      </c:pt>
                      <c:pt idx="72">
                        <c:v>45246.587337962963</c:v>
                      </c:pt>
                      <c:pt idx="73">
                        <c:v>45246.588530092595</c:v>
                      </c:pt>
                      <c:pt idx="74">
                        <c:v>45246.58966435185</c:v>
                      </c:pt>
                      <c:pt idx="75">
                        <c:v>45246.590798611112</c:v>
                      </c:pt>
                      <c:pt idx="76">
                        <c:v>45246.591932870368</c:v>
                      </c:pt>
                      <c:pt idx="77">
                        <c:v>45246.593124999999</c:v>
                      </c:pt>
                      <c:pt idx="78">
                        <c:v>45246.594259259262</c:v>
                      </c:pt>
                      <c:pt idx="79">
                        <c:v>45246.595393518517</c:v>
                      </c:pt>
                      <c:pt idx="80">
                        <c:v>45246.596516203703</c:v>
                      </c:pt>
                      <c:pt idx="81">
                        <c:v>45246.597719907404</c:v>
                      </c:pt>
                      <c:pt idx="82">
                        <c:v>45246.598865740743</c:v>
                      </c:pt>
                      <c:pt idx="83">
                        <c:v>45246.599988425929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ICP_Internal_Drift!$S$3:$S$86</c15:sqref>
                        </c15:formulaRef>
                      </c:ext>
                    </c:extLst>
                    <c:numCache>
                      <c:formatCode>0.00</c:formatCode>
                      <c:ptCount val="84"/>
                      <c:pt idx="0">
                        <c:v>590.03</c:v>
                      </c:pt>
                      <c:pt idx="1">
                        <c:v>600.04</c:v>
                      </c:pt>
                      <c:pt idx="2">
                        <c:v>1123.42</c:v>
                      </c:pt>
                      <c:pt idx="3">
                        <c:v>763.38</c:v>
                      </c:pt>
                      <c:pt idx="4">
                        <c:v>773.39</c:v>
                      </c:pt>
                      <c:pt idx="5">
                        <c:v>760.05</c:v>
                      </c:pt>
                      <c:pt idx="6">
                        <c:v>796.73</c:v>
                      </c:pt>
                      <c:pt idx="7">
                        <c:v>800.06</c:v>
                      </c:pt>
                      <c:pt idx="8">
                        <c:v>750.05</c:v>
                      </c:pt>
                      <c:pt idx="9">
                        <c:v>886.73</c:v>
                      </c:pt>
                      <c:pt idx="10">
                        <c:v>1060.08</c:v>
                      </c:pt>
                      <c:pt idx="11">
                        <c:v>1190.0999999999999</c:v>
                      </c:pt>
                      <c:pt idx="12">
                        <c:v>1216.77</c:v>
                      </c:pt>
                      <c:pt idx="13">
                        <c:v>1343.46</c:v>
                      </c:pt>
                      <c:pt idx="14">
                        <c:v>2543.67</c:v>
                      </c:pt>
                      <c:pt idx="15">
                        <c:v>3533.95</c:v>
                      </c:pt>
                      <c:pt idx="16">
                        <c:v>3774.06</c:v>
                      </c:pt>
                      <c:pt idx="17">
                        <c:v>3693.99</c:v>
                      </c:pt>
                      <c:pt idx="18">
                        <c:v>3844.04</c:v>
                      </c:pt>
                      <c:pt idx="19">
                        <c:v>4367.57</c:v>
                      </c:pt>
                      <c:pt idx="20">
                        <c:v>4310.87</c:v>
                      </c:pt>
                      <c:pt idx="21">
                        <c:v>4367.54</c:v>
                      </c:pt>
                      <c:pt idx="22">
                        <c:v>4874.45</c:v>
                      </c:pt>
                      <c:pt idx="23">
                        <c:v>4757.67</c:v>
                      </c:pt>
                      <c:pt idx="24">
                        <c:v>4941.3</c:v>
                      </c:pt>
                      <c:pt idx="25">
                        <c:v>4561.59</c:v>
                      </c:pt>
                      <c:pt idx="26">
                        <c:v>4517.6099999999997</c:v>
                      </c:pt>
                      <c:pt idx="27">
                        <c:v>6147.5</c:v>
                      </c:pt>
                      <c:pt idx="28">
                        <c:v>5354.66</c:v>
                      </c:pt>
                      <c:pt idx="29">
                        <c:v>5744.76</c:v>
                      </c:pt>
                      <c:pt idx="30">
                        <c:v>5508.05</c:v>
                      </c:pt>
                      <c:pt idx="31">
                        <c:v>5974.95</c:v>
                      </c:pt>
                      <c:pt idx="32">
                        <c:v>6645.27</c:v>
                      </c:pt>
                      <c:pt idx="33">
                        <c:v>6935.45</c:v>
                      </c:pt>
                      <c:pt idx="34">
                        <c:v>6695.25</c:v>
                      </c:pt>
                      <c:pt idx="35">
                        <c:v>6558.62</c:v>
                      </c:pt>
                      <c:pt idx="36">
                        <c:v>8070.27</c:v>
                      </c:pt>
                      <c:pt idx="37">
                        <c:v>9804.85</c:v>
                      </c:pt>
                      <c:pt idx="38">
                        <c:v>7755.96</c:v>
                      </c:pt>
                      <c:pt idx="39">
                        <c:v>8466.39</c:v>
                      </c:pt>
                      <c:pt idx="40">
                        <c:v>8666.91</c:v>
                      </c:pt>
                      <c:pt idx="41">
                        <c:v>8796.77</c:v>
                      </c:pt>
                      <c:pt idx="42">
                        <c:v>10121.76</c:v>
                      </c:pt>
                      <c:pt idx="43">
                        <c:v>6695.35</c:v>
                      </c:pt>
                      <c:pt idx="44">
                        <c:v>8853.4699999999993</c:v>
                      </c:pt>
                      <c:pt idx="45">
                        <c:v>8516.5300000000007</c:v>
                      </c:pt>
                      <c:pt idx="46">
                        <c:v>14980.13</c:v>
                      </c:pt>
                      <c:pt idx="47">
                        <c:v>8930.02</c:v>
                      </c:pt>
                      <c:pt idx="48">
                        <c:v>8756.6</c:v>
                      </c:pt>
                      <c:pt idx="49">
                        <c:v>8429.8700000000008</c:v>
                      </c:pt>
                      <c:pt idx="50">
                        <c:v>8437.18</c:v>
                      </c:pt>
                      <c:pt idx="51">
                        <c:v>9497.34</c:v>
                      </c:pt>
                      <c:pt idx="52">
                        <c:v>9253.69</c:v>
                      </c:pt>
                      <c:pt idx="53">
                        <c:v>9677.5499999999993</c:v>
                      </c:pt>
                      <c:pt idx="54">
                        <c:v>9814.06</c:v>
                      </c:pt>
                      <c:pt idx="55">
                        <c:v>9413.7199999999993</c:v>
                      </c:pt>
                      <c:pt idx="56">
                        <c:v>8349.65</c:v>
                      </c:pt>
                      <c:pt idx="57">
                        <c:v>9773.94</c:v>
                      </c:pt>
                      <c:pt idx="58">
                        <c:v>9827.4500000000007</c:v>
                      </c:pt>
                      <c:pt idx="59">
                        <c:v>10411.76</c:v>
                      </c:pt>
                      <c:pt idx="60">
                        <c:v>10301.36</c:v>
                      </c:pt>
                      <c:pt idx="61">
                        <c:v>9607.42</c:v>
                      </c:pt>
                      <c:pt idx="62">
                        <c:v>9347.14</c:v>
                      </c:pt>
                      <c:pt idx="63">
                        <c:v>10494.6</c:v>
                      </c:pt>
                      <c:pt idx="64">
                        <c:v>9590.4699999999993</c:v>
                      </c:pt>
                      <c:pt idx="65">
                        <c:v>10461.31</c:v>
                      </c:pt>
                      <c:pt idx="66">
                        <c:v>10401.209999999999</c:v>
                      </c:pt>
                      <c:pt idx="67">
                        <c:v>10454.51</c:v>
                      </c:pt>
                      <c:pt idx="68">
                        <c:v>10594.9</c:v>
                      </c:pt>
                      <c:pt idx="69">
                        <c:v>10160.94</c:v>
                      </c:pt>
                      <c:pt idx="70">
                        <c:v>10247.67</c:v>
                      </c:pt>
                      <c:pt idx="71">
                        <c:v>10214.36</c:v>
                      </c:pt>
                      <c:pt idx="72">
                        <c:v>10528.22</c:v>
                      </c:pt>
                      <c:pt idx="73">
                        <c:v>9507.1299999999992</c:v>
                      </c:pt>
                      <c:pt idx="74">
                        <c:v>9870.9599999999991</c:v>
                      </c:pt>
                      <c:pt idx="75">
                        <c:v>10114.370000000001</c:v>
                      </c:pt>
                      <c:pt idx="76">
                        <c:v>9787.0300000000007</c:v>
                      </c:pt>
                      <c:pt idx="77">
                        <c:v>10696.92</c:v>
                      </c:pt>
                      <c:pt idx="78">
                        <c:v>9403.7099999999991</c:v>
                      </c:pt>
                      <c:pt idx="79">
                        <c:v>9387.18</c:v>
                      </c:pt>
                      <c:pt idx="80">
                        <c:v>8643.16</c:v>
                      </c:pt>
                      <c:pt idx="81">
                        <c:v>10484.790000000001</c:v>
                      </c:pt>
                      <c:pt idx="82">
                        <c:v>9874.17</c:v>
                      </c:pt>
                      <c:pt idx="83">
                        <c:v>9477.1200000000008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249-4FBD-B6B2-AF242E6F3F46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3"/>
          <c:order val="3"/>
          <c:tx>
            <c:strRef>
              <c:f>ICP_Internal_Drift!$J$2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ICP_Internal_Drift!$O$3:$O$86</c:f>
              <c:numCache>
                <c:formatCode>0.00</c:formatCode>
                <c:ptCount val="84"/>
                <c:pt idx="0">
                  <c:v>1075846.0467857143</c:v>
                </c:pt>
                <c:pt idx="1">
                  <c:v>1075846.0467857143</c:v>
                </c:pt>
                <c:pt idx="2">
                  <c:v>1075846.0467857143</c:v>
                </c:pt>
                <c:pt idx="3">
                  <c:v>1075846.0467857143</c:v>
                </c:pt>
                <c:pt idx="4">
                  <c:v>1075846.0467857143</c:v>
                </c:pt>
                <c:pt idx="5">
                  <c:v>1075846.0467857143</c:v>
                </c:pt>
                <c:pt idx="6">
                  <c:v>1075846.0467857143</c:v>
                </c:pt>
                <c:pt idx="7">
                  <c:v>1075846.0467857143</c:v>
                </c:pt>
                <c:pt idx="8">
                  <c:v>1075846.0467857143</c:v>
                </c:pt>
                <c:pt idx="9">
                  <c:v>1075846.0467857143</c:v>
                </c:pt>
                <c:pt idx="10">
                  <c:v>1075846.0467857143</c:v>
                </c:pt>
                <c:pt idx="11">
                  <c:v>1075846.0467857143</c:v>
                </c:pt>
                <c:pt idx="12">
                  <c:v>1075846.0467857143</c:v>
                </c:pt>
                <c:pt idx="13">
                  <c:v>1075846.0467857143</c:v>
                </c:pt>
                <c:pt idx="14">
                  <c:v>1075846.0467857143</c:v>
                </c:pt>
                <c:pt idx="15">
                  <c:v>1075846.0467857143</c:v>
                </c:pt>
                <c:pt idx="16">
                  <c:v>1075846.0467857143</c:v>
                </c:pt>
                <c:pt idx="17">
                  <c:v>1075846.0467857143</c:v>
                </c:pt>
                <c:pt idx="18">
                  <c:v>1075846.0467857143</c:v>
                </c:pt>
                <c:pt idx="19">
                  <c:v>1075846.0467857143</c:v>
                </c:pt>
                <c:pt idx="20">
                  <c:v>1075846.0467857143</c:v>
                </c:pt>
                <c:pt idx="21">
                  <c:v>1075846.0467857143</c:v>
                </c:pt>
                <c:pt idx="22">
                  <c:v>1075846.0467857143</c:v>
                </c:pt>
                <c:pt idx="23">
                  <c:v>1075846.0467857143</c:v>
                </c:pt>
                <c:pt idx="24">
                  <c:v>1075846.0467857143</c:v>
                </c:pt>
                <c:pt idx="25">
                  <c:v>1075846.0467857143</c:v>
                </c:pt>
                <c:pt idx="26">
                  <c:v>1075846.0467857143</c:v>
                </c:pt>
                <c:pt idx="27">
                  <c:v>1075846.0467857143</c:v>
                </c:pt>
                <c:pt idx="28">
                  <c:v>1075846.0467857143</c:v>
                </c:pt>
                <c:pt idx="29">
                  <c:v>1075846.0467857143</c:v>
                </c:pt>
                <c:pt idx="30">
                  <c:v>1075846.0467857143</c:v>
                </c:pt>
                <c:pt idx="31">
                  <c:v>1075846.0467857143</c:v>
                </c:pt>
                <c:pt idx="32">
                  <c:v>1075846.0467857143</c:v>
                </c:pt>
                <c:pt idx="33">
                  <c:v>1075846.0467857143</c:v>
                </c:pt>
                <c:pt idx="34">
                  <c:v>1075846.0467857143</c:v>
                </c:pt>
                <c:pt idx="35">
                  <c:v>1075846.0467857143</c:v>
                </c:pt>
                <c:pt idx="36">
                  <c:v>1075846.0467857143</c:v>
                </c:pt>
                <c:pt idx="37">
                  <c:v>1075846.0467857143</c:v>
                </c:pt>
                <c:pt idx="38">
                  <c:v>1075846.0467857143</c:v>
                </c:pt>
                <c:pt idx="39">
                  <c:v>1075846.0467857143</c:v>
                </c:pt>
                <c:pt idx="40">
                  <c:v>1075846.0467857143</c:v>
                </c:pt>
                <c:pt idx="41">
                  <c:v>1075846.0467857143</c:v>
                </c:pt>
                <c:pt idx="42">
                  <c:v>1075846.0467857143</c:v>
                </c:pt>
                <c:pt idx="43">
                  <c:v>1075846.0467857143</c:v>
                </c:pt>
                <c:pt idx="44">
                  <c:v>1075846.0467857143</c:v>
                </c:pt>
                <c:pt idx="45">
                  <c:v>1075846.0467857143</c:v>
                </c:pt>
                <c:pt idx="46">
                  <c:v>1075846.0467857143</c:v>
                </c:pt>
                <c:pt idx="47">
                  <c:v>1075846.0467857143</c:v>
                </c:pt>
                <c:pt idx="48">
                  <c:v>1075846.0467857143</c:v>
                </c:pt>
                <c:pt idx="49">
                  <c:v>1075846.0467857143</c:v>
                </c:pt>
                <c:pt idx="50">
                  <c:v>1075846.0467857143</c:v>
                </c:pt>
                <c:pt idx="51">
                  <c:v>1075846.0467857143</c:v>
                </c:pt>
                <c:pt idx="52">
                  <c:v>1075846.0467857143</c:v>
                </c:pt>
                <c:pt idx="53">
                  <c:v>1075846.0467857143</c:v>
                </c:pt>
                <c:pt idx="54">
                  <c:v>1075846.0467857143</c:v>
                </c:pt>
                <c:pt idx="55">
                  <c:v>1075846.0467857143</c:v>
                </c:pt>
                <c:pt idx="56">
                  <c:v>1075846.0467857143</c:v>
                </c:pt>
                <c:pt idx="57">
                  <c:v>1075846.0467857143</c:v>
                </c:pt>
                <c:pt idx="58">
                  <c:v>1075846.0467857143</c:v>
                </c:pt>
                <c:pt idx="59">
                  <c:v>1075846.0467857143</c:v>
                </c:pt>
                <c:pt idx="60">
                  <c:v>1075846.0467857143</c:v>
                </c:pt>
                <c:pt idx="61">
                  <c:v>1075846.0467857143</c:v>
                </c:pt>
                <c:pt idx="62">
                  <c:v>1075846.0467857143</c:v>
                </c:pt>
                <c:pt idx="63">
                  <c:v>1075846.0467857143</c:v>
                </c:pt>
                <c:pt idx="64">
                  <c:v>1075846.0467857143</c:v>
                </c:pt>
                <c:pt idx="65">
                  <c:v>1075846.0467857143</c:v>
                </c:pt>
                <c:pt idx="66">
                  <c:v>1075846.0467857143</c:v>
                </c:pt>
                <c:pt idx="67">
                  <c:v>1075846.0467857143</c:v>
                </c:pt>
                <c:pt idx="68">
                  <c:v>1075846.0467857143</c:v>
                </c:pt>
                <c:pt idx="69">
                  <c:v>1075846.0467857143</c:v>
                </c:pt>
                <c:pt idx="70">
                  <c:v>1075846.0467857143</c:v>
                </c:pt>
                <c:pt idx="71">
                  <c:v>1075846.0467857143</c:v>
                </c:pt>
                <c:pt idx="72">
                  <c:v>1075846.0467857143</c:v>
                </c:pt>
                <c:pt idx="73">
                  <c:v>1075846.0467857143</c:v>
                </c:pt>
                <c:pt idx="74">
                  <c:v>1075846.0467857143</c:v>
                </c:pt>
                <c:pt idx="75">
                  <c:v>1075846.0467857143</c:v>
                </c:pt>
                <c:pt idx="76">
                  <c:v>1075846.0467857143</c:v>
                </c:pt>
                <c:pt idx="77">
                  <c:v>1075846.0467857143</c:v>
                </c:pt>
                <c:pt idx="78">
                  <c:v>1075846.0467857143</c:v>
                </c:pt>
                <c:pt idx="79">
                  <c:v>1075846.0467857143</c:v>
                </c:pt>
                <c:pt idx="80">
                  <c:v>1075846.0467857143</c:v>
                </c:pt>
                <c:pt idx="81">
                  <c:v>1075846.0467857143</c:v>
                </c:pt>
                <c:pt idx="82">
                  <c:v>1075846.0467857143</c:v>
                </c:pt>
                <c:pt idx="83">
                  <c:v>1075846.0467857143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49-4FBD-B6B2-AF242E6F3F46}"/>
            </c:ext>
          </c:extLst>
        </c:ser>
        <c:ser>
          <c:idx val="4"/>
          <c:order val="4"/>
          <c:tx>
            <c:strRef>
              <c:f>ICP_Internal_Drift!$K$2</c:f>
              <c:strCache>
                <c:ptCount val="1"/>
                <c:pt idx="0">
                  <c:v>120%Mean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ICP_Internal_Drift!$P$3:$P$86</c:f>
              <c:numCache>
                <c:formatCode>0.00</c:formatCode>
                <c:ptCount val="84"/>
                <c:pt idx="0">
                  <c:v>1291015.2561428573</c:v>
                </c:pt>
                <c:pt idx="1">
                  <c:v>1291015.2561428573</c:v>
                </c:pt>
                <c:pt idx="2">
                  <c:v>1291015.2561428573</c:v>
                </c:pt>
                <c:pt idx="3">
                  <c:v>1291015.2561428573</c:v>
                </c:pt>
                <c:pt idx="4">
                  <c:v>1291015.2561428573</c:v>
                </c:pt>
                <c:pt idx="5">
                  <c:v>1291015.2561428573</c:v>
                </c:pt>
                <c:pt idx="6">
                  <c:v>1291015.2561428573</c:v>
                </c:pt>
                <c:pt idx="7">
                  <c:v>1291015.2561428573</c:v>
                </c:pt>
                <c:pt idx="8">
                  <c:v>1291015.2561428573</c:v>
                </c:pt>
                <c:pt idx="9">
                  <c:v>1291015.2561428573</c:v>
                </c:pt>
                <c:pt idx="10">
                  <c:v>1291015.2561428573</c:v>
                </c:pt>
                <c:pt idx="11">
                  <c:v>1291015.2561428573</c:v>
                </c:pt>
                <c:pt idx="12">
                  <c:v>1291015.2561428573</c:v>
                </c:pt>
                <c:pt idx="13">
                  <c:v>1291015.2561428573</c:v>
                </c:pt>
                <c:pt idx="14">
                  <c:v>1291015.2561428573</c:v>
                </c:pt>
                <c:pt idx="15">
                  <c:v>1291015.2561428573</c:v>
                </c:pt>
                <c:pt idx="16">
                  <c:v>1291015.2561428573</c:v>
                </c:pt>
                <c:pt idx="17">
                  <c:v>1291015.2561428573</c:v>
                </c:pt>
                <c:pt idx="18">
                  <c:v>1291015.2561428573</c:v>
                </c:pt>
                <c:pt idx="19">
                  <c:v>1291015.2561428573</c:v>
                </c:pt>
                <c:pt idx="20">
                  <c:v>1291015.2561428573</c:v>
                </c:pt>
                <c:pt idx="21">
                  <c:v>1291015.2561428573</c:v>
                </c:pt>
                <c:pt idx="22">
                  <c:v>1291015.2561428573</c:v>
                </c:pt>
                <c:pt idx="23">
                  <c:v>1291015.2561428573</c:v>
                </c:pt>
                <c:pt idx="24">
                  <c:v>1291015.2561428573</c:v>
                </c:pt>
                <c:pt idx="25">
                  <c:v>1291015.2561428573</c:v>
                </c:pt>
                <c:pt idx="26">
                  <c:v>1291015.2561428573</c:v>
                </c:pt>
                <c:pt idx="27">
                  <c:v>1291015.2561428573</c:v>
                </c:pt>
                <c:pt idx="28">
                  <c:v>1291015.2561428573</c:v>
                </c:pt>
                <c:pt idx="29">
                  <c:v>1291015.2561428573</c:v>
                </c:pt>
                <c:pt idx="30">
                  <c:v>1291015.2561428573</c:v>
                </c:pt>
                <c:pt idx="31">
                  <c:v>1291015.2561428573</c:v>
                </c:pt>
                <c:pt idx="32">
                  <c:v>1291015.2561428573</c:v>
                </c:pt>
                <c:pt idx="33">
                  <c:v>1291015.2561428573</c:v>
                </c:pt>
                <c:pt idx="34">
                  <c:v>1291015.2561428573</c:v>
                </c:pt>
                <c:pt idx="35">
                  <c:v>1291015.2561428573</c:v>
                </c:pt>
                <c:pt idx="36">
                  <c:v>1291015.2561428573</c:v>
                </c:pt>
                <c:pt idx="37">
                  <c:v>1291015.2561428573</c:v>
                </c:pt>
                <c:pt idx="38">
                  <c:v>1291015.2561428573</c:v>
                </c:pt>
                <c:pt idx="39">
                  <c:v>1291015.2561428573</c:v>
                </c:pt>
                <c:pt idx="40">
                  <c:v>1291015.2561428573</c:v>
                </c:pt>
                <c:pt idx="41">
                  <c:v>1291015.2561428573</c:v>
                </c:pt>
                <c:pt idx="42">
                  <c:v>1291015.2561428573</c:v>
                </c:pt>
                <c:pt idx="43">
                  <c:v>1291015.2561428573</c:v>
                </c:pt>
                <c:pt idx="44">
                  <c:v>1291015.2561428573</c:v>
                </c:pt>
                <c:pt idx="45">
                  <c:v>1291015.2561428573</c:v>
                </c:pt>
                <c:pt idx="46">
                  <c:v>1291015.2561428573</c:v>
                </c:pt>
                <c:pt idx="47">
                  <c:v>1291015.2561428573</c:v>
                </c:pt>
                <c:pt idx="48">
                  <c:v>1291015.2561428573</c:v>
                </c:pt>
                <c:pt idx="49">
                  <c:v>1291015.2561428573</c:v>
                </c:pt>
                <c:pt idx="50">
                  <c:v>1291015.2561428573</c:v>
                </c:pt>
                <c:pt idx="51">
                  <c:v>1291015.2561428573</c:v>
                </c:pt>
                <c:pt idx="52">
                  <c:v>1291015.2561428573</c:v>
                </c:pt>
                <c:pt idx="53">
                  <c:v>1291015.2561428573</c:v>
                </c:pt>
                <c:pt idx="54">
                  <c:v>1291015.2561428573</c:v>
                </c:pt>
                <c:pt idx="55">
                  <c:v>1291015.2561428573</c:v>
                </c:pt>
                <c:pt idx="56">
                  <c:v>1291015.2561428573</c:v>
                </c:pt>
                <c:pt idx="57">
                  <c:v>1291015.2561428573</c:v>
                </c:pt>
                <c:pt idx="58">
                  <c:v>1291015.2561428573</c:v>
                </c:pt>
                <c:pt idx="59">
                  <c:v>1291015.2561428573</c:v>
                </c:pt>
                <c:pt idx="60">
                  <c:v>1291015.2561428573</c:v>
                </c:pt>
                <c:pt idx="61">
                  <c:v>1291015.2561428573</c:v>
                </c:pt>
                <c:pt idx="62">
                  <c:v>1291015.2561428573</c:v>
                </c:pt>
                <c:pt idx="63">
                  <c:v>1291015.2561428573</c:v>
                </c:pt>
                <c:pt idx="64">
                  <c:v>1291015.2561428573</c:v>
                </c:pt>
                <c:pt idx="65">
                  <c:v>1291015.2561428573</c:v>
                </c:pt>
                <c:pt idx="66">
                  <c:v>1291015.2561428573</c:v>
                </c:pt>
                <c:pt idx="67">
                  <c:v>1291015.2561428573</c:v>
                </c:pt>
                <c:pt idx="68">
                  <c:v>1291015.2561428573</c:v>
                </c:pt>
                <c:pt idx="69">
                  <c:v>1291015.2561428573</c:v>
                </c:pt>
                <c:pt idx="70">
                  <c:v>1291015.2561428573</c:v>
                </c:pt>
                <c:pt idx="71">
                  <c:v>1291015.2561428573</c:v>
                </c:pt>
                <c:pt idx="72">
                  <c:v>1291015.2561428573</c:v>
                </c:pt>
                <c:pt idx="73">
                  <c:v>1291015.2561428573</c:v>
                </c:pt>
                <c:pt idx="74">
                  <c:v>1291015.2561428573</c:v>
                </c:pt>
                <c:pt idx="75">
                  <c:v>1291015.2561428573</c:v>
                </c:pt>
                <c:pt idx="76">
                  <c:v>1291015.2561428573</c:v>
                </c:pt>
                <c:pt idx="77">
                  <c:v>1291015.2561428573</c:v>
                </c:pt>
                <c:pt idx="78">
                  <c:v>1291015.2561428573</c:v>
                </c:pt>
                <c:pt idx="79">
                  <c:v>1291015.2561428573</c:v>
                </c:pt>
                <c:pt idx="80">
                  <c:v>1291015.2561428573</c:v>
                </c:pt>
                <c:pt idx="81">
                  <c:v>1291015.2561428573</c:v>
                </c:pt>
                <c:pt idx="82">
                  <c:v>1291015.2561428573</c:v>
                </c:pt>
                <c:pt idx="83">
                  <c:v>1291015.2561428573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49-4FBD-B6B2-AF242E6F3F46}"/>
            </c:ext>
          </c:extLst>
        </c:ser>
        <c:ser>
          <c:idx val="5"/>
          <c:order val="5"/>
          <c:tx>
            <c:strRef>
              <c:f>ICP_Internal_Drift!$L$2</c:f>
              <c:strCache>
                <c:ptCount val="1"/>
                <c:pt idx="0">
                  <c:v>80%Mean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ICP_Internal_Drift!$Q$3:$Q$86</c:f>
              <c:numCache>
                <c:formatCode>0.00</c:formatCode>
                <c:ptCount val="84"/>
                <c:pt idx="0">
                  <c:v>860676.83742857154</c:v>
                </c:pt>
                <c:pt idx="1">
                  <c:v>860676.83742857154</c:v>
                </c:pt>
                <c:pt idx="2">
                  <c:v>860676.83742857154</c:v>
                </c:pt>
                <c:pt idx="3">
                  <c:v>860676.83742857154</c:v>
                </c:pt>
                <c:pt idx="4">
                  <c:v>860676.83742857154</c:v>
                </c:pt>
                <c:pt idx="5">
                  <c:v>860676.83742857154</c:v>
                </c:pt>
                <c:pt idx="6">
                  <c:v>860676.83742857154</c:v>
                </c:pt>
                <c:pt idx="7">
                  <c:v>860676.83742857154</c:v>
                </c:pt>
                <c:pt idx="8">
                  <c:v>860676.83742857154</c:v>
                </c:pt>
                <c:pt idx="9">
                  <c:v>860676.83742857154</c:v>
                </c:pt>
                <c:pt idx="10">
                  <c:v>860676.83742857154</c:v>
                </c:pt>
                <c:pt idx="11">
                  <c:v>860676.83742857154</c:v>
                </c:pt>
                <c:pt idx="12">
                  <c:v>860676.83742857154</c:v>
                </c:pt>
                <c:pt idx="13">
                  <c:v>860676.83742857154</c:v>
                </c:pt>
                <c:pt idx="14">
                  <c:v>860676.83742857154</c:v>
                </c:pt>
                <c:pt idx="15">
                  <c:v>860676.83742857154</c:v>
                </c:pt>
                <c:pt idx="16">
                  <c:v>860676.83742857154</c:v>
                </c:pt>
                <c:pt idx="17">
                  <c:v>860676.83742857154</c:v>
                </c:pt>
                <c:pt idx="18">
                  <c:v>860676.83742857154</c:v>
                </c:pt>
                <c:pt idx="19">
                  <c:v>860676.83742857154</c:v>
                </c:pt>
                <c:pt idx="20">
                  <c:v>860676.83742857154</c:v>
                </c:pt>
                <c:pt idx="21">
                  <c:v>860676.83742857154</c:v>
                </c:pt>
                <c:pt idx="22">
                  <c:v>860676.83742857154</c:v>
                </c:pt>
                <c:pt idx="23">
                  <c:v>860676.83742857154</c:v>
                </c:pt>
                <c:pt idx="24">
                  <c:v>860676.83742857154</c:v>
                </c:pt>
                <c:pt idx="25">
                  <c:v>860676.83742857154</c:v>
                </c:pt>
                <c:pt idx="26">
                  <c:v>860676.83742857154</c:v>
                </c:pt>
                <c:pt idx="27">
                  <c:v>860676.83742857154</c:v>
                </c:pt>
                <c:pt idx="28">
                  <c:v>860676.83742857154</c:v>
                </c:pt>
                <c:pt idx="29">
                  <c:v>860676.83742857154</c:v>
                </c:pt>
                <c:pt idx="30">
                  <c:v>860676.83742857154</c:v>
                </c:pt>
                <c:pt idx="31">
                  <c:v>860676.83742857154</c:v>
                </c:pt>
                <c:pt idx="32">
                  <c:v>860676.83742857154</c:v>
                </c:pt>
                <c:pt idx="33">
                  <c:v>860676.83742857154</c:v>
                </c:pt>
                <c:pt idx="34">
                  <c:v>860676.83742857154</c:v>
                </c:pt>
                <c:pt idx="35">
                  <c:v>860676.83742857154</c:v>
                </c:pt>
                <c:pt idx="36">
                  <c:v>860676.83742857154</c:v>
                </c:pt>
                <c:pt idx="37">
                  <c:v>860676.83742857154</c:v>
                </c:pt>
                <c:pt idx="38">
                  <c:v>860676.83742857154</c:v>
                </c:pt>
                <c:pt idx="39">
                  <c:v>860676.83742857154</c:v>
                </c:pt>
                <c:pt idx="40">
                  <c:v>860676.83742857154</c:v>
                </c:pt>
                <c:pt idx="41">
                  <c:v>860676.83742857154</c:v>
                </c:pt>
                <c:pt idx="42">
                  <c:v>860676.83742857154</c:v>
                </c:pt>
                <c:pt idx="43">
                  <c:v>860676.83742857154</c:v>
                </c:pt>
                <c:pt idx="44">
                  <c:v>860676.83742857154</c:v>
                </c:pt>
                <c:pt idx="45">
                  <c:v>860676.83742857154</c:v>
                </c:pt>
                <c:pt idx="46">
                  <c:v>860676.83742857154</c:v>
                </c:pt>
                <c:pt idx="47">
                  <c:v>860676.83742857154</c:v>
                </c:pt>
                <c:pt idx="48">
                  <c:v>860676.83742857154</c:v>
                </c:pt>
                <c:pt idx="49">
                  <c:v>860676.83742857154</c:v>
                </c:pt>
                <c:pt idx="50">
                  <c:v>860676.83742857154</c:v>
                </c:pt>
                <c:pt idx="51">
                  <c:v>860676.83742857154</c:v>
                </c:pt>
                <c:pt idx="52">
                  <c:v>860676.83742857154</c:v>
                </c:pt>
                <c:pt idx="53">
                  <c:v>860676.83742857154</c:v>
                </c:pt>
                <c:pt idx="54">
                  <c:v>860676.83742857154</c:v>
                </c:pt>
                <c:pt idx="55">
                  <c:v>860676.83742857154</c:v>
                </c:pt>
                <c:pt idx="56">
                  <c:v>860676.83742857154</c:v>
                </c:pt>
                <c:pt idx="57">
                  <c:v>860676.83742857154</c:v>
                </c:pt>
                <c:pt idx="58">
                  <c:v>860676.83742857154</c:v>
                </c:pt>
                <c:pt idx="59">
                  <c:v>860676.83742857154</c:v>
                </c:pt>
                <c:pt idx="60">
                  <c:v>860676.83742857154</c:v>
                </c:pt>
                <c:pt idx="61">
                  <c:v>860676.83742857154</c:v>
                </c:pt>
                <c:pt idx="62">
                  <c:v>860676.83742857154</c:v>
                </c:pt>
                <c:pt idx="63">
                  <c:v>860676.83742857154</c:v>
                </c:pt>
                <c:pt idx="64">
                  <c:v>860676.83742857154</c:v>
                </c:pt>
                <c:pt idx="65">
                  <c:v>860676.83742857154</c:v>
                </c:pt>
                <c:pt idx="66">
                  <c:v>860676.83742857154</c:v>
                </c:pt>
                <c:pt idx="67">
                  <c:v>860676.83742857154</c:v>
                </c:pt>
                <c:pt idx="68">
                  <c:v>860676.83742857154</c:v>
                </c:pt>
                <c:pt idx="69">
                  <c:v>860676.83742857154</c:v>
                </c:pt>
                <c:pt idx="70">
                  <c:v>860676.83742857154</c:v>
                </c:pt>
                <c:pt idx="71">
                  <c:v>860676.83742857154</c:v>
                </c:pt>
                <c:pt idx="72">
                  <c:v>860676.83742857154</c:v>
                </c:pt>
                <c:pt idx="73">
                  <c:v>860676.83742857154</c:v>
                </c:pt>
                <c:pt idx="74">
                  <c:v>860676.83742857154</c:v>
                </c:pt>
                <c:pt idx="75">
                  <c:v>860676.83742857154</c:v>
                </c:pt>
                <c:pt idx="76">
                  <c:v>860676.83742857154</c:v>
                </c:pt>
                <c:pt idx="77">
                  <c:v>860676.83742857154</c:v>
                </c:pt>
                <c:pt idx="78">
                  <c:v>860676.83742857154</c:v>
                </c:pt>
                <c:pt idx="79">
                  <c:v>860676.83742857154</c:v>
                </c:pt>
                <c:pt idx="80">
                  <c:v>860676.83742857154</c:v>
                </c:pt>
                <c:pt idx="81">
                  <c:v>860676.83742857154</c:v>
                </c:pt>
                <c:pt idx="82">
                  <c:v>860676.83742857154</c:v>
                </c:pt>
                <c:pt idx="83">
                  <c:v>860676.83742857154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49-4FBD-B6B2-AF242E6F3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h:mm:ss;@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0.00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47432778338358"/>
          <c:y val="0.63775168371581981"/>
          <c:w val="0.23230344355336882"/>
          <c:h val="0.19460947901099757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Internal Standards</a:t>
            </a:r>
            <a:r>
              <a:rPr lang="en-US" sz="1600"/>
              <a:t> Drift Ir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360930913359552"/>
          <c:y val="5.4978273806280585E-2"/>
          <c:w val="0.83682705935876633"/>
          <c:h val="0.84833853807841519"/>
        </c:manualLayout>
      </c:layout>
      <c:scatterChart>
        <c:scatterStyle val="lineMarker"/>
        <c:varyColors val="0"/>
        <c:ser>
          <c:idx val="2"/>
          <c:order val="2"/>
          <c:tx>
            <c:strRef>
              <c:f>ICP_Internal_Drift!$S$1</c:f>
              <c:strCache>
                <c:ptCount val="1"/>
                <c:pt idx="0">
                  <c:v>193  Ir ( ISTD )  [ He ]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  <c:extLst xmlns:c15="http://schemas.microsoft.com/office/drawing/2012/chart"/>
            </c:numRef>
          </c:xVal>
          <c:yVal>
            <c:numRef>
              <c:f>ICP_Internal_Drift!$S$3:$S$86</c:f>
              <c:numCache>
                <c:formatCode>0.00</c:formatCode>
                <c:ptCount val="84"/>
                <c:pt idx="0">
                  <c:v>590.03</c:v>
                </c:pt>
                <c:pt idx="1">
                  <c:v>600.04</c:v>
                </c:pt>
                <c:pt idx="2">
                  <c:v>1123.42</c:v>
                </c:pt>
                <c:pt idx="3">
                  <c:v>763.38</c:v>
                </c:pt>
                <c:pt idx="4">
                  <c:v>773.39</c:v>
                </c:pt>
                <c:pt idx="5">
                  <c:v>760.05</c:v>
                </c:pt>
                <c:pt idx="6">
                  <c:v>796.73</c:v>
                </c:pt>
                <c:pt idx="7">
                  <c:v>800.06</c:v>
                </c:pt>
                <c:pt idx="8">
                  <c:v>750.05</c:v>
                </c:pt>
                <c:pt idx="9">
                  <c:v>886.73</c:v>
                </c:pt>
                <c:pt idx="10">
                  <c:v>1060.08</c:v>
                </c:pt>
                <c:pt idx="11">
                  <c:v>1190.0999999999999</c:v>
                </c:pt>
                <c:pt idx="12">
                  <c:v>1216.77</c:v>
                </c:pt>
                <c:pt idx="13">
                  <c:v>1343.46</c:v>
                </c:pt>
                <c:pt idx="14">
                  <c:v>2543.67</c:v>
                </c:pt>
                <c:pt idx="15">
                  <c:v>3533.95</c:v>
                </c:pt>
                <c:pt idx="16">
                  <c:v>3774.06</c:v>
                </c:pt>
                <c:pt idx="17">
                  <c:v>3693.99</c:v>
                </c:pt>
                <c:pt idx="18">
                  <c:v>3844.04</c:v>
                </c:pt>
                <c:pt idx="19">
                  <c:v>4367.57</c:v>
                </c:pt>
                <c:pt idx="20">
                  <c:v>4310.87</c:v>
                </c:pt>
                <c:pt idx="21">
                  <c:v>4367.54</c:v>
                </c:pt>
                <c:pt idx="22">
                  <c:v>4874.45</c:v>
                </c:pt>
                <c:pt idx="23">
                  <c:v>4757.67</c:v>
                </c:pt>
                <c:pt idx="24">
                  <c:v>4941.3</c:v>
                </c:pt>
                <c:pt idx="25">
                  <c:v>4561.59</c:v>
                </c:pt>
                <c:pt idx="26">
                  <c:v>4517.6099999999997</c:v>
                </c:pt>
                <c:pt idx="27">
                  <c:v>6147.5</c:v>
                </c:pt>
                <c:pt idx="28">
                  <c:v>5354.66</c:v>
                </c:pt>
                <c:pt idx="29">
                  <c:v>5744.76</c:v>
                </c:pt>
                <c:pt idx="30">
                  <c:v>5508.05</c:v>
                </c:pt>
                <c:pt idx="31">
                  <c:v>5974.95</c:v>
                </c:pt>
                <c:pt idx="32">
                  <c:v>6645.27</c:v>
                </c:pt>
                <c:pt idx="33">
                  <c:v>6935.45</c:v>
                </c:pt>
                <c:pt idx="34">
                  <c:v>6695.25</c:v>
                </c:pt>
                <c:pt idx="35">
                  <c:v>6558.62</c:v>
                </c:pt>
                <c:pt idx="36">
                  <c:v>8070.27</c:v>
                </c:pt>
                <c:pt idx="37">
                  <c:v>9804.85</c:v>
                </c:pt>
                <c:pt idx="38">
                  <c:v>7755.96</c:v>
                </c:pt>
                <c:pt idx="39">
                  <c:v>8466.39</c:v>
                </c:pt>
                <c:pt idx="40">
                  <c:v>8666.91</c:v>
                </c:pt>
                <c:pt idx="41">
                  <c:v>8796.77</c:v>
                </c:pt>
                <c:pt idx="42">
                  <c:v>10121.76</c:v>
                </c:pt>
                <c:pt idx="43">
                  <c:v>6695.35</c:v>
                </c:pt>
                <c:pt idx="44">
                  <c:v>8853.4699999999993</c:v>
                </c:pt>
                <c:pt idx="45">
                  <c:v>8516.5300000000007</c:v>
                </c:pt>
                <c:pt idx="46">
                  <c:v>14980.13</c:v>
                </c:pt>
                <c:pt idx="47">
                  <c:v>8930.02</c:v>
                </c:pt>
                <c:pt idx="48">
                  <c:v>8756.6</c:v>
                </c:pt>
                <c:pt idx="49">
                  <c:v>8429.8700000000008</c:v>
                </c:pt>
                <c:pt idx="50">
                  <c:v>8437.18</c:v>
                </c:pt>
                <c:pt idx="51">
                  <c:v>9497.34</c:v>
                </c:pt>
                <c:pt idx="52">
                  <c:v>9253.69</c:v>
                </c:pt>
                <c:pt idx="53">
                  <c:v>9677.5499999999993</c:v>
                </c:pt>
                <c:pt idx="54">
                  <c:v>9814.06</c:v>
                </c:pt>
                <c:pt idx="55">
                  <c:v>9413.7199999999993</c:v>
                </c:pt>
                <c:pt idx="56">
                  <c:v>8349.65</c:v>
                </c:pt>
                <c:pt idx="57">
                  <c:v>9773.94</c:v>
                </c:pt>
                <c:pt idx="58">
                  <c:v>9827.4500000000007</c:v>
                </c:pt>
                <c:pt idx="59">
                  <c:v>10411.76</c:v>
                </c:pt>
                <c:pt idx="60">
                  <c:v>10301.36</c:v>
                </c:pt>
                <c:pt idx="61">
                  <c:v>9607.42</c:v>
                </c:pt>
                <c:pt idx="62">
                  <c:v>9347.14</c:v>
                </c:pt>
                <c:pt idx="63">
                  <c:v>10494.6</c:v>
                </c:pt>
                <c:pt idx="64">
                  <c:v>9590.4699999999993</c:v>
                </c:pt>
                <c:pt idx="65">
                  <c:v>10461.31</c:v>
                </c:pt>
                <c:pt idx="66">
                  <c:v>10401.209999999999</c:v>
                </c:pt>
                <c:pt idx="67">
                  <c:v>10454.51</c:v>
                </c:pt>
                <c:pt idx="68">
                  <c:v>10594.9</c:v>
                </c:pt>
                <c:pt idx="69">
                  <c:v>10160.94</c:v>
                </c:pt>
                <c:pt idx="70">
                  <c:v>10247.67</c:v>
                </c:pt>
                <c:pt idx="71">
                  <c:v>10214.36</c:v>
                </c:pt>
                <c:pt idx="72">
                  <c:v>10528.22</c:v>
                </c:pt>
                <c:pt idx="73">
                  <c:v>9507.1299999999992</c:v>
                </c:pt>
                <c:pt idx="74">
                  <c:v>9870.9599999999991</c:v>
                </c:pt>
                <c:pt idx="75">
                  <c:v>10114.370000000001</c:v>
                </c:pt>
                <c:pt idx="76">
                  <c:v>9787.0300000000007</c:v>
                </c:pt>
                <c:pt idx="77">
                  <c:v>10696.92</c:v>
                </c:pt>
                <c:pt idx="78">
                  <c:v>9403.7099999999991</c:v>
                </c:pt>
                <c:pt idx="79">
                  <c:v>9387.18</c:v>
                </c:pt>
                <c:pt idx="80">
                  <c:v>8643.16</c:v>
                </c:pt>
                <c:pt idx="81">
                  <c:v>10484.790000000001</c:v>
                </c:pt>
                <c:pt idx="82">
                  <c:v>9874.17</c:v>
                </c:pt>
                <c:pt idx="83">
                  <c:v>9477.1200000000008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CC4-4D99-BFF8-2C83F6749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ICP_Internal_Drift!$I$1</c15:sqref>
                        </c15:formulaRef>
                      </c:ext>
                    </c:extLst>
                    <c:strCache>
                      <c:ptCount val="1"/>
                      <c:pt idx="0">
                        <c:v>45  Sc ( ISTD )  [ He ] </c:v>
                      </c:pt>
                    </c:strCache>
                  </c:strRef>
                </c:tx>
                <c:spPr>
                  <a:ln w="19050">
                    <a:noFill/>
                  </a:ln>
                </c:spPr>
                <c:marker>
                  <c:symbol val="circle"/>
                  <c:size val="5"/>
                </c:marker>
                <c:xVal>
                  <c:numRef>
                    <c:extLst>
                      <c:ext uri="{02D57815-91ED-43cb-92C2-25804820EDAC}">
                        <c15:formulaRef>
                          <c15:sqref>ICP_Internal_Drift!$E$3:$E$86</c15:sqref>
                        </c15:formulaRef>
                      </c:ext>
                    </c:extLst>
                    <c:numCache>
                      <c:formatCode>[$-F400]h:mm:ss\ AM/PM</c:formatCode>
                      <c:ptCount val="84"/>
                      <c:pt idx="0">
                        <c:v>45246.480185185188</c:v>
                      </c:pt>
                      <c:pt idx="1">
                        <c:v>45246.48133101852</c:v>
                      </c:pt>
                      <c:pt idx="2">
                        <c:v>45246.482511574075</c:v>
                      </c:pt>
                      <c:pt idx="3">
                        <c:v>45246.483634259261</c:v>
                      </c:pt>
                      <c:pt idx="4">
                        <c:v>45246.484803240739</c:v>
                      </c:pt>
                      <c:pt idx="5">
                        <c:v>45246.485972222225</c:v>
                      </c:pt>
                      <c:pt idx="6">
                        <c:v>45246.487187500003</c:v>
                      </c:pt>
                      <c:pt idx="7">
                        <c:v>45246.488368055558</c:v>
                      </c:pt>
                      <c:pt idx="8">
                        <c:v>45246.48951388889</c:v>
                      </c:pt>
                      <c:pt idx="9">
                        <c:v>45246.490717592591</c:v>
                      </c:pt>
                      <c:pt idx="10">
                        <c:v>45246.491875</c:v>
                      </c:pt>
                      <c:pt idx="11">
                        <c:v>45246.493032407408</c:v>
                      </c:pt>
                      <c:pt idx="12">
                        <c:v>45246.494143518517</c:v>
                      </c:pt>
                      <c:pt idx="13">
                        <c:v>45246.495312500003</c:v>
                      </c:pt>
                      <c:pt idx="14">
                        <c:v>45246.508993055555</c:v>
                      </c:pt>
                      <c:pt idx="15">
                        <c:v>45246.510115740741</c:v>
                      </c:pt>
                      <c:pt idx="16">
                        <c:v>45246.511261574073</c:v>
                      </c:pt>
                      <c:pt idx="17">
                        <c:v>45246.512361111112</c:v>
                      </c:pt>
                      <c:pt idx="18">
                        <c:v>45246.513541666667</c:v>
                      </c:pt>
                      <c:pt idx="19">
                        <c:v>45246.514664351853</c:v>
                      </c:pt>
                      <c:pt idx="20">
                        <c:v>45246.515787037039</c:v>
                      </c:pt>
                      <c:pt idx="21">
                        <c:v>45246.516909722224</c:v>
                      </c:pt>
                      <c:pt idx="22">
                        <c:v>45246.518078703702</c:v>
                      </c:pt>
                      <c:pt idx="23">
                        <c:v>45246.519201388888</c:v>
                      </c:pt>
                      <c:pt idx="24">
                        <c:v>45246.520312499997</c:v>
                      </c:pt>
                      <c:pt idx="25">
                        <c:v>45246.521423611113</c:v>
                      </c:pt>
                      <c:pt idx="26">
                        <c:v>45246.522592592592</c:v>
                      </c:pt>
                      <c:pt idx="27">
                        <c:v>45246.5237037037</c:v>
                      </c:pt>
                      <c:pt idx="28">
                        <c:v>45246.524826388886</c:v>
                      </c:pt>
                      <c:pt idx="29">
                        <c:v>45246.525949074072</c:v>
                      </c:pt>
                      <c:pt idx="30">
                        <c:v>45246.527129629627</c:v>
                      </c:pt>
                      <c:pt idx="31">
                        <c:v>45246.528263888889</c:v>
                      </c:pt>
                      <c:pt idx="32">
                        <c:v>45246.529386574075</c:v>
                      </c:pt>
                      <c:pt idx="33">
                        <c:v>45246.530509259261</c:v>
                      </c:pt>
                      <c:pt idx="34">
                        <c:v>45246.531678240739</c:v>
                      </c:pt>
                      <c:pt idx="35">
                        <c:v>45246.532812500001</c:v>
                      </c:pt>
                      <c:pt idx="36">
                        <c:v>45246.542581018519</c:v>
                      </c:pt>
                      <c:pt idx="37">
                        <c:v>45246.543715277781</c:v>
                      </c:pt>
                      <c:pt idx="38">
                        <c:v>45246.544849537036</c:v>
                      </c:pt>
                      <c:pt idx="39">
                        <c:v>45246.545972222222</c:v>
                      </c:pt>
                      <c:pt idx="40">
                        <c:v>45246.547164351854</c:v>
                      </c:pt>
                      <c:pt idx="41">
                        <c:v>45246.548414351855</c:v>
                      </c:pt>
                      <c:pt idx="42">
                        <c:v>45246.54954861111</c:v>
                      </c:pt>
                      <c:pt idx="43">
                        <c:v>45246.550740740742</c:v>
                      </c:pt>
                      <c:pt idx="44">
                        <c:v>45246.551874999997</c:v>
                      </c:pt>
                      <c:pt idx="45">
                        <c:v>45246.552974537037</c:v>
                      </c:pt>
                      <c:pt idx="46">
                        <c:v>45246.554108796299</c:v>
                      </c:pt>
                      <c:pt idx="47">
                        <c:v>45246.555289351854</c:v>
                      </c:pt>
                      <c:pt idx="48">
                        <c:v>45246.556423611109</c:v>
                      </c:pt>
                      <c:pt idx="49">
                        <c:v>45246.561041666668</c:v>
                      </c:pt>
                      <c:pt idx="50">
                        <c:v>45246.5621875</c:v>
                      </c:pt>
                      <c:pt idx="51">
                        <c:v>45246.563321759262</c:v>
                      </c:pt>
                      <c:pt idx="52">
                        <c:v>45246.564456018517</c:v>
                      </c:pt>
                      <c:pt idx="53">
                        <c:v>45246.565636574072</c:v>
                      </c:pt>
                      <c:pt idx="54">
                        <c:v>45246.566770833335</c:v>
                      </c:pt>
                      <c:pt idx="55">
                        <c:v>45246.56790509259</c:v>
                      </c:pt>
                      <c:pt idx="56">
                        <c:v>45246.569039351853</c:v>
                      </c:pt>
                      <c:pt idx="57">
                        <c:v>45246.570231481484</c:v>
                      </c:pt>
                      <c:pt idx="58">
                        <c:v>45246.57136574074</c:v>
                      </c:pt>
                      <c:pt idx="59">
                        <c:v>45246.572488425925</c:v>
                      </c:pt>
                      <c:pt idx="60">
                        <c:v>45246.573611111111</c:v>
                      </c:pt>
                      <c:pt idx="61">
                        <c:v>45246.574791666666</c:v>
                      </c:pt>
                      <c:pt idx="62">
                        <c:v>45246.575925925928</c:v>
                      </c:pt>
                      <c:pt idx="63">
                        <c:v>45246.577060185184</c:v>
                      </c:pt>
                      <c:pt idx="64">
                        <c:v>45246.578182870369</c:v>
                      </c:pt>
                      <c:pt idx="65">
                        <c:v>45246.579363425924</c:v>
                      </c:pt>
                      <c:pt idx="66">
                        <c:v>45246.58048611111</c:v>
                      </c:pt>
                      <c:pt idx="67">
                        <c:v>45246.581631944442</c:v>
                      </c:pt>
                      <c:pt idx="68">
                        <c:v>45246.582743055558</c:v>
                      </c:pt>
                      <c:pt idx="69">
                        <c:v>45246.583923611113</c:v>
                      </c:pt>
                      <c:pt idx="70">
                        <c:v>45246.585069444445</c:v>
                      </c:pt>
                      <c:pt idx="71">
                        <c:v>45246.5862037037</c:v>
                      </c:pt>
                      <c:pt idx="72">
                        <c:v>45246.587337962963</c:v>
                      </c:pt>
                      <c:pt idx="73">
                        <c:v>45246.588530092595</c:v>
                      </c:pt>
                      <c:pt idx="74">
                        <c:v>45246.58966435185</c:v>
                      </c:pt>
                      <c:pt idx="75">
                        <c:v>45246.590798611112</c:v>
                      </c:pt>
                      <c:pt idx="76">
                        <c:v>45246.591932870368</c:v>
                      </c:pt>
                      <c:pt idx="77">
                        <c:v>45246.593124999999</c:v>
                      </c:pt>
                      <c:pt idx="78">
                        <c:v>45246.594259259262</c:v>
                      </c:pt>
                      <c:pt idx="79">
                        <c:v>45246.595393518517</c:v>
                      </c:pt>
                      <c:pt idx="80">
                        <c:v>45246.596516203703</c:v>
                      </c:pt>
                      <c:pt idx="81">
                        <c:v>45246.597719907404</c:v>
                      </c:pt>
                      <c:pt idx="82">
                        <c:v>45246.598865740743</c:v>
                      </c:pt>
                      <c:pt idx="83">
                        <c:v>45246.599988425929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ICP_Internal_Drift!$I$3:$I$86</c15:sqref>
                        </c15:formulaRef>
                      </c:ext>
                    </c:extLst>
                    <c:numCache>
                      <c:formatCode>0.00</c:formatCode>
                      <c:ptCount val="84"/>
                      <c:pt idx="0">
                        <c:v>33.33</c:v>
                      </c:pt>
                      <c:pt idx="1">
                        <c:v>46.67</c:v>
                      </c:pt>
                      <c:pt idx="2">
                        <c:v>6288.22</c:v>
                      </c:pt>
                      <c:pt idx="3">
                        <c:v>2707.03</c:v>
                      </c:pt>
                      <c:pt idx="4">
                        <c:v>2790.38</c:v>
                      </c:pt>
                      <c:pt idx="5">
                        <c:v>3660.59</c:v>
                      </c:pt>
                      <c:pt idx="6">
                        <c:v>4290.7700000000004</c:v>
                      </c:pt>
                      <c:pt idx="7">
                        <c:v>5181.09</c:v>
                      </c:pt>
                      <c:pt idx="8">
                        <c:v>6138.16</c:v>
                      </c:pt>
                      <c:pt idx="9">
                        <c:v>7962.46</c:v>
                      </c:pt>
                      <c:pt idx="10">
                        <c:v>10464.120000000001</c:v>
                      </c:pt>
                      <c:pt idx="11">
                        <c:v>12502.48</c:v>
                      </c:pt>
                      <c:pt idx="12">
                        <c:v>15228.45</c:v>
                      </c:pt>
                      <c:pt idx="13">
                        <c:v>17013.830000000002</c:v>
                      </c:pt>
                      <c:pt idx="14">
                        <c:v>44512.22</c:v>
                      </c:pt>
                      <c:pt idx="15">
                        <c:v>49009.82</c:v>
                      </c:pt>
                      <c:pt idx="16">
                        <c:v>51819.63</c:v>
                      </c:pt>
                      <c:pt idx="17">
                        <c:v>55028.08</c:v>
                      </c:pt>
                      <c:pt idx="18">
                        <c:v>55576.77</c:v>
                      </c:pt>
                      <c:pt idx="19">
                        <c:v>60626.77</c:v>
                      </c:pt>
                      <c:pt idx="20">
                        <c:v>63097.18</c:v>
                      </c:pt>
                      <c:pt idx="21">
                        <c:v>65655.210000000006</c:v>
                      </c:pt>
                      <c:pt idx="22">
                        <c:v>69623.44</c:v>
                      </c:pt>
                      <c:pt idx="23">
                        <c:v>72926.19</c:v>
                      </c:pt>
                      <c:pt idx="24">
                        <c:v>77818.2</c:v>
                      </c:pt>
                      <c:pt idx="25">
                        <c:v>78029.210000000006</c:v>
                      </c:pt>
                      <c:pt idx="26">
                        <c:v>81843.399999999994</c:v>
                      </c:pt>
                      <c:pt idx="27">
                        <c:v>85628.41</c:v>
                      </c:pt>
                      <c:pt idx="28">
                        <c:v>89397.19</c:v>
                      </c:pt>
                      <c:pt idx="29">
                        <c:v>93241.1</c:v>
                      </c:pt>
                      <c:pt idx="30">
                        <c:v>92600.92</c:v>
                      </c:pt>
                      <c:pt idx="31">
                        <c:v>100370.84</c:v>
                      </c:pt>
                      <c:pt idx="32">
                        <c:v>104308.38</c:v>
                      </c:pt>
                      <c:pt idx="33">
                        <c:v>109050.73</c:v>
                      </c:pt>
                      <c:pt idx="34">
                        <c:v>112226.79</c:v>
                      </c:pt>
                      <c:pt idx="35">
                        <c:v>114154.89</c:v>
                      </c:pt>
                      <c:pt idx="36">
                        <c:v>133009.35</c:v>
                      </c:pt>
                      <c:pt idx="37">
                        <c:v>132885.17000000001</c:v>
                      </c:pt>
                      <c:pt idx="38">
                        <c:v>136107.75</c:v>
                      </c:pt>
                      <c:pt idx="39">
                        <c:v>141805.26999999999</c:v>
                      </c:pt>
                      <c:pt idx="40">
                        <c:v>144151.39000000001</c:v>
                      </c:pt>
                      <c:pt idx="41">
                        <c:v>143744.62</c:v>
                      </c:pt>
                      <c:pt idx="42">
                        <c:v>161647.97</c:v>
                      </c:pt>
                      <c:pt idx="43">
                        <c:v>147123.74</c:v>
                      </c:pt>
                      <c:pt idx="44">
                        <c:v>167609.71</c:v>
                      </c:pt>
                      <c:pt idx="45">
                        <c:v>168802.42</c:v>
                      </c:pt>
                      <c:pt idx="46">
                        <c:v>154247.57999999999</c:v>
                      </c:pt>
                      <c:pt idx="47">
                        <c:v>170707.37</c:v>
                      </c:pt>
                      <c:pt idx="48">
                        <c:v>170938.9</c:v>
                      </c:pt>
                      <c:pt idx="49">
                        <c:v>170221.05</c:v>
                      </c:pt>
                      <c:pt idx="50">
                        <c:v>171745.36</c:v>
                      </c:pt>
                      <c:pt idx="51">
                        <c:v>176810.27</c:v>
                      </c:pt>
                      <c:pt idx="52">
                        <c:v>180948.75</c:v>
                      </c:pt>
                      <c:pt idx="53">
                        <c:v>181637.13</c:v>
                      </c:pt>
                      <c:pt idx="54">
                        <c:v>179742.8</c:v>
                      </c:pt>
                      <c:pt idx="55">
                        <c:v>184066.88</c:v>
                      </c:pt>
                      <c:pt idx="56">
                        <c:v>190906.8</c:v>
                      </c:pt>
                      <c:pt idx="57">
                        <c:v>190653.1</c:v>
                      </c:pt>
                      <c:pt idx="58">
                        <c:v>192020.93</c:v>
                      </c:pt>
                      <c:pt idx="59">
                        <c:v>192551.42</c:v>
                      </c:pt>
                      <c:pt idx="60">
                        <c:v>196048.52</c:v>
                      </c:pt>
                      <c:pt idx="61">
                        <c:v>188001.7</c:v>
                      </c:pt>
                      <c:pt idx="62">
                        <c:v>191833.94</c:v>
                      </c:pt>
                      <c:pt idx="63">
                        <c:v>199047.63</c:v>
                      </c:pt>
                      <c:pt idx="64">
                        <c:v>196743.36</c:v>
                      </c:pt>
                      <c:pt idx="65">
                        <c:v>197496.38</c:v>
                      </c:pt>
                      <c:pt idx="66">
                        <c:v>201018.26</c:v>
                      </c:pt>
                      <c:pt idx="67">
                        <c:v>201285.28</c:v>
                      </c:pt>
                      <c:pt idx="68">
                        <c:v>201933.85</c:v>
                      </c:pt>
                      <c:pt idx="69">
                        <c:v>200272.37</c:v>
                      </c:pt>
                      <c:pt idx="70">
                        <c:v>203853.83</c:v>
                      </c:pt>
                      <c:pt idx="71">
                        <c:v>202765.11</c:v>
                      </c:pt>
                      <c:pt idx="72">
                        <c:v>202000.13</c:v>
                      </c:pt>
                      <c:pt idx="73">
                        <c:v>197643.47</c:v>
                      </c:pt>
                      <c:pt idx="74">
                        <c:v>199026.16</c:v>
                      </c:pt>
                      <c:pt idx="75">
                        <c:v>200186.8</c:v>
                      </c:pt>
                      <c:pt idx="76">
                        <c:v>199169.21</c:v>
                      </c:pt>
                      <c:pt idx="77">
                        <c:v>200405.89</c:v>
                      </c:pt>
                      <c:pt idx="78">
                        <c:v>202535.27</c:v>
                      </c:pt>
                      <c:pt idx="79">
                        <c:v>200714.18</c:v>
                      </c:pt>
                      <c:pt idx="80">
                        <c:v>180908.09</c:v>
                      </c:pt>
                      <c:pt idx="81">
                        <c:v>198844.31</c:v>
                      </c:pt>
                      <c:pt idx="82">
                        <c:v>198456.42</c:v>
                      </c:pt>
                      <c:pt idx="83">
                        <c:v>200559.28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CC4-4D99-BFF8-2C83F6749A2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Rh</c:v>
                </c:tx>
                <c:marker>
                  <c:symbol val="circle"/>
                  <c:size val="5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ICP_Internal_Drift!$E$3:$E$86</c15:sqref>
                        </c15:formulaRef>
                      </c:ext>
                    </c:extLst>
                    <c:numCache>
                      <c:formatCode>[$-F400]h:mm:ss\ AM/PM</c:formatCode>
                      <c:ptCount val="84"/>
                      <c:pt idx="0">
                        <c:v>45246.480185185188</c:v>
                      </c:pt>
                      <c:pt idx="1">
                        <c:v>45246.48133101852</c:v>
                      </c:pt>
                      <c:pt idx="2">
                        <c:v>45246.482511574075</c:v>
                      </c:pt>
                      <c:pt idx="3">
                        <c:v>45246.483634259261</c:v>
                      </c:pt>
                      <c:pt idx="4">
                        <c:v>45246.484803240739</c:v>
                      </c:pt>
                      <c:pt idx="5">
                        <c:v>45246.485972222225</c:v>
                      </c:pt>
                      <c:pt idx="6">
                        <c:v>45246.487187500003</c:v>
                      </c:pt>
                      <c:pt idx="7">
                        <c:v>45246.488368055558</c:v>
                      </c:pt>
                      <c:pt idx="8">
                        <c:v>45246.48951388889</c:v>
                      </c:pt>
                      <c:pt idx="9">
                        <c:v>45246.490717592591</c:v>
                      </c:pt>
                      <c:pt idx="10">
                        <c:v>45246.491875</c:v>
                      </c:pt>
                      <c:pt idx="11">
                        <c:v>45246.493032407408</c:v>
                      </c:pt>
                      <c:pt idx="12">
                        <c:v>45246.494143518517</c:v>
                      </c:pt>
                      <c:pt idx="13">
                        <c:v>45246.495312500003</c:v>
                      </c:pt>
                      <c:pt idx="14">
                        <c:v>45246.508993055555</c:v>
                      </c:pt>
                      <c:pt idx="15">
                        <c:v>45246.510115740741</c:v>
                      </c:pt>
                      <c:pt idx="16">
                        <c:v>45246.511261574073</c:v>
                      </c:pt>
                      <c:pt idx="17">
                        <c:v>45246.512361111112</c:v>
                      </c:pt>
                      <c:pt idx="18">
                        <c:v>45246.513541666667</c:v>
                      </c:pt>
                      <c:pt idx="19">
                        <c:v>45246.514664351853</c:v>
                      </c:pt>
                      <c:pt idx="20">
                        <c:v>45246.515787037039</c:v>
                      </c:pt>
                      <c:pt idx="21">
                        <c:v>45246.516909722224</c:v>
                      </c:pt>
                      <c:pt idx="22">
                        <c:v>45246.518078703702</c:v>
                      </c:pt>
                      <c:pt idx="23">
                        <c:v>45246.519201388888</c:v>
                      </c:pt>
                      <c:pt idx="24">
                        <c:v>45246.520312499997</c:v>
                      </c:pt>
                      <c:pt idx="25">
                        <c:v>45246.521423611113</c:v>
                      </c:pt>
                      <c:pt idx="26">
                        <c:v>45246.522592592592</c:v>
                      </c:pt>
                      <c:pt idx="27">
                        <c:v>45246.5237037037</c:v>
                      </c:pt>
                      <c:pt idx="28">
                        <c:v>45246.524826388886</c:v>
                      </c:pt>
                      <c:pt idx="29">
                        <c:v>45246.525949074072</c:v>
                      </c:pt>
                      <c:pt idx="30">
                        <c:v>45246.527129629627</c:v>
                      </c:pt>
                      <c:pt idx="31">
                        <c:v>45246.528263888889</c:v>
                      </c:pt>
                      <c:pt idx="32">
                        <c:v>45246.529386574075</c:v>
                      </c:pt>
                      <c:pt idx="33">
                        <c:v>45246.530509259261</c:v>
                      </c:pt>
                      <c:pt idx="34">
                        <c:v>45246.531678240739</c:v>
                      </c:pt>
                      <c:pt idx="35">
                        <c:v>45246.532812500001</c:v>
                      </c:pt>
                      <c:pt idx="36">
                        <c:v>45246.542581018519</c:v>
                      </c:pt>
                      <c:pt idx="37">
                        <c:v>45246.543715277781</c:v>
                      </c:pt>
                      <c:pt idx="38">
                        <c:v>45246.544849537036</c:v>
                      </c:pt>
                      <c:pt idx="39">
                        <c:v>45246.545972222222</c:v>
                      </c:pt>
                      <c:pt idx="40">
                        <c:v>45246.547164351854</c:v>
                      </c:pt>
                      <c:pt idx="41">
                        <c:v>45246.548414351855</c:v>
                      </c:pt>
                      <c:pt idx="42">
                        <c:v>45246.54954861111</c:v>
                      </c:pt>
                      <c:pt idx="43">
                        <c:v>45246.550740740742</c:v>
                      </c:pt>
                      <c:pt idx="44">
                        <c:v>45246.551874999997</c:v>
                      </c:pt>
                      <c:pt idx="45">
                        <c:v>45246.552974537037</c:v>
                      </c:pt>
                      <c:pt idx="46">
                        <c:v>45246.554108796299</c:v>
                      </c:pt>
                      <c:pt idx="47">
                        <c:v>45246.555289351854</c:v>
                      </c:pt>
                      <c:pt idx="48">
                        <c:v>45246.556423611109</c:v>
                      </c:pt>
                      <c:pt idx="49">
                        <c:v>45246.561041666668</c:v>
                      </c:pt>
                      <c:pt idx="50">
                        <c:v>45246.5621875</c:v>
                      </c:pt>
                      <c:pt idx="51">
                        <c:v>45246.563321759262</c:v>
                      </c:pt>
                      <c:pt idx="52">
                        <c:v>45246.564456018517</c:v>
                      </c:pt>
                      <c:pt idx="53">
                        <c:v>45246.565636574072</c:v>
                      </c:pt>
                      <c:pt idx="54">
                        <c:v>45246.566770833335</c:v>
                      </c:pt>
                      <c:pt idx="55">
                        <c:v>45246.56790509259</c:v>
                      </c:pt>
                      <c:pt idx="56">
                        <c:v>45246.569039351853</c:v>
                      </c:pt>
                      <c:pt idx="57">
                        <c:v>45246.570231481484</c:v>
                      </c:pt>
                      <c:pt idx="58">
                        <c:v>45246.57136574074</c:v>
                      </c:pt>
                      <c:pt idx="59">
                        <c:v>45246.572488425925</c:v>
                      </c:pt>
                      <c:pt idx="60">
                        <c:v>45246.573611111111</c:v>
                      </c:pt>
                      <c:pt idx="61">
                        <c:v>45246.574791666666</c:v>
                      </c:pt>
                      <c:pt idx="62">
                        <c:v>45246.575925925928</c:v>
                      </c:pt>
                      <c:pt idx="63">
                        <c:v>45246.577060185184</c:v>
                      </c:pt>
                      <c:pt idx="64">
                        <c:v>45246.578182870369</c:v>
                      </c:pt>
                      <c:pt idx="65">
                        <c:v>45246.579363425924</c:v>
                      </c:pt>
                      <c:pt idx="66">
                        <c:v>45246.58048611111</c:v>
                      </c:pt>
                      <c:pt idx="67">
                        <c:v>45246.581631944442</c:v>
                      </c:pt>
                      <c:pt idx="68">
                        <c:v>45246.582743055558</c:v>
                      </c:pt>
                      <c:pt idx="69">
                        <c:v>45246.583923611113</c:v>
                      </c:pt>
                      <c:pt idx="70">
                        <c:v>45246.585069444445</c:v>
                      </c:pt>
                      <c:pt idx="71">
                        <c:v>45246.5862037037</c:v>
                      </c:pt>
                      <c:pt idx="72">
                        <c:v>45246.587337962963</c:v>
                      </c:pt>
                      <c:pt idx="73">
                        <c:v>45246.588530092595</c:v>
                      </c:pt>
                      <c:pt idx="74">
                        <c:v>45246.58966435185</c:v>
                      </c:pt>
                      <c:pt idx="75">
                        <c:v>45246.590798611112</c:v>
                      </c:pt>
                      <c:pt idx="76">
                        <c:v>45246.591932870368</c:v>
                      </c:pt>
                      <c:pt idx="77">
                        <c:v>45246.593124999999</c:v>
                      </c:pt>
                      <c:pt idx="78">
                        <c:v>45246.594259259262</c:v>
                      </c:pt>
                      <c:pt idx="79">
                        <c:v>45246.595393518517</c:v>
                      </c:pt>
                      <c:pt idx="80">
                        <c:v>45246.596516203703</c:v>
                      </c:pt>
                      <c:pt idx="81">
                        <c:v>45246.597719907404</c:v>
                      </c:pt>
                      <c:pt idx="82">
                        <c:v>45246.598865740743</c:v>
                      </c:pt>
                      <c:pt idx="83">
                        <c:v>45246.599988425929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ICP_Internal_Drift!$N$3:$N$86</c15:sqref>
                        </c15:formulaRef>
                      </c:ext>
                    </c:extLst>
                    <c:numCache>
                      <c:formatCode>0.00</c:formatCode>
                      <c:ptCount val="84"/>
                      <c:pt idx="0">
                        <c:v>110.01</c:v>
                      </c:pt>
                      <c:pt idx="1">
                        <c:v>140</c:v>
                      </c:pt>
                      <c:pt idx="2">
                        <c:v>54600.29</c:v>
                      </c:pt>
                      <c:pt idx="3">
                        <c:v>22608.86</c:v>
                      </c:pt>
                      <c:pt idx="4">
                        <c:v>26562.51</c:v>
                      </c:pt>
                      <c:pt idx="5">
                        <c:v>30998.35</c:v>
                      </c:pt>
                      <c:pt idx="6">
                        <c:v>37624.870000000003</c:v>
                      </c:pt>
                      <c:pt idx="7">
                        <c:v>45672.01</c:v>
                      </c:pt>
                      <c:pt idx="8">
                        <c:v>55741.53</c:v>
                      </c:pt>
                      <c:pt idx="9">
                        <c:v>69284.83</c:v>
                      </c:pt>
                      <c:pt idx="10">
                        <c:v>91541.18</c:v>
                      </c:pt>
                      <c:pt idx="11">
                        <c:v>114602.58</c:v>
                      </c:pt>
                      <c:pt idx="12">
                        <c:v>132257.44</c:v>
                      </c:pt>
                      <c:pt idx="13">
                        <c:v>151788.79999999999</c:v>
                      </c:pt>
                      <c:pt idx="14">
                        <c:v>386224.16</c:v>
                      </c:pt>
                      <c:pt idx="15">
                        <c:v>426554.58</c:v>
                      </c:pt>
                      <c:pt idx="16">
                        <c:v>450635.99</c:v>
                      </c:pt>
                      <c:pt idx="17">
                        <c:v>472463.03</c:v>
                      </c:pt>
                      <c:pt idx="18">
                        <c:v>485245.67</c:v>
                      </c:pt>
                      <c:pt idx="19">
                        <c:v>522091.83</c:v>
                      </c:pt>
                      <c:pt idx="20">
                        <c:v>544848.32999999996</c:v>
                      </c:pt>
                      <c:pt idx="21">
                        <c:v>568173.23</c:v>
                      </c:pt>
                      <c:pt idx="22">
                        <c:v>599584.25</c:v>
                      </c:pt>
                      <c:pt idx="23">
                        <c:v>630367.96</c:v>
                      </c:pt>
                      <c:pt idx="24">
                        <c:v>664066.34</c:v>
                      </c:pt>
                      <c:pt idx="25">
                        <c:v>671680.2</c:v>
                      </c:pt>
                      <c:pt idx="26">
                        <c:v>703381.97</c:v>
                      </c:pt>
                      <c:pt idx="27">
                        <c:v>741157.72</c:v>
                      </c:pt>
                      <c:pt idx="28">
                        <c:v>768011.5</c:v>
                      </c:pt>
                      <c:pt idx="29">
                        <c:v>809082.57</c:v>
                      </c:pt>
                      <c:pt idx="30">
                        <c:v>822596.97</c:v>
                      </c:pt>
                      <c:pt idx="31">
                        <c:v>859080.14</c:v>
                      </c:pt>
                      <c:pt idx="32">
                        <c:v>895850.9</c:v>
                      </c:pt>
                      <c:pt idx="33">
                        <c:v>940440.27</c:v>
                      </c:pt>
                      <c:pt idx="34">
                        <c:v>967091.39</c:v>
                      </c:pt>
                      <c:pt idx="35">
                        <c:v>970176.49</c:v>
                      </c:pt>
                      <c:pt idx="36">
                        <c:v>1152294.72</c:v>
                      </c:pt>
                      <c:pt idx="37">
                        <c:v>1158292.53</c:v>
                      </c:pt>
                      <c:pt idx="38">
                        <c:v>1184898.99</c:v>
                      </c:pt>
                      <c:pt idx="39">
                        <c:v>1228359.3600000001</c:v>
                      </c:pt>
                      <c:pt idx="40">
                        <c:v>1242497.5900000001</c:v>
                      </c:pt>
                      <c:pt idx="41">
                        <c:v>1254960.92</c:v>
                      </c:pt>
                      <c:pt idx="42">
                        <c:v>1389508.76</c:v>
                      </c:pt>
                      <c:pt idx="43">
                        <c:v>1058476.3600000001</c:v>
                      </c:pt>
                      <c:pt idx="44">
                        <c:v>1311511.23</c:v>
                      </c:pt>
                      <c:pt idx="45">
                        <c:v>1339476.1299999999</c:v>
                      </c:pt>
                      <c:pt idx="46">
                        <c:v>1257332.06</c:v>
                      </c:pt>
                      <c:pt idx="47">
                        <c:v>1362452.43</c:v>
                      </c:pt>
                      <c:pt idx="48">
                        <c:v>1374854.82</c:v>
                      </c:pt>
                      <c:pt idx="49">
                        <c:v>1370174.62</c:v>
                      </c:pt>
                      <c:pt idx="50">
                        <c:v>1387237.32</c:v>
                      </c:pt>
                      <c:pt idx="51">
                        <c:v>1458086.75</c:v>
                      </c:pt>
                      <c:pt idx="52">
                        <c:v>1555817.11</c:v>
                      </c:pt>
                      <c:pt idx="53">
                        <c:v>1491518.67</c:v>
                      </c:pt>
                      <c:pt idx="54">
                        <c:v>1508387.89</c:v>
                      </c:pt>
                      <c:pt idx="55">
                        <c:v>1584405.6</c:v>
                      </c:pt>
                      <c:pt idx="56">
                        <c:v>1548428.73</c:v>
                      </c:pt>
                      <c:pt idx="57">
                        <c:v>1647582.68</c:v>
                      </c:pt>
                      <c:pt idx="58">
                        <c:v>1670914.14</c:v>
                      </c:pt>
                      <c:pt idx="59">
                        <c:v>1658047.94</c:v>
                      </c:pt>
                      <c:pt idx="60">
                        <c:v>1691485.24</c:v>
                      </c:pt>
                      <c:pt idx="61">
                        <c:v>1646761.64</c:v>
                      </c:pt>
                      <c:pt idx="62">
                        <c:v>1642997.11</c:v>
                      </c:pt>
                      <c:pt idx="63">
                        <c:v>1711979.04</c:v>
                      </c:pt>
                      <c:pt idx="64">
                        <c:v>1703670.96</c:v>
                      </c:pt>
                      <c:pt idx="65">
                        <c:v>1733122.58</c:v>
                      </c:pt>
                      <c:pt idx="66">
                        <c:v>1742151.74</c:v>
                      </c:pt>
                      <c:pt idx="67">
                        <c:v>1746084.45</c:v>
                      </c:pt>
                      <c:pt idx="68">
                        <c:v>1754612.01</c:v>
                      </c:pt>
                      <c:pt idx="69">
                        <c:v>1741981.95</c:v>
                      </c:pt>
                      <c:pt idx="70">
                        <c:v>1766525.81</c:v>
                      </c:pt>
                      <c:pt idx="71">
                        <c:v>1763836.85</c:v>
                      </c:pt>
                      <c:pt idx="72">
                        <c:v>1724379.35</c:v>
                      </c:pt>
                      <c:pt idx="73">
                        <c:v>1745395.86</c:v>
                      </c:pt>
                      <c:pt idx="74">
                        <c:v>1750624.72</c:v>
                      </c:pt>
                      <c:pt idx="75">
                        <c:v>1743629.45</c:v>
                      </c:pt>
                      <c:pt idx="76">
                        <c:v>1779022.84</c:v>
                      </c:pt>
                      <c:pt idx="77">
                        <c:v>1754948.15</c:v>
                      </c:pt>
                      <c:pt idx="78">
                        <c:v>1744522.37</c:v>
                      </c:pt>
                      <c:pt idx="79">
                        <c:v>1697271.9</c:v>
                      </c:pt>
                      <c:pt idx="80">
                        <c:v>1348858.31</c:v>
                      </c:pt>
                      <c:pt idx="81">
                        <c:v>1831976.22</c:v>
                      </c:pt>
                      <c:pt idx="82">
                        <c:v>1855948.25</c:v>
                      </c:pt>
                      <c:pt idx="83">
                        <c:v>1821425.03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CC4-4D99-BFF8-2C83F6749A2B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3"/>
          <c:order val="3"/>
          <c:tx>
            <c:strRef>
              <c:f>ICP_Internal_Drift!$J$2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ICP_Internal_Drift!$T$3:$T$86</c:f>
              <c:numCache>
                <c:formatCode>0.00</c:formatCode>
                <c:ptCount val="84"/>
                <c:pt idx="0">
                  <c:v>6943.5592857142865</c:v>
                </c:pt>
                <c:pt idx="1">
                  <c:v>6943.5592857142865</c:v>
                </c:pt>
                <c:pt idx="2">
                  <c:v>6943.5592857142865</c:v>
                </c:pt>
                <c:pt idx="3">
                  <c:v>6943.5592857142865</c:v>
                </c:pt>
                <c:pt idx="4">
                  <c:v>6943.5592857142865</c:v>
                </c:pt>
                <c:pt idx="5">
                  <c:v>6943.5592857142865</c:v>
                </c:pt>
                <c:pt idx="6">
                  <c:v>6943.5592857142865</c:v>
                </c:pt>
                <c:pt idx="7">
                  <c:v>6943.5592857142865</c:v>
                </c:pt>
                <c:pt idx="8">
                  <c:v>6943.5592857142865</c:v>
                </c:pt>
                <c:pt idx="9">
                  <c:v>6943.5592857142865</c:v>
                </c:pt>
                <c:pt idx="10">
                  <c:v>6943.5592857142865</c:v>
                </c:pt>
                <c:pt idx="11">
                  <c:v>6943.5592857142865</c:v>
                </c:pt>
                <c:pt idx="12">
                  <c:v>6943.5592857142865</c:v>
                </c:pt>
                <c:pt idx="13">
                  <c:v>6943.5592857142865</c:v>
                </c:pt>
                <c:pt idx="14">
                  <c:v>6943.5592857142865</c:v>
                </c:pt>
                <c:pt idx="15">
                  <c:v>6943.5592857142865</c:v>
                </c:pt>
                <c:pt idx="16">
                  <c:v>6943.5592857142865</c:v>
                </c:pt>
                <c:pt idx="17">
                  <c:v>6943.5592857142865</c:v>
                </c:pt>
                <c:pt idx="18">
                  <c:v>6943.5592857142865</c:v>
                </c:pt>
                <c:pt idx="19">
                  <c:v>6943.5592857142865</c:v>
                </c:pt>
                <c:pt idx="20">
                  <c:v>6943.5592857142865</c:v>
                </c:pt>
                <c:pt idx="21">
                  <c:v>6943.5592857142865</c:v>
                </c:pt>
                <c:pt idx="22">
                  <c:v>6943.5592857142865</c:v>
                </c:pt>
                <c:pt idx="23">
                  <c:v>6943.5592857142865</c:v>
                </c:pt>
                <c:pt idx="24">
                  <c:v>6943.5592857142865</c:v>
                </c:pt>
                <c:pt idx="25">
                  <c:v>6943.5592857142865</c:v>
                </c:pt>
                <c:pt idx="26">
                  <c:v>6943.5592857142865</c:v>
                </c:pt>
                <c:pt idx="27">
                  <c:v>6943.5592857142865</c:v>
                </c:pt>
                <c:pt idx="28">
                  <c:v>6943.5592857142865</c:v>
                </c:pt>
                <c:pt idx="29">
                  <c:v>6943.5592857142865</c:v>
                </c:pt>
                <c:pt idx="30">
                  <c:v>6943.5592857142865</c:v>
                </c:pt>
                <c:pt idx="31">
                  <c:v>6943.5592857142865</c:v>
                </c:pt>
                <c:pt idx="32">
                  <c:v>6943.5592857142865</c:v>
                </c:pt>
                <c:pt idx="33">
                  <c:v>6943.5592857142865</c:v>
                </c:pt>
                <c:pt idx="34">
                  <c:v>6943.5592857142865</c:v>
                </c:pt>
                <c:pt idx="35">
                  <c:v>6943.5592857142865</c:v>
                </c:pt>
                <c:pt idx="36">
                  <c:v>6943.5592857142865</c:v>
                </c:pt>
                <c:pt idx="37">
                  <c:v>6943.5592857142865</c:v>
                </c:pt>
                <c:pt idx="38">
                  <c:v>6943.5592857142865</c:v>
                </c:pt>
                <c:pt idx="39">
                  <c:v>6943.5592857142865</c:v>
                </c:pt>
                <c:pt idx="40">
                  <c:v>6943.5592857142865</c:v>
                </c:pt>
                <c:pt idx="41">
                  <c:v>6943.5592857142865</c:v>
                </c:pt>
                <c:pt idx="42">
                  <c:v>6943.5592857142865</c:v>
                </c:pt>
                <c:pt idx="43">
                  <c:v>6943.5592857142865</c:v>
                </c:pt>
                <c:pt idx="44">
                  <c:v>6943.5592857142865</c:v>
                </c:pt>
                <c:pt idx="45">
                  <c:v>6943.5592857142865</c:v>
                </c:pt>
                <c:pt idx="46">
                  <c:v>6943.5592857142865</c:v>
                </c:pt>
                <c:pt idx="47">
                  <c:v>6943.5592857142865</c:v>
                </c:pt>
                <c:pt idx="48">
                  <c:v>6943.5592857142865</c:v>
                </c:pt>
                <c:pt idx="49">
                  <c:v>6943.5592857142865</c:v>
                </c:pt>
                <c:pt idx="50">
                  <c:v>6943.5592857142865</c:v>
                </c:pt>
                <c:pt idx="51">
                  <c:v>6943.5592857142865</c:v>
                </c:pt>
                <c:pt idx="52">
                  <c:v>6943.5592857142865</c:v>
                </c:pt>
                <c:pt idx="53">
                  <c:v>6943.5592857142865</c:v>
                </c:pt>
                <c:pt idx="54">
                  <c:v>6943.5592857142865</c:v>
                </c:pt>
                <c:pt idx="55">
                  <c:v>6943.5592857142865</c:v>
                </c:pt>
                <c:pt idx="56">
                  <c:v>6943.5592857142865</c:v>
                </c:pt>
                <c:pt idx="57">
                  <c:v>6943.5592857142865</c:v>
                </c:pt>
                <c:pt idx="58">
                  <c:v>6943.5592857142865</c:v>
                </c:pt>
                <c:pt idx="59">
                  <c:v>6943.5592857142865</c:v>
                </c:pt>
                <c:pt idx="60">
                  <c:v>6943.5592857142865</c:v>
                </c:pt>
                <c:pt idx="61">
                  <c:v>6943.5592857142865</c:v>
                </c:pt>
                <c:pt idx="62">
                  <c:v>6943.5592857142865</c:v>
                </c:pt>
                <c:pt idx="63">
                  <c:v>6943.5592857142865</c:v>
                </c:pt>
                <c:pt idx="64">
                  <c:v>6943.5592857142865</c:v>
                </c:pt>
                <c:pt idx="65">
                  <c:v>6943.5592857142865</c:v>
                </c:pt>
                <c:pt idx="66">
                  <c:v>6943.5592857142865</c:v>
                </c:pt>
                <c:pt idx="67">
                  <c:v>6943.5592857142865</c:v>
                </c:pt>
                <c:pt idx="68">
                  <c:v>6943.5592857142865</c:v>
                </c:pt>
                <c:pt idx="69">
                  <c:v>6943.5592857142865</c:v>
                </c:pt>
                <c:pt idx="70">
                  <c:v>6943.5592857142865</c:v>
                </c:pt>
                <c:pt idx="71">
                  <c:v>6943.5592857142865</c:v>
                </c:pt>
                <c:pt idx="72">
                  <c:v>6943.5592857142865</c:v>
                </c:pt>
                <c:pt idx="73">
                  <c:v>6943.5592857142865</c:v>
                </c:pt>
                <c:pt idx="74">
                  <c:v>6943.5592857142865</c:v>
                </c:pt>
                <c:pt idx="75">
                  <c:v>6943.5592857142865</c:v>
                </c:pt>
                <c:pt idx="76">
                  <c:v>6943.5592857142865</c:v>
                </c:pt>
                <c:pt idx="77">
                  <c:v>6943.5592857142865</c:v>
                </c:pt>
                <c:pt idx="78">
                  <c:v>6943.5592857142865</c:v>
                </c:pt>
                <c:pt idx="79">
                  <c:v>6943.5592857142865</c:v>
                </c:pt>
                <c:pt idx="80">
                  <c:v>6943.5592857142865</c:v>
                </c:pt>
                <c:pt idx="81">
                  <c:v>6943.5592857142865</c:v>
                </c:pt>
                <c:pt idx="82">
                  <c:v>6943.5592857142865</c:v>
                </c:pt>
                <c:pt idx="83">
                  <c:v>6943.5592857142865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C4-4D99-BFF8-2C83F6749A2B}"/>
            </c:ext>
          </c:extLst>
        </c:ser>
        <c:ser>
          <c:idx val="4"/>
          <c:order val="4"/>
          <c:tx>
            <c:strRef>
              <c:f>ICP_Internal_Drift!$K$2</c:f>
              <c:strCache>
                <c:ptCount val="1"/>
                <c:pt idx="0">
                  <c:v>120%Mean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ICP_Internal_Drift!$U$3:$U$86</c:f>
              <c:numCache>
                <c:formatCode>0.00</c:formatCode>
                <c:ptCount val="84"/>
                <c:pt idx="0">
                  <c:v>8332.2711428571438</c:v>
                </c:pt>
                <c:pt idx="1">
                  <c:v>8332.2711428571438</c:v>
                </c:pt>
                <c:pt idx="2">
                  <c:v>8332.2711428571438</c:v>
                </c:pt>
                <c:pt idx="3">
                  <c:v>8332.2711428571438</c:v>
                </c:pt>
                <c:pt idx="4">
                  <c:v>8332.2711428571438</c:v>
                </c:pt>
                <c:pt idx="5">
                  <c:v>8332.2711428571438</c:v>
                </c:pt>
                <c:pt idx="6">
                  <c:v>8332.2711428571438</c:v>
                </c:pt>
                <c:pt idx="7">
                  <c:v>8332.2711428571438</c:v>
                </c:pt>
                <c:pt idx="8">
                  <c:v>8332.2711428571438</c:v>
                </c:pt>
                <c:pt idx="9">
                  <c:v>8332.2711428571438</c:v>
                </c:pt>
                <c:pt idx="10">
                  <c:v>8332.2711428571438</c:v>
                </c:pt>
                <c:pt idx="11">
                  <c:v>8332.2711428571438</c:v>
                </c:pt>
                <c:pt idx="12">
                  <c:v>8332.2711428571438</c:v>
                </c:pt>
                <c:pt idx="13">
                  <c:v>8332.2711428571438</c:v>
                </c:pt>
                <c:pt idx="14">
                  <c:v>8332.2711428571438</c:v>
                </c:pt>
                <c:pt idx="15">
                  <c:v>8332.2711428571438</c:v>
                </c:pt>
                <c:pt idx="16">
                  <c:v>8332.2711428571438</c:v>
                </c:pt>
                <c:pt idx="17">
                  <c:v>8332.2711428571438</c:v>
                </c:pt>
                <c:pt idx="18">
                  <c:v>8332.2711428571438</c:v>
                </c:pt>
                <c:pt idx="19">
                  <c:v>8332.2711428571438</c:v>
                </c:pt>
                <c:pt idx="20">
                  <c:v>8332.2711428571438</c:v>
                </c:pt>
                <c:pt idx="21">
                  <c:v>8332.2711428571438</c:v>
                </c:pt>
                <c:pt idx="22">
                  <c:v>8332.2711428571438</c:v>
                </c:pt>
                <c:pt idx="23">
                  <c:v>8332.2711428571438</c:v>
                </c:pt>
                <c:pt idx="24">
                  <c:v>8332.2711428571438</c:v>
                </c:pt>
                <c:pt idx="25">
                  <c:v>8332.2711428571438</c:v>
                </c:pt>
                <c:pt idx="26">
                  <c:v>8332.2711428571438</c:v>
                </c:pt>
                <c:pt idx="27">
                  <c:v>8332.2711428571438</c:v>
                </c:pt>
                <c:pt idx="28">
                  <c:v>8332.2711428571438</c:v>
                </c:pt>
                <c:pt idx="29">
                  <c:v>8332.2711428571438</c:v>
                </c:pt>
                <c:pt idx="30">
                  <c:v>8332.2711428571438</c:v>
                </c:pt>
                <c:pt idx="31">
                  <c:v>8332.2711428571438</c:v>
                </c:pt>
                <c:pt idx="32">
                  <c:v>8332.2711428571438</c:v>
                </c:pt>
                <c:pt idx="33">
                  <c:v>8332.2711428571438</c:v>
                </c:pt>
                <c:pt idx="34">
                  <c:v>8332.2711428571438</c:v>
                </c:pt>
                <c:pt idx="35">
                  <c:v>8332.2711428571438</c:v>
                </c:pt>
                <c:pt idx="36">
                  <c:v>8332.2711428571438</c:v>
                </c:pt>
                <c:pt idx="37">
                  <c:v>8332.2711428571438</c:v>
                </c:pt>
                <c:pt idx="38">
                  <c:v>8332.2711428571438</c:v>
                </c:pt>
                <c:pt idx="39">
                  <c:v>8332.2711428571438</c:v>
                </c:pt>
                <c:pt idx="40">
                  <c:v>8332.2711428571438</c:v>
                </c:pt>
                <c:pt idx="41">
                  <c:v>8332.2711428571438</c:v>
                </c:pt>
                <c:pt idx="42">
                  <c:v>8332.2711428571438</c:v>
                </c:pt>
                <c:pt idx="43">
                  <c:v>8332.2711428571438</c:v>
                </c:pt>
                <c:pt idx="44">
                  <c:v>8332.2711428571438</c:v>
                </c:pt>
                <c:pt idx="45">
                  <c:v>8332.2711428571438</c:v>
                </c:pt>
                <c:pt idx="46">
                  <c:v>8332.2711428571438</c:v>
                </c:pt>
                <c:pt idx="47">
                  <c:v>8332.2711428571438</c:v>
                </c:pt>
                <c:pt idx="48">
                  <c:v>8332.2711428571438</c:v>
                </c:pt>
                <c:pt idx="49">
                  <c:v>8332.2711428571438</c:v>
                </c:pt>
                <c:pt idx="50">
                  <c:v>8332.2711428571438</c:v>
                </c:pt>
                <c:pt idx="51">
                  <c:v>8332.2711428571438</c:v>
                </c:pt>
                <c:pt idx="52">
                  <c:v>8332.2711428571438</c:v>
                </c:pt>
                <c:pt idx="53">
                  <c:v>8332.2711428571438</c:v>
                </c:pt>
                <c:pt idx="54">
                  <c:v>8332.2711428571438</c:v>
                </c:pt>
                <c:pt idx="55">
                  <c:v>8332.2711428571438</c:v>
                </c:pt>
                <c:pt idx="56">
                  <c:v>8332.2711428571438</c:v>
                </c:pt>
                <c:pt idx="57">
                  <c:v>8332.2711428571438</c:v>
                </c:pt>
                <c:pt idx="58">
                  <c:v>8332.2711428571438</c:v>
                </c:pt>
                <c:pt idx="59">
                  <c:v>8332.2711428571438</c:v>
                </c:pt>
                <c:pt idx="60">
                  <c:v>8332.2711428571438</c:v>
                </c:pt>
                <c:pt idx="61">
                  <c:v>8332.2711428571438</c:v>
                </c:pt>
                <c:pt idx="62">
                  <c:v>8332.2711428571438</c:v>
                </c:pt>
                <c:pt idx="63">
                  <c:v>8332.2711428571438</c:v>
                </c:pt>
                <c:pt idx="64">
                  <c:v>8332.2711428571438</c:v>
                </c:pt>
                <c:pt idx="65">
                  <c:v>8332.2711428571438</c:v>
                </c:pt>
                <c:pt idx="66">
                  <c:v>8332.2711428571438</c:v>
                </c:pt>
                <c:pt idx="67">
                  <c:v>8332.2711428571438</c:v>
                </c:pt>
                <c:pt idx="68">
                  <c:v>8332.2711428571438</c:v>
                </c:pt>
                <c:pt idx="69">
                  <c:v>8332.2711428571438</c:v>
                </c:pt>
                <c:pt idx="70">
                  <c:v>8332.2711428571438</c:v>
                </c:pt>
                <c:pt idx="71">
                  <c:v>8332.2711428571438</c:v>
                </c:pt>
                <c:pt idx="72">
                  <c:v>8332.2711428571438</c:v>
                </c:pt>
                <c:pt idx="73">
                  <c:v>8332.2711428571438</c:v>
                </c:pt>
                <c:pt idx="74">
                  <c:v>8332.2711428571438</c:v>
                </c:pt>
                <c:pt idx="75">
                  <c:v>8332.2711428571438</c:v>
                </c:pt>
                <c:pt idx="76">
                  <c:v>8332.2711428571438</c:v>
                </c:pt>
                <c:pt idx="77">
                  <c:v>8332.2711428571438</c:v>
                </c:pt>
                <c:pt idx="78">
                  <c:v>8332.2711428571438</c:v>
                </c:pt>
                <c:pt idx="79">
                  <c:v>8332.2711428571438</c:v>
                </c:pt>
                <c:pt idx="80">
                  <c:v>8332.2711428571438</c:v>
                </c:pt>
                <c:pt idx="81">
                  <c:v>8332.2711428571438</c:v>
                </c:pt>
                <c:pt idx="82">
                  <c:v>8332.2711428571438</c:v>
                </c:pt>
                <c:pt idx="83">
                  <c:v>8332.2711428571438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C4-4D99-BFF8-2C83F6749A2B}"/>
            </c:ext>
          </c:extLst>
        </c:ser>
        <c:ser>
          <c:idx val="5"/>
          <c:order val="5"/>
          <c:tx>
            <c:strRef>
              <c:f>ICP_Internal_Drift!$L$2</c:f>
              <c:strCache>
                <c:ptCount val="1"/>
                <c:pt idx="0">
                  <c:v>80%Mean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ICP_Internal_Drift!$E$3:$E$86</c:f>
              <c:numCache>
                <c:formatCode>[$-F400]h:mm:ss\ AM/PM</c:formatCode>
                <c:ptCount val="84"/>
                <c:pt idx="0">
                  <c:v>45246.480185185188</c:v>
                </c:pt>
                <c:pt idx="1">
                  <c:v>45246.48133101852</c:v>
                </c:pt>
                <c:pt idx="2">
                  <c:v>45246.482511574075</c:v>
                </c:pt>
                <c:pt idx="3">
                  <c:v>45246.483634259261</c:v>
                </c:pt>
                <c:pt idx="4">
                  <c:v>45246.484803240739</c:v>
                </c:pt>
                <c:pt idx="5">
                  <c:v>45246.485972222225</c:v>
                </c:pt>
                <c:pt idx="6">
                  <c:v>45246.487187500003</c:v>
                </c:pt>
                <c:pt idx="7">
                  <c:v>45246.488368055558</c:v>
                </c:pt>
                <c:pt idx="8">
                  <c:v>45246.48951388889</c:v>
                </c:pt>
                <c:pt idx="9">
                  <c:v>45246.490717592591</c:v>
                </c:pt>
                <c:pt idx="10">
                  <c:v>45246.491875</c:v>
                </c:pt>
                <c:pt idx="11">
                  <c:v>45246.493032407408</c:v>
                </c:pt>
                <c:pt idx="12">
                  <c:v>45246.494143518517</c:v>
                </c:pt>
                <c:pt idx="13">
                  <c:v>45246.495312500003</c:v>
                </c:pt>
                <c:pt idx="14">
                  <c:v>45246.508993055555</c:v>
                </c:pt>
                <c:pt idx="15">
                  <c:v>45246.510115740741</c:v>
                </c:pt>
                <c:pt idx="16">
                  <c:v>45246.511261574073</c:v>
                </c:pt>
                <c:pt idx="17">
                  <c:v>45246.512361111112</c:v>
                </c:pt>
                <c:pt idx="18">
                  <c:v>45246.513541666667</c:v>
                </c:pt>
                <c:pt idx="19">
                  <c:v>45246.514664351853</c:v>
                </c:pt>
                <c:pt idx="20">
                  <c:v>45246.515787037039</c:v>
                </c:pt>
                <c:pt idx="21">
                  <c:v>45246.516909722224</c:v>
                </c:pt>
                <c:pt idx="22">
                  <c:v>45246.518078703702</c:v>
                </c:pt>
                <c:pt idx="23">
                  <c:v>45246.519201388888</c:v>
                </c:pt>
                <c:pt idx="24">
                  <c:v>45246.520312499997</c:v>
                </c:pt>
                <c:pt idx="25">
                  <c:v>45246.521423611113</c:v>
                </c:pt>
                <c:pt idx="26">
                  <c:v>45246.522592592592</c:v>
                </c:pt>
                <c:pt idx="27">
                  <c:v>45246.5237037037</c:v>
                </c:pt>
                <c:pt idx="28">
                  <c:v>45246.524826388886</c:v>
                </c:pt>
                <c:pt idx="29">
                  <c:v>45246.525949074072</c:v>
                </c:pt>
                <c:pt idx="30">
                  <c:v>45246.527129629627</c:v>
                </c:pt>
                <c:pt idx="31">
                  <c:v>45246.528263888889</c:v>
                </c:pt>
                <c:pt idx="32">
                  <c:v>45246.529386574075</c:v>
                </c:pt>
                <c:pt idx="33">
                  <c:v>45246.530509259261</c:v>
                </c:pt>
                <c:pt idx="34">
                  <c:v>45246.531678240739</c:v>
                </c:pt>
                <c:pt idx="35">
                  <c:v>45246.532812500001</c:v>
                </c:pt>
                <c:pt idx="36">
                  <c:v>45246.542581018519</c:v>
                </c:pt>
                <c:pt idx="37">
                  <c:v>45246.543715277781</c:v>
                </c:pt>
                <c:pt idx="38">
                  <c:v>45246.544849537036</c:v>
                </c:pt>
                <c:pt idx="39">
                  <c:v>45246.545972222222</c:v>
                </c:pt>
                <c:pt idx="40">
                  <c:v>45246.547164351854</c:v>
                </c:pt>
                <c:pt idx="41">
                  <c:v>45246.548414351855</c:v>
                </c:pt>
                <c:pt idx="42">
                  <c:v>45246.54954861111</c:v>
                </c:pt>
                <c:pt idx="43">
                  <c:v>45246.550740740742</c:v>
                </c:pt>
                <c:pt idx="44">
                  <c:v>45246.551874999997</c:v>
                </c:pt>
                <c:pt idx="45">
                  <c:v>45246.552974537037</c:v>
                </c:pt>
                <c:pt idx="46">
                  <c:v>45246.554108796299</c:v>
                </c:pt>
                <c:pt idx="47">
                  <c:v>45246.555289351854</c:v>
                </c:pt>
                <c:pt idx="48">
                  <c:v>45246.556423611109</c:v>
                </c:pt>
                <c:pt idx="49">
                  <c:v>45246.561041666668</c:v>
                </c:pt>
                <c:pt idx="50">
                  <c:v>45246.5621875</c:v>
                </c:pt>
                <c:pt idx="51">
                  <c:v>45246.563321759262</c:v>
                </c:pt>
                <c:pt idx="52">
                  <c:v>45246.564456018517</c:v>
                </c:pt>
                <c:pt idx="53">
                  <c:v>45246.565636574072</c:v>
                </c:pt>
                <c:pt idx="54">
                  <c:v>45246.566770833335</c:v>
                </c:pt>
                <c:pt idx="55">
                  <c:v>45246.56790509259</c:v>
                </c:pt>
                <c:pt idx="56">
                  <c:v>45246.569039351853</c:v>
                </c:pt>
                <c:pt idx="57">
                  <c:v>45246.570231481484</c:v>
                </c:pt>
                <c:pt idx="58">
                  <c:v>45246.57136574074</c:v>
                </c:pt>
                <c:pt idx="59">
                  <c:v>45246.572488425925</c:v>
                </c:pt>
                <c:pt idx="60">
                  <c:v>45246.573611111111</c:v>
                </c:pt>
                <c:pt idx="61">
                  <c:v>45246.574791666666</c:v>
                </c:pt>
                <c:pt idx="62">
                  <c:v>45246.575925925928</c:v>
                </c:pt>
                <c:pt idx="63">
                  <c:v>45246.577060185184</c:v>
                </c:pt>
                <c:pt idx="64">
                  <c:v>45246.578182870369</c:v>
                </c:pt>
                <c:pt idx="65">
                  <c:v>45246.579363425924</c:v>
                </c:pt>
                <c:pt idx="66">
                  <c:v>45246.58048611111</c:v>
                </c:pt>
                <c:pt idx="67">
                  <c:v>45246.581631944442</c:v>
                </c:pt>
                <c:pt idx="68">
                  <c:v>45246.582743055558</c:v>
                </c:pt>
                <c:pt idx="69">
                  <c:v>45246.583923611113</c:v>
                </c:pt>
                <c:pt idx="70">
                  <c:v>45246.585069444445</c:v>
                </c:pt>
                <c:pt idx="71">
                  <c:v>45246.5862037037</c:v>
                </c:pt>
                <c:pt idx="72">
                  <c:v>45246.587337962963</c:v>
                </c:pt>
                <c:pt idx="73">
                  <c:v>45246.588530092595</c:v>
                </c:pt>
                <c:pt idx="74">
                  <c:v>45246.58966435185</c:v>
                </c:pt>
                <c:pt idx="75">
                  <c:v>45246.590798611112</c:v>
                </c:pt>
                <c:pt idx="76">
                  <c:v>45246.591932870368</c:v>
                </c:pt>
                <c:pt idx="77">
                  <c:v>45246.593124999999</c:v>
                </c:pt>
                <c:pt idx="78">
                  <c:v>45246.594259259262</c:v>
                </c:pt>
                <c:pt idx="79">
                  <c:v>45246.595393518517</c:v>
                </c:pt>
                <c:pt idx="80">
                  <c:v>45246.596516203703</c:v>
                </c:pt>
                <c:pt idx="81">
                  <c:v>45246.597719907404</c:v>
                </c:pt>
                <c:pt idx="82">
                  <c:v>45246.598865740743</c:v>
                </c:pt>
                <c:pt idx="83">
                  <c:v>45246.599988425929</c:v>
                </c:pt>
              </c:numCache>
            </c:numRef>
          </c:xVal>
          <c:yVal>
            <c:numRef>
              <c:f>ICP_Internal_Drift!$V$3:$V$86</c:f>
              <c:numCache>
                <c:formatCode>0.00</c:formatCode>
                <c:ptCount val="84"/>
                <c:pt idx="0">
                  <c:v>5554.8474285714292</c:v>
                </c:pt>
                <c:pt idx="1">
                  <c:v>5554.8474285714292</c:v>
                </c:pt>
                <c:pt idx="2">
                  <c:v>5554.8474285714292</c:v>
                </c:pt>
                <c:pt idx="3">
                  <c:v>5554.8474285714292</c:v>
                </c:pt>
                <c:pt idx="4">
                  <c:v>5554.8474285714292</c:v>
                </c:pt>
                <c:pt idx="5">
                  <c:v>5554.8474285714292</c:v>
                </c:pt>
                <c:pt idx="6">
                  <c:v>5554.8474285714292</c:v>
                </c:pt>
                <c:pt idx="7">
                  <c:v>5554.8474285714292</c:v>
                </c:pt>
                <c:pt idx="8">
                  <c:v>5554.8474285714292</c:v>
                </c:pt>
                <c:pt idx="9">
                  <c:v>5554.8474285714292</c:v>
                </c:pt>
                <c:pt idx="10">
                  <c:v>5554.8474285714292</c:v>
                </c:pt>
                <c:pt idx="11">
                  <c:v>5554.8474285714292</c:v>
                </c:pt>
                <c:pt idx="12">
                  <c:v>5554.8474285714292</c:v>
                </c:pt>
                <c:pt idx="13">
                  <c:v>5554.8474285714292</c:v>
                </c:pt>
                <c:pt idx="14">
                  <c:v>5554.8474285714292</c:v>
                </c:pt>
                <c:pt idx="15">
                  <c:v>5554.8474285714292</c:v>
                </c:pt>
                <c:pt idx="16">
                  <c:v>5554.8474285714292</c:v>
                </c:pt>
                <c:pt idx="17">
                  <c:v>5554.8474285714292</c:v>
                </c:pt>
                <c:pt idx="18">
                  <c:v>5554.8474285714292</c:v>
                </c:pt>
                <c:pt idx="19">
                  <c:v>5554.8474285714292</c:v>
                </c:pt>
                <c:pt idx="20">
                  <c:v>5554.8474285714292</c:v>
                </c:pt>
                <c:pt idx="21">
                  <c:v>5554.8474285714292</c:v>
                </c:pt>
                <c:pt idx="22">
                  <c:v>5554.8474285714292</c:v>
                </c:pt>
                <c:pt idx="23">
                  <c:v>5554.8474285714292</c:v>
                </c:pt>
                <c:pt idx="24">
                  <c:v>5554.8474285714292</c:v>
                </c:pt>
                <c:pt idx="25">
                  <c:v>5554.8474285714292</c:v>
                </c:pt>
                <c:pt idx="26">
                  <c:v>5554.8474285714292</c:v>
                </c:pt>
                <c:pt idx="27">
                  <c:v>5554.8474285714292</c:v>
                </c:pt>
                <c:pt idx="28">
                  <c:v>5554.8474285714292</c:v>
                </c:pt>
                <c:pt idx="29">
                  <c:v>5554.8474285714292</c:v>
                </c:pt>
                <c:pt idx="30">
                  <c:v>5554.8474285714292</c:v>
                </c:pt>
                <c:pt idx="31">
                  <c:v>5554.8474285714292</c:v>
                </c:pt>
                <c:pt idx="32">
                  <c:v>5554.8474285714292</c:v>
                </c:pt>
                <c:pt idx="33">
                  <c:v>5554.8474285714292</c:v>
                </c:pt>
                <c:pt idx="34">
                  <c:v>5554.8474285714292</c:v>
                </c:pt>
                <c:pt idx="35">
                  <c:v>5554.8474285714292</c:v>
                </c:pt>
                <c:pt idx="36">
                  <c:v>5554.8474285714292</c:v>
                </c:pt>
                <c:pt idx="37">
                  <c:v>5554.8474285714292</c:v>
                </c:pt>
                <c:pt idx="38">
                  <c:v>5554.8474285714292</c:v>
                </c:pt>
                <c:pt idx="39">
                  <c:v>5554.8474285714292</c:v>
                </c:pt>
                <c:pt idx="40">
                  <c:v>5554.8474285714292</c:v>
                </c:pt>
                <c:pt idx="41">
                  <c:v>5554.8474285714292</c:v>
                </c:pt>
                <c:pt idx="42">
                  <c:v>5554.8474285714292</c:v>
                </c:pt>
                <c:pt idx="43">
                  <c:v>5554.8474285714292</c:v>
                </c:pt>
                <c:pt idx="44">
                  <c:v>5554.8474285714292</c:v>
                </c:pt>
                <c:pt idx="45">
                  <c:v>5554.8474285714292</c:v>
                </c:pt>
                <c:pt idx="46">
                  <c:v>5554.8474285714292</c:v>
                </c:pt>
                <c:pt idx="47">
                  <c:v>5554.8474285714292</c:v>
                </c:pt>
                <c:pt idx="48">
                  <c:v>5554.8474285714292</c:v>
                </c:pt>
                <c:pt idx="49">
                  <c:v>5554.8474285714292</c:v>
                </c:pt>
                <c:pt idx="50">
                  <c:v>5554.8474285714292</c:v>
                </c:pt>
                <c:pt idx="51">
                  <c:v>5554.8474285714292</c:v>
                </c:pt>
                <c:pt idx="52">
                  <c:v>5554.8474285714292</c:v>
                </c:pt>
                <c:pt idx="53">
                  <c:v>5554.8474285714292</c:v>
                </c:pt>
                <c:pt idx="54">
                  <c:v>5554.8474285714292</c:v>
                </c:pt>
                <c:pt idx="55">
                  <c:v>5554.8474285714292</c:v>
                </c:pt>
                <c:pt idx="56">
                  <c:v>5554.8474285714292</c:v>
                </c:pt>
                <c:pt idx="57">
                  <c:v>5554.8474285714292</c:v>
                </c:pt>
                <c:pt idx="58">
                  <c:v>5554.8474285714292</c:v>
                </c:pt>
                <c:pt idx="59">
                  <c:v>5554.8474285714292</c:v>
                </c:pt>
                <c:pt idx="60">
                  <c:v>5554.8474285714292</c:v>
                </c:pt>
                <c:pt idx="61">
                  <c:v>5554.8474285714292</c:v>
                </c:pt>
                <c:pt idx="62">
                  <c:v>5554.8474285714292</c:v>
                </c:pt>
                <c:pt idx="63">
                  <c:v>5554.8474285714292</c:v>
                </c:pt>
                <c:pt idx="64">
                  <c:v>5554.8474285714292</c:v>
                </c:pt>
                <c:pt idx="65">
                  <c:v>5554.8474285714292</c:v>
                </c:pt>
                <c:pt idx="66">
                  <c:v>5554.8474285714292</c:v>
                </c:pt>
                <c:pt idx="67">
                  <c:v>5554.8474285714292</c:v>
                </c:pt>
                <c:pt idx="68">
                  <c:v>5554.8474285714292</c:v>
                </c:pt>
                <c:pt idx="69">
                  <c:v>5554.8474285714292</c:v>
                </c:pt>
                <c:pt idx="70">
                  <c:v>5554.8474285714292</c:v>
                </c:pt>
                <c:pt idx="71">
                  <c:v>5554.8474285714292</c:v>
                </c:pt>
                <c:pt idx="72">
                  <c:v>5554.8474285714292</c:v>
                </c:pt>
                <c:pt idx="73">
                  <c:v>5554.8474285714292</c:v>
                </c:pt>
                <c:pt idx="74">
                  <c:v>5554.8474285714292</c:v>
                </c:pt>
                <c:pt idx="75">
                  <c:v>5554.8474285714292</c:v>
                </c:pt>
                <c:pt idx="76">
                  <c:v>5554.8474285714292</c:v>
                </c:pt>
                <c:pt idx="77">
                  <c:v>5554.8474285714292</c:v>
                </c:pt>
                <c:pt idx="78">
                  <c:v>5554.8474285714292</c:v>
                </c:pt>
                <c:pt idx="79">
                  <c:v>5554.8474285714292</c:v>
                </c:pt>
                <c:pt idx="80">
                  <c:v>5554.8474285714292</c:v>
                </c:pt>
                <c:pt idx="81">
                  <c:v>5554.8474285714292</c:v>
                </c:pt>
                <c:pt idx="82">
                  <c:v>5554.8474285714292</c:v>
                </c:pt>
                <c:pt idx="83">
                  <c:v>5554.8474285714292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CC4-4D99-BFF8-2C83F6749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h:mm:ss;@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0.00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159197995713911"/>
          <c:y val="0.65843136768615884"/>
          <c:w val="0.18744069476121208"/>
          <c:h val="0.1612038356742961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Mn Cal Checks 100 ppb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56910074757788"/>
          <c:y val="5.7854076747854144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strRef>
              <c:f>ICP_Mn_Drift!$AB$2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ICP_Mn_Drift!$AB$3:$AB$8</c:f>
              <c:numCache>
                <c:formatCode>General</c:formatCode>
                <c:ptCount val="6"/>
                <c:pt idx="0">
                  <c:v>1025652.61</c:v>
                </c:pt>
                <c:pt idx="1">
                  <c:v>1025652.61</c:v>
                </c:pt>
                <c:pt idx="2">
                  <c:v>1025652.61</c:v>
                </c:pt>
                <c:pt idx="3">
                  <c:v>1025652.61</c:v>
                </c:pt>
                <c:pt idx="4">
                  <c:v>1025652.61</c:v>
                </c:pt>
                <c:pt idx="5">
                  <c:v>1025652.61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55CF-407C-BC5A-7C1948E18378}"/>
            </c:ext>
          </c:extLst>
        </c:ser>
        <c:ser>
          <c:idx val="7"/>
          <c:order val="1"/>
          <c:tx>
            <c:strRef>
              <c:f>ICP_Mn_Drift!$AC$2</c:f>
              <c:strCache>
                <c:ptCount val="1"/>
                <c:pt idx="0">
                  <c:v>120%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ICP_Mn_Drift!$AC$3:$AC$8</c:f>
              <c:numCache>
                <c:formatCode>General</c:formatCode>
                <c:ptCount val="6"/>
                <c:pt idx="0">
                  <c:v>1230783.132</c:v>
                </c:pt>
                <c:pt idx="1">
                  <c:v>1230783.132</c:v>
                </c:pt>
                <c:pt idx="2">
                  <c:v>1230783.132</c:v>
                </c:pt>
                <c:pt idx="3">
                  <c:v>1230783.132</c:v>
                </c:pt>
                <c:pt idx="4">
                  <c:v>1230783.132</c:v>
                </c:pt>
                <c:pt idx="5">
                  <c:v>1230783.132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55CF-407C-BC5A-7C1948E18378}"/>
            </c:ext>
          </c:extLst>
        </c:ser>
        <c:ser>
          <c:idx val="8"/>
          <c:order val="2"/>
          <c:tx>
            <c:strRef>
              <c:f>ICP_Mn_Drift!$AD$2</c:f>
              <c:strCache>
                <c:ptCount val="1"/>
                <c:pt idx="0">
                  <c:v>80%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ICP_Mn_Drift!$AD$3:$AD$8</c:f>
              <c:numCache>
                <c:formatCode>General</c:formatCode>
                <c:ptCount val="6"/>
                <c:pt idx="0">
                  <c:v>820522.08799999999</c:v>
                </c:pt>
                <c:pt idx="1">
                  <c:v>820522.08799999999</c:v>
                </c:pt>
                <c:pt idx="2">
                  <c:v>820522.08799999999</c:v>
                </c:pt>
                <c:pt idx="3">
                  <c:v>820522.08799999999</c:v>
                </c:pt>
                <c:pt idx="4">
                  <c:v>820522.08799999999</c:v>
                </c:pt>
                <c:pt idx="5">
                  <c:v>820522.08799999999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55CF-407C-BC5A-7C1948E18378}"/>
            </c:ext>
          </c:extLst>
        </c:ser>
        <c:ser>
          <c:idx val="9"/>
          <c:order val="3"/>
          <c:tx>
            <c:strRef>
              <c:f>ICP_Mn_Drift!$AE$2</c:f>
              <c:strCache>
                <c:ptCount val="1"/>
                <c:pt idx="0">
                  <c:v>110%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ICP_Mn_Drift!$AE$3:$AE$8</c:f>
              <c:numCache>
                <c:formatCode>General</c:formatCode>
                <c:ptCount val="6"/>
                <c:pt idx="0">
                  <c:v>1128217.871</c:v>
                </c:pt>
                <c:pt idx="1">
                  <c:v>1128217.871</c:v>
                </c:pt>
                <c:pt idx="2">
                  <c:v>1128217.871</c:v>
                </c:pt>
                <c:pt idx="3">
                  <c:v>1128217.871</c:v>
                </c:pt>
                <c:pt idx="4">
                  <c:v>1128217.871</c:v>
                </c:pt>
                <c:pt idx="5">
                  <c:v>1128217.871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55CF-407C-BC5A-7C1948E18378}"/>
            </c:ext>
          </c:extLst>
        </c:ser>
        <c:ser>
          <c:idx val="10"/>
          <c:order val="4"/>
          <c:tx>
            <c:strRef>
              <c:f>ICP_Mn_Drift!$AF$2</c:f>
              <c:strCache>
                <c:ptCount val="1"/>
                <c:pt idx="0">
                  <c:v>90%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ICP_Mn_Drift!$AF$3:$AF$8</c:f>
              <c:numCache>
                <c:formatCode>General</c:formatCode>
                <c:ptCount val="6"/>
                <c:pt idx="0">
                  <c:v>923087.34900000005</c:v>
                </c:pt>
                <c:pt idx="1">
                  <c:v>923087.34900000005</c:v>
                </c:pt>
                <c:pt idx="2">
                  <c:v>923087.34900000005</c:v>
                </c:pt>
                <c:pt idx="3">
                  <c:v>923087.34900000005</c:v>
                </c:pt>
                <c:pt idx="4">
                  <c:v>923087.34900000005</c:v>
                </c:pt>
                <c:pt idx="5">
                  <c:v>923087.34900000005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55CF-407C-BC5A-7C1948E18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scatterChart>
        <c:scatterStyle val="lineMarker"/>
        <c:varyColors val="0"/>
        <c:ser>
          <c:idx val="11"/>
          <c:order val="5"/>
          <c:tx>
            <c:strRef>
              <c:f>ICP_Mn_Drift!$Z$1</c:f>
              <c:strCache>
                <c:ptCount val="1"/>
                <c:pt idx="0">
                  <c:v>55  Mn  [ He ] 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F-55CF-407C-BC5A-7C1948E18378}"/>
              </c:ext>
            </c:extLst>
          </c:dPt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7.6961045799126592E-3"/>
                  <c:y val="-0.14909160950352252"/>
                </c:manualLayout>
              </c:layout>
              <c:numFmt formatCode="#,##0.0000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ICP_Mn_Drift!$Z$3:$Z$8</c:f>
              <c:numCache>
                <c:formatCode>General</c:formatCode>
                <c:ptCount val="6"/>
                <c:pt idx="0">
                  <c:v>985597.82</c:v>
                </c:pt>
                <c:pt idx="1">
                  <c:v>982640.22</c:v>
                </c:pt>
                <c:pt idx="2">
                  <c:v>997681.26</c:v>
                </c:pt>
                <c:pt idx="3">
                  <c:v>1064070.8700000001</c:v>
                </c:pt>
                <c:pt idx="4">
                  <c:v>1072462.33</c:v>
                </c:pt>
                <c:pt idx="5">
                  <c:v>1051463.1599999999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55CF-407C-BC5A-7C1948E18378}"/>
            </c:ext>
          </c:extLst>
        </c:ser>
        <c:ser>
          <c:idx val="0"/>
          <c:order val="6"/>
          <c:tx>
            <c:strRef>
              <c:f>ICP_Mn_Drift!$BB$1</c:f>
              <c:strCache>
                <c:ptCount val="1"/>
                <c:pt idx="0">
                  <c:v>55  Mn  [ He ] corrected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0331755566628663"/>
                  <c:y val="5.1598707441126913E-2"/>
                </c:manualLayout>
              </c:layout>
              <c:numFmt formatCode="#,##0.0000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ICP_Mn_Drift!$AX$3:$AX$8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ICP_Mn_Drift!$BB$3:$BB$8</c:f>
              <c:numCache>
                <c:formatCode>0.00</c:formatCode>
                <c:ptCount val="6"/>
                <c:pt idx="0">
                  <c:v>975864.06320897711</c:v>
                </c:pt>
                <c:pt idx="1">
                  <c:v>943448.47835804126</c:v>
                </c:pt>
                <c:pt idx="2">
                  <c:v>937920.27185526991</c:v>
                </c:pt>
                <c:pt idx="3">
                  <c:v>988286.62066916714</c:v>
                </c:pt>
                <c:pt idx="4">
                  <c:v>983981.41108869854</c:v>
                </c:pt>
                <c:pt idx="5">
                  <c:v>946039.0864034124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55CF-407C-BC5A-7C1948E18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988015163355748"/>
          <c:y val="0.46572354406414168"/>
          <c:w val="0.22784659229335344"/>
          <c:h val="0.4245222026981184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Mn Blanks </a:t>
            </a:r>
          </a:p>
        </c:rich>
      </c:tx>
      <c:layout>
        <c:manualLayout>
          <c:xMode val="edge"/>
          <c:yMode val="edge"/>
          <c:x val="0.43189771762790663"/>
          <c:y val="1.00791938930561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9630065432636769E-2"/>
          <c:y val="3.9711547756252394E-2"/>
          <c:w val="0.76017652565518312"/>
          <c:h val="0.84833853807841519"/>
        </c:manualLayout>
      </c:layout>
      <c:scatterChart>
        <c:scatterStyle val="smoothMarker"/>
        <c:varyColors val="0"/>
        <c:ser>
          <c:idx val="3"/>
          <c:order val="1"/>
          <c:tx>
            <c:strRef>
              <c:f>ICP_Mn_Drift!$AB$2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ICP_Mn_Drift!$AB$15:$AB$24</c:f>
              <c:numCache>
                <c:formatCode>General</c:formatCode>
                <c:ptCount val="10"/>
                <c:pt idx="0">
                  <c:v>3769.31</c:v>
                </c:pt>
                <c:pt idx="1">
                  <c:v>3769.31</c:v>
                </c:pt>
                <c:pt idx="2">
                  <c:v>3769.31</c:v>
                </c:pt>
                <c:pt idx="3">
                  <c:v>3769.31</c:v>
                </c:pt>
                <c:pt idx="4">
                  <c:v>3769.31</c:v>
                </c:pt>
                <c:pt idx="5">
                  <c:v>3769.31</c:v>
                </c:pt>
                <c:pt idx="6">
                  <c:v>3769.31</c:v>
                </c:pt>
                <c:pt idx="7">
                  <c:v>3769.31</c:v>
                </c:pt>
                <c:pt idx="8">
                  <c:v>3769.31</c:v>
                </c:pt>
                <c:pt idx="9">
                  <c:v>3769.31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83-4678-9CD3-C5A693ECD4A0}"/>
            </c:ext>
          </c:extLst>
        </c:ser>
        <c:ser>
          <c:idx val="4"/>
          <c:order val="2"/>
          <c:tx>
            <c:strRef>
              <c:f>ICP_Mn_Drift!$AJ$11</c:f>
              <c:strCache>
                <c:ptCount val="1"/>
                <c:pt idx="0">
                  <c:v>plus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ICP_Mn_Drift!$V$15:$V$24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ICP_Mn_Drift!$AJ$15:$AJ$24</c:f>
              <c:numCache>
                <c:formatCode>General</c:formatCode>
                <c:ptCount val="10"/>
                <c:pt idx="0">
                  <c:v>6892.7152145198124</c:v>
                </c:pt>
                <c:pt idx="1">
                  <c:v>6892.7152145198124</c:v>
                </c:pt>
                <c:pt idx="2">
                  <c:v>6892.7152145198124</c:v>
                </c:pt>
                <c:pt idx="3">
                  <c:v>6892.7152145198124</c:v>
                </c:pt>
                <c:pt idx="4">
                  <c:v>6892.7152145198124</c:v>
                </c:pt>
                <c:pt idx="5">
                  <c:v>6892.7152145198124</c:v>
                </c:pt>
                <c:pt idx="6">
                  <c:v>6892.7152145198124</c:v>
                </c:pt>
                <c:pt idx="7">
                  <c:v>6892.7152145198124</c:v>
                </c:pt>
                <c:pt idx="8">
                  <c:v>6892.7152145198124</c:v>
                </c:pt>
                <c:pt idx="9">
                  <c:v>6892.7152145198124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83-4678-9CD3-C5A693ECD4A0}"/>
            </c:ext>
          </c:extLst>
        </c:ser>
        <c:ser>
          <c:idx val="5"/>
          <c:order val="3"/>
          <c:tx>
            <c:strRef>
              <c:f>ICP_Mn_Drift!$AK$11</c:f>
              <c:strCache>
                <c:ptCount val="1"/>
                <c:pt idx="0">
                  <c:v>minus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ICP_Mn_Drift!$V$15:$V$24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ICP_Mn_Drift!$AK$15:$AK$24</c:f>
              <c:numCache>
                <c:formatCode>General</c:formatCode>
                <c:ptCount val="10"/>
                <c:pt idx="0">
                  <c:v>1022.835785480187</c:v>
                </c:pt>
                <c:pt idx="1">
                  <c:v>1022.835785480187</c:v>
                </c:pt>
                <c:pt idx="2">
                  <c:v>1022.835785480187</c:v>
                </c:pt>
                <c:pt idx="3">
                  <c:v>1022.835785480187</c:v>
                </c:pt>
                <c:pt idx="4">
                  <c:v>1022.835785480187</c:v>
                </c:pt>
                <c:pt idx="5">
                  <c:v>1022.835785480187</c:v>
                </c:pt>
                <c:pt idx="6">
                  <c:v>1022.835785480187</c:v>
                </c:pt>
                <c:pt idx="7">
                  <c:v>1022.835785480187</c:v>
                </c:pt>
                <c:pt idx="8">
                  <c:v>1022.835785480187</c:v>
                </c:pt>
                <c:pt idx="9">
                  <c:v>1022.835785480187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83-4678-9CD3-C5A693ECD4A0}"/>
            </c:ext>
          </c:extLst>
        </c:ser>
        <c:ser>
          <c:idx val="1"/>
          <c:order val="4"/>
          <c:tx>
            <c:strRef>
              <c:f>ICP_Mn_Drift!$AL$11</c:f>
              <c:strCache>
                <c:ptCount val="1"/>
                <c:pt idx="0">
                  <c:v>plus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ICP_Mn_Drift!$V$15:$V$24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ICP_Mn_Drift!$AL$15:$AL$24</c:f>
              <c:numCache>
                <c:formatCode>General</c:formatCode>
                <c:ptCount val="10"/>
                <c:pt idx="0">
                  <c:v>9262.2584290396262</c:v>
                </c:pt>
                <c:pt idx="1">
                  <c:v>9262.2584290396262</c:v>
                </c:pt>
                <c:pt idx="2">
                  <c:v>9262.2584290396262</c:v>
                </c:pt>
                <c:pt idx="3">
                  <c:v>9262.2584290396262</c:v>
                </c:pt>
                <c:pt idx="4">
                  <c:v>9262.2584290396262</c:v>
                </c:pt>
                <c:pt idx="5">
                  <c:v>9262.2584290396262</c:v>
                </c:pt>
                <c:pt idx="6">
                  <c:v>9262.2584290396262</c:v>
                </c:pt>
                <c:pt idx="7">
                  <c:v>9262.2584290396262</c:v>
                </c:pt>
                <c:pt idx="8">
                  <c:v>9262.2584290396262</c:v>
                </c:pt>
                <c:pt idx="9">
                  <c:v>9262.2584290396262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83-4678-9CD3-C5A693ECD4A0}"/>
            </c:ext>
          </c:extLst>
        </c:ser>
        <c:ser>
          <c:idx val="2"/>
          <c:order val="5"/>
          <c:tx>
            <c:strRef>
              <c:f>ICP_Mn_Drift!$AM$11</c:f>
              <c:strCache>
                <c:ptCount val="1"/>
                <c:pt idx="0">
                  <c:v>minus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ICP_Mn_Drift!$V$15:$V$24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ICP_Mn_Drift!$AM$15:$AM$24</c:f>
              <c:numCache>
                <c:formatCode>General</c:formatCode>
                <c:ptCount val="10"/>
                <c:pt idx="0">
                  <c:v>-1723.6384290396259</c:v>
                </c:pt>
                <c:pt idx="1">
                  <c:v>-1723.6384290396259</c:v>
                </c:pt>
                <c:pt idx="2">
                  <c:v>-1723.6384290396259</c:v>
                </c:pt>
                <c:pt idx="3">
                  <c:v>-1723.6384290396259</c:v>
                </c:pt>
                <c:pt idx="4">
                  <c:v>-1723.6384290396259</c:v>
                </c:pt>
                <c:pt idx="5">
                  <c:v>-1723.6384290396259</c:v>
                </c:pt>
                <c:pt idx="6">
                  <c:v>-1723.6384290396259</c:v>
                </c:pt>
                <c:pt idx="7">
                  <c:v>-1723.6384290396259</c:v>
                </c:pt>
                <c:pt idx="8">
                  <c:v>-1723.6384290396259</c:v>
                </c:pt>
                <c:pt idx="9">
                  <c:v>-1723.6384290396259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083-4678-9CD3-C5A693ECD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/>
      </c:scatterChart>
      <c:scatterChart>
        <c:scatterStyle val="lineMarker"/>
        <c:varyColors val="0"/>
        <c:ser>
          <c:idx val="0"/>
          <c:order val="0"/>
          <c:tx>
            <c:v>Mn Blanks</c:v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8350536180561419E-2"/>
                  <c:y val="-0.16697423256875499"/>
                </c:manualLayout>
              </c:layout>
              <c:numFmt formatCode="General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ICP_Mn_Drift!$V$15:$V$24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ICP_Mn_Drift!$Z$15:$Z$24</c:f>
              <c:numCache>
                <c:formatCode>General</c:formatCode>
                <c:ptCount val="10"/>
                <c:pt idx="0">
                  <c:v>850.06</c:v>
                </c:pt>
                <c:pt idx="1">
                  <c:v>2974.82</c:v>
                </c:pt>
                <c:pt idx="2">
                  <c:v>910.06</c:v>
                </c:pt>
                <c:pt idx="3">
                  <c:v>1013.4</c:v>
                </c:pt>
                <c:pt idx="4">
                  <c:v>2690.35</c:v>
                </c:pt>
                <c:pt idx="5">
                  <c:v>7272.23</c:v>
                </c:pt>
                <c:pt idx="6">
                  <c:v>7108.65</c:v>
                </c:pt>
                <c:pt idx="7">
                  <c:v>7865.73</c:v>
                </c:pt>
                <c:pt idx="8">
                  <c:v>4357.47</c:v>
                </c:pt>
                <c:pt idx="9">
                  <c:v>2650.33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83-4678-9CD3-C5A693ECD4A0}"/>
            </c:ext>
          </c:extLst>
        </c:ser>
        <c:ser>
          <c:idx val="6"/>
          <c:order val="6"/>
          <c:tx>
            <c:strRef>
              <c:f>ICP_Mn_Drift!$AS$10</c:f>
              <c:strCache>
                <c:ptCount val="1"/>
                <c:pt idx="0">
                  <c:v>Blanks corrected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trendlineType val="linear"/>
            <c:dispRSqr val="0"/>
            <c:dispEq val="0"/>
          </c:trendline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330555443862797E-2"/>
                  <c:y val="7.5586652734628154E-2"/>
                </c:manualLayout>
              </c:layout>
              <c:numFmt formatCode="General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ICP_Mn_Drift!$AX$15:$AX$24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ICP_Mn_Drift!$BB$15:$BB$24</c:f>
              <c:numCache>
                <c:formatCode>0.00</c:formatCode>
                <c:ptCount val="10"/>
                <c:pt idx="0">
                  <c:v>195.35111823316436</c:v>
                </c:pt>
                <c:pt idx="1">
                  <c:v>1623.6007570544111</c:v>
                </c:pt>
                <c:pt idx="2">
                  <c:v>-1024.2084464031161</c:v>
                </c:pt>
                <c:pt idx="3">
                  <c:v>-1966.4483027207571</c:v>
                </c:pt>
                <c:pt idx="4">
                  <c:v>-1102.184203338682</c:v>
                </c:pt>
                <c:pt idx="5">
                  <c:v>2834.7586891473375</c:v>
                </c:pt>
                <c:pt idx="6">
                  <c:v>1811.2625456816058</c:v>
                </c:pt>
                <c:pt idx="7">
                  <c:v>2352.8206335910309</c:v>
                </c:pt>
                <c:pt idx="8">
                  <c:v>-1209.1841256528633</c:v>
                </c:pt>
                <c:pt idx="9">
                  <c:v>-2968.9831319365594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83-4678-9CD3-C5A693ECD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4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630327977805351"/>
          <c:y val="0.22740819279517122"/>
          <c:w val="0.17369672022194654"/>
          <c:h val="0.5289858777622557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Mn Samples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6534632541841"/>
          <c:y val="3.5511943796382978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v>Mean Cal Check</c:v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ICP_Mn_Drift!$AB$3:$AB$8</c:f>
              <c:numCache>
                <c:formatCode>General</c:formatCode>
                <c:ptCount val="6"/>
                <c:pt idx="0">
                  <c:v>1025652.61</c:v>
                </c:pt>
                <c:pt idx="1">
                  <c:v>1025652.61</c:v>
                </c:pt>
                <c:pt idx="2">
                  <c:v>1025652.61</c:v>
                </c:pt>
                <c:pt idx="3">
                  <c:v>1025652.61</c:v>
                </c:pt>
                <c:pt idx="4">
                  <c:v>1025652.61</c:v>
                </c:pt>
                <c:pt idx="5">
                  <c:v>1025652.61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F0-4D4D-AE87-69E71EDFF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ICP_Mn_Drift!$AC$2</c15:sqref>
                        </c15:formulaRef>
                      </c:ext>
                    </c:extLst>
                    <c:strCache>
                      <c:ptCount val="1"/>
                      <c:pt idx="0">
                        <c:v>120%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ICP_Mn_Drift!$AC$3:$AC$8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1230783.132</c:v>
                      </c:pt>
                      <c:pt idx="1">
                        <c:v>1230783.132</c:v>
                      </c:pt>
                      <c:pt idx="2">
                        <c:v>1230783.132</c:v>
                      </c:pt>
                      <c:pt idx="3">
                        <c:v>1230783.132</c:v>
                      </c:pt>
                      <c:pt idx="4">
                        <c:v>1230783.132</c:v>
                      </c:pt>
                      <c:pt idx="5">
                        <c:v>1230783.132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20F0-4D4D-AE87-69E71EDFF059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ICP_Mn_Drift!$AD$2</c15:sqref>
                        </c15:formulaRef>
                      </c:ext>
                    </c:extLst>
                    <c:strCache>
                      <c:ptCount val="1"/>
                      <c:pt idx="0">
                        <c:v>80%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ICP_Mn_Drift!$AD$3:$AD$8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820522.08799999999</c:v>
                      </c:pt>
                      <c:pt idx="1">
                        <c:v>820522.08799999999</c:v>
                      </c:pt>
                      <c:pt idx="2">
                        <c:v>820522.08799999999</c:v>
                      </c:pt>
                      <c:pt idx="3">
                        <c:v>820522.08799999999</c:v>
                      </c:pt>
                      <c:pt idx="4">
                        <c:v>820522.08799999999</c:v>
                      </c:pt>
                      <c:pt idx="5">
                        <c:v>820522.08799999999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F0-4D4D-AE87-69E71EDFF059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ICP_Mn_Drift!$AE$2</c15:sqref>
                        </c15:formulaRef>
                      </c:ext>
                    </c:extLst>
                    <c:strCache>
                      <c:ptCount val="1"/>
                      <c:pt idx="0">
                        <c:v>110%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ICP_Mn_Drift!$AE$3:$AE$8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1128217.871</c:v>
                      </c:pt>
                      <c:pt idx="1">
                        <c:v>1128217.871</c:v>
                      </c:pt>
                      <c:pt idx="2">
                        <c:v>1128217.871</c:v>
                      </c:pt>
                      <c:pt idx="3">
                        <c:v>1128217.871</c:v>
                      </c:pt>
                      <c:pt idx="4">
                        <c:v>1128217.871</c:v>
                      </c:pt>
                      <c:pt idx="5">
                        <c:v>1128217.871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F0-4D4D-AE87-69E71EDFF059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ICP_Mn_Drift!$AF$2</c15:sqref>
                        </c15:formulaRef>
                      </c:ext>
                    </c:extLst>
                    <c:strCache>
                      <c:ptCount val="1"/>
                      <c:pt idx="0">
                        <c:v>90%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ICP_Mn_Drift!$AF$3:$AF$8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923087.34900000005</c:v>
                      </c:pt>
                      <c:pt idx="1">
                        <c:v>923087.34900000005</c:v>
                      </c:pt>
                      <c:pt idx="2">
                        <c:v>923087.34900000005</c:v>
                      </c:pt>
                      <c:pt idx="3">
                        <c:v>923087.34900000005</c:v>
                      </c:pt>
                      <c:pt idx="4">
                        <c:v>923087.34900000005</c:v>
                      </c:pt>
                      <c:pt idx="5">
                        <c:v>923087.34900000005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F0-4D4D-AE87-69E71EDFF059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1"/>
          <c:order val="5"/>
          <c:tx>
            <c:strRef>
              <c:f>ICP_Mn_Drift!$Q$1</c:f>
              <c:strCache>
                <c:ptCount val="1"/>
                <c:pt idx="0">
                  <c:v>100 ppb cal checks masured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6-20F0-4D4D-AE87-69E71EDFF059}"/>
              </c:ext>
            </c:extLst>
          </c:dPt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ICP_Mn_Drift!$Z$3:$Z$8</c:f>
              <c:numCache>
                <c:formatCode>General</c:formatCode>
                <c:ptCount val="6"/>
                <c:pt idx="0">
                  <c:v>985597.82</c:v>
                </c:pt>
                <c:pt idx="1">
                  <c:v>982640.22</c:v>
                </c:pt>
                <c:pt idx="2">
                  <c:v>997681.26</c:v>
                </c:pt>
                <c:pt idx="3">
                  <c:v>1064070.8700000001</c:v>
                </c:pt>
                <c:pt idx="4">
                  <c:v>1072462.33</c:v>
                </c:pt>
                <c:pt idx="5">
                  <c:v>1051463.1599999999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0F0-4D4D-AE87-69E71EDFF059}"/>
            </c:ext>
          </c:extLst>
        </c:ser>
        <c:ser>
          <c:idx val="0"/>
          <c:order val="6"/>
          <c:tx>
            <c:strRef>
              <c:f>ICP_Mn_Drift!$AS$1</c:f>
              <c:strCache>
                <c:ptCount val="1"/>
                <c:pt idx="0">
                  <c:v>100 ppb cal checks corrected</c:v>
                </c:pt>
              </c:strCache>
            </c:strRef>
          </c:tx>
          <c:spPr>
            <a:ln w="25400">
              <a:noFill/>
            </a:ln>
          </c:spPr>
          <c:xVal>
            <c:numRef>
              <c:f>ICP_Mn_Drift!$AX$3:$AX$8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ICP_Mn_Drift!$BB$3:$BB$8</c:f>
              <c:numCache>
                <c:formatCode>0.00</c:formatCode>
                <c:ptCount val="6"/>
                <c:pt idx="0">
                  <c:v>975864.06320897711</c:v>
                </c:pt>
                <c:pt idx="1">
                  <c:v>943448.47835804126</c:v>
                </c:pt>
                <c:pt idx="2">
                  <c:v>937920.27185526991</c:v>
                </c:pt>
                <c:pt idx="3">
                  <c:v>988286.62066916714</c:v>
                </c:pt>
                <c:pt idx="4">
                  <c:v>983981.41108869854</c:v>
                </c:pt>
                <c:pt idx="5">
                  <c:v>946039.0864034124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0F0-4D4D-AE87-69E71EDFF059}"/>
            </c:ext>
          </c:extLst>
        </c:ser>
        <c:ser>
          <c:idx val="1"/>
          <c:order val="7"/>
          <c:tx>
            <c:v>55 Mn Samples</c:v>
          </c:tx>
          <c:spPr>
            <a:ln w="19050">
              <a:noFill/>
            </a:ln>
          </c:spPr>
          <c:xVal>
            <c:numRef>
              <c:f>ICP_Mn_Drift!$E$6:$E$86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ICP_Mn_Drift!$I$6:$I$86</c:f>
              <c:numCache>
                <c:formatCode>0.00</c:formatCode>
                <c:ptCount val="81"/>
                <c:pt idx="0">
                  <c:v>1416.78</c:v>
                </c:pt>
                <c:pt idx="1">
                  <c:v>5757.99</c:v>
                </c:pt>
                <c:pt idx="2">
                  <c:v>10894.51</c:v>
                </c:pt>
                <c:pt idx="3">
                  <c:v>50599.4</c:v>
                </c:pt>
                <c:pt idx="4">
                  <c:v>98558.31</c:v>
                </c:pt>
                <c:pt idx="5">
                  <c:v>493088.85</c:v>
                </c:pt>
                <c:pt idx="6">
                  <c:v>985597.82</c:v>
                </c:pt>
                <c:pt idx="7">
                  <c:v>4656554.62</c:v>
                </c:pt>
                <c:pt idx="8">
                  <c:v>8979786.3200000003</c:v>
                </c:pt>
                <c:pt idx="9">
                  <c:v>850.06</c:v>
                </c:pt>
                <c:pt idx="10">
                  <c:v>11368.11</c:v>
                </c:pt>
                <c:pt idx="11">
                  <c:v>2974.82</c:v>
                </c:pt>
                <c:pt idx="12">
                  <c:v>712110.22</c:v>
                </c:pt>
                <c:pt idx="13">
                  <c:v>1922096.74</c:v>
                </c:pt>
                <c:pt idx="14">
                  <c:v>132889.63</c:v>
                </c:pt>
                <c:pt idx="15">
                  <c:v>85485.96</c:v>
                </c:pt>
                <c:pt idx="16">
                  <c:v>35828.400000000001</c:v>
                </c:pt>
                <c:pt idx="17">
                  <c:v>41437.019999999997</c:v>
                </c:pt>
                <c:pt idx="18">
                  <c:v>41684.29</c:v>
                </c:pt>
                <c:pt idx="19">
                  <c:v>675683.27</c:v>
                </c:pt>
                <c:pt idx="20">
                  <c:v>1602179.87</c:v>
                </c:pt>
                <c:pt idx="21">
                  <c:v>1347252.22</c:v>
                </c:pt>
                <c:pt idx="22">
                  <c:v>910.06</c:v>
                </c:pt>
                <c:pt idx="23">
                  <c:v>982640.22</c:v>
                </c:pt>
                <c:pt idx="24">
                  <c:v>73942.179999999993</c:v>
                </c:pt>
                <c:pt idx="25">
                  <c:v>25406.39</c:v>
                </c:pt>
                <c:pt idx="26">
                  <c:v>795398.92</c:v>
                </c:pt>
                <c:pt idx="27">
                  <c:v>28131.54</c:v>
                </c:pt>
                <c:pt idx="28">
                  <c:v>1109670.17</c:v>
                </c:pt>
                <c:pt idx="29">
                  <c:v>241642.72</c:v>
                </c:pt>
                <c:pt idx="30">
                  <c:v>941214.41</c:v>
                </c:pt>
                <c:pt idx="31">
                  <c:v>990565.4</c:v>
                </c:pt>
                <c:pt idx="32">
                  <c:v>710318.66</c:v>
                </c:pt>
                <c:pt idx="33">
                  <c:v>355340.85</c:v>
                </c:pt>
                <c:pt idx="34">
                  <c:v>1013.4</c:v>
                </c:pt>
                <c:pt idx="35">
                  <c:v>997681.26</c:v>
                </c:pt>
                <c:pt idx="36">
                  <c:v>11448.25</c:v>
                </c:pt>
                <c:pt idx="37">
                  <c:v>1303082.0900000001</c:v>
                </c:pt>
                <c:pt idx="38">
                  <c:v>181331.42</c:v>
                </c:pt>
                <c:pt idx="39">
                  <c:v>2006588.36</c:v>
                </c:pt>
                <c:pt idx="40">
                  <c:v>633111.06000000006</c:v>
                </c:pt>
                <c:pt idx="41">
                  <c:v>382672.59</c:v>
                </c:pt>
                <c:pt idx="42">
                  <c:v>2653753.87</c:v>
                </c:pt>
                <c:pt idx="43">
                  <c:v>6872950.1100000003</c:v>
                </c:pt>
                <c:pt idx="44">
                  <c:v>12363584.82</c:v>
                </c:pt>
                <c:pt idx="45">
                  <c:v>1836635.13</c:v>
                </c:pt>
                <c:pt idx="46">
                  <c:v>2690.35</c:v>
                </c:pt>
                <c:pt idx="47">
                  <c:v>1064070.8700000001</c:v>
                </c:pt>
                <c:pt idx="48">
                  <c:v>1373970.76</c:v>
                </c:pt>
                <c:pt idx="49">
                  <c:v>5344242.5199999996</c:v>
                </c:pt>
                <c:pt idx="50">
                  <c:v>9041950.9100000001</c:v>
                </c:pt>
                <c:pt idx="51">
                  <c:v>4078635.35</c:v>
                </c:pt>
                <c:pt idx="52">
                  <c:v>2617190.59</c:v>
                </c:pt>
                <c:pt idx="53">
                  <c:v>1168880.42</c:v>
                </c:pt>
                <c:pt idx="54">
                  <c:v>1209550.71</c:v>
                </c:pt>
                <c:pt idx="55">
                  <c:v>4085069.31</c:v>
                </c:pt>
                <c:pt idx="56">
                  <c:v>5287458.67</c:v>
                </c:pt>
                <c:pt idx="57">
                  <c:v>4794726.8</c:v>
                </c:pt>
                <c:pt idx="58">
                  <c:v>7272.23</c:v>
                </c:pt>
                <c:pt idx="59">
                  <c:v>1072462.33</c:v>
                </c:pt>
                <c:pt idx="60">
                  <c:v>12153659.82</c:v>
                </c:pt>
                <c:pt idx="61">
                  <c:v>1121863.6799999999</c:v>
                </c:pt>
                <c:pt idx="62">
                  <c:v>19527969.289999999</c:v>
                </c:pt>
                <c:pt idx="63">
                  <c:v>2866866.31</c:v>
                </c:pt>
                <c:pt idx="64">
                  <c:v>1883667.26</c:v>
                </c:pt>
                <c:pt idx="65">
                  <c:v>2409732.83</c:v>
                </c:pt>
                <c:pt idx="66">
                  <c:v>1251545.58</c:v>
                </c:pt>
                <c:pt idx="67">
                  <c:v>307016.26</c:v>
                </c:pt>
                <c:pt idx="68">
                  <c:v>458574.08000000002</c:v>
                </c:pt>
                <c:pt idx="69">
                  <c:v>131200.03</c:v>
                </c:pt>
                <c:pt idx="70">
                  <c:v>157542.82</c:v>
                </c:pt>
                <c:pt idx="71">
                  <c:v>72497.350000000006</c:v>
                </c:pt>
                <c:pt idx="72">
                  <c:v>404399.54</c:v>
                </c:pt>
                <c:pt idx="73">
                  <c:v>13376.67</c:v>
                </c:pt>
                <c:pt idx="74">
                  <c:v>7108.65</c:v>
                </c:pt>
                <c:pt idx="75">
                  <c:v>1051463.1599999999</c:v>
                </c:pt>
                <c:pt idx="76">
                  <c:v>10149657.140000001</c:v>
                </c:pt>
                <c:pt idx="77">
                  <c:v>88454685.349999994</c:v>
                </c:pt>
                <c:pt idx="78">
                  <c:v>7865.73</c:v>
                </c:pt>
                <c:pt idx="79">
                  <c:v>4357.47</c:v>
                </c:pt>
                <c:pt idx="80">
                  <c:v>2650.33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0F0-4D4D-AE87-69E71EDFF059}"/>
            </c:ext>
          </c:extLst>
        </c:ser>
        <c:ser>
          <c:idx val="2"/>
          <c:order val="8"/>
          <c:tx>
            <c:v>55 Mn Samples corrected</c:v>
          </c:tx>
          <c:spPr>
            <a:ln w="19050">
              <a:noFill/>
            </a:ln>
          </c:spPr>
          <c:xVal>
            <c:numRef>
              <c:f>ICP_Mn_Drift!$E$6:$E$86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ICP_Mn_Drift!$K$6:$K$86</c:f>
              <c:numCache>
                <c:formatCode>0.00</c:formatCode>
                <c:ptCount val="81"/>
                <c:pt idx="0">
                  <c:v>-1770.7579382477809</c:v>
                </c:pt>
                <c:pt idx="1">
                  <c:v>1490.1120248287725</c:v>
                </c:pt>
                <c:pt idx="2">
                  <c:v>5546.2919811810898</c:v>
                </c:pt>
                <c:pt idx="3">
                  <c:v>44128.056196825666</c:v>
                </c:pt>
                <c:pt idx="4">
                  <c:v>90995.929721363165</c:v>
                </c:pt>
                <c:pt idx="5">
                  <c:v>484467.52255479357</c:v>
                </c:pt>
                <c:pt idx="6">
                  <c:v>975864.06320897711</c:v>
                </c:pt>
                <c:pt idx="7">
                  <c:v>4645751.2196038691</c:v>
                </c:pt>
                <c:pt idx="8">
                  <c:v>8967913.27599876</c:v>
                </c:pt>
                <c:pt idx="9">
                  <c:v>-12049.841858916694</c:v>
                </c:pt>
                <c:pt idx="10">
                  <c:v>-2612.131902564377</c:v>
                </c:pt>
                <c:pt idx="11">
                  <c:v>-23648.609297061907</c:v>
                </c:pt>
                <c:pt idx="12">
                  <c:v>684449.23640672234</c:v>
                </c:pt>
                <c:pt idx="13">
                  <c:v>1893376.8092401528</c:v>
                </c:pt>
                <c:pt idx="14">
                  <c:v>103153.53781429099</c:v>
                </c:pt>
                <c:pt idx="15">
                  <c:v>54658.831338828488</c:v>
                </c:pt>
                <c:pt idx="16">
                  <c:v>3963.7170426127741</c:v>
                </c:pt>
                <c:pt idx="17">
                  <c:v>8534.782746397068</c:v>
                </c:pt>
                <c:pt idx="18">
                  <c:v>7744.4984501813669</c:v>
                </c:pt>
                <c:pt idx="19">
                  <c:v>640663.1384132579</c:v>
                </c:pt>
                <c:pt idx="20">
                  <c:v>1566122.1841170422</c:v>
                </c:pt>
                <c:pt idx="21">
                  <c:v>1310167.6762593656</c:v>
                </c:pt>
                <c:pt idx="22">
                  <c:v>-37201.341605035326</c:v>
                </c:pt>
                <c:pt idx="23">
                  <c:v>943448.47835804126</c:v>
                </c:pt>
                <c:pt idx="24">
                  <c:v>33723.580500364573</c:v>
                </c:pt>
                <c:pt idx="25">
                  <c:v>-15849.763795851126</c:v>
                </c:pt>
                <c:pt idx="26">
                  <c:v>753105.21190793323</c:v>
                </c:pt>
                <c:pt idx="27">
                  <c:v>-15253.204567529334</c:v>
                </c:pt>
                <c:pt idx="28">
                  <c:v>1065237.1746977158</c:v>
                </c:pt>
                <c:pt idx="29">
                  <c:v>196172.17040150019</c:v>
                </c:pt>
                <c:pt idx="30">
                  <c:v>894706.30610528449</c:v>
                </c:pt>
                <c:pt idx="31">
                  <c:v>942976.95606836106</c:v>
                </c:pt>
                <c:pt idx="32">
                  <c:v>661681.96533360635</c:v>
                </c:pt>
                <c:pt idx="33">
                  <c:v>297676.36331805511</c:v>
                </c:pt>
                <c:pt idx="34">
                  <c:v>-57699.337416699607</c:v>
                </c:pt>
                <c:pt idx="35">
                  <c:v>937920.27185526991</c:v>
                </c:pt>
                <c:pt idx="36">
                  <c:v>-49350.292440945836</c:v>
                </c:pt>
                <c:pt idx="37">
                  <c:v>1241181.8146450527</c:v>
                </c:pt>
                <c:pt idx="38">
                  <c:v>118275.92955180426</c:v>
                </c:pt>
                <c:pt idx="39">
                  <c:v>1942484.6188237739</c:v>
                </c:pt>
                <c:pt idx="40">
                  <c:v>567905.5859097722</c:v>
                </c:pt>
                <c:pt idx="41">
                  <c:v>316418.86518174165</c:v>
                </c:pt>
                <c:pt idx="42">
                  <c:v>2586483.98375588</c:v>
                </c:pt>
                <c:pt idx="43">
                  <c:v>6804631.9730211254</c:v>
                </c:pt>
                <c:pt idx="44">
                  <c:v>12294175.646545663</c:v>
                </c:pt>
                <c:pt idx="45">
                  <c:v>1766177.7058176319</c:v>
                </c:pt>
                <c:pt idx="46">
                  <c:v>-72034.952164263406</c:v>
                </c:pt>
                <c:pt idx="47">
                  <c:v>988286.62066916714</c:v>
                </c:pt>
                <c:pt idx="48">
                  <c:v>1297138.2599344123</c:v>
                </c:pt>
                <c:pt idx="49">
                  <c:v>5266361.7692063814</c:v>
                </c:pt>
                <c:pt idx="50">
                  <c:v>8962979.1227309201</c:v>
                </c:pt>
                <c:pt idx="51">
                  <c:v>3998615.3119961647</c:v>
                </c:pt>
                <c:pt idx="52">
                  <c:v>2536122.3012681338</c:v>
                </c:pt>
                <c:pt idx="53">
                  <c:v>1086763.880533379</c:v>
                </c:pt>
                <c:pt idx="54">
                  <c:v>1126332.4376193776</c:v>
                </c:pt>
                <c:pt idx="55">
                  <c:v>4000802.7868913473</c:v>
                </c:pt>
                <c:pt idx="56">
                  <c:v>5202154.5925951311</c:v>
                </c:pt>
                <c:pt idx="57">
                  <c:v>4708385.168298916</c:v>
                </c:pt>
                <c:pt idx="58">
                  <c:v>-80160.438176546799</c:v>
                </c:pt>
                <c:pt idx="59">
                  <c:v>983981.41108869854</c:v>
                </c:pt>
                <c:pt idx="60">
                  <c:v>12064130.650360668</c:v>
                </c:pt>
                <c:pt idx="61">
                  <c:v>1031296.9560644522</c:v>
                </c:pt>
                <c:pt idx="62">
                  <c:v>19436311.52958899</c:v>
                </c:pt>
                <c:pt idx="63">
                  <c:v>2774170.9952927739</c:v>
                </c:pt>
                <c:pt idx="64">
                  <c:v>1789912.9981262044</c:v>
                </c:pt>
                <c:pt idx="65">
                  <c:v>2314951.7102618036</c:v>
                </c:pt>
                <c:pt idx="66">
                  <c:v>1155673.4237863412</c:v>
                </c:pt>
                <c:pt idx="67">
                  <c:v>210085.1566197715</c:v>
                </c:pt>
                <c:pt idx="68">
                  <c:v>360594.72589174099</c:v>
                </c:pt>
                <c:pt idx="69">
                  <c:v>32172.425156986195</c:v>
                </c:pt>
                <c:pt idx="70">
                  <c:v>57413.482242984654</c:v>
                </c:pt>
                <c:pt idx="71">
                  <c:v>-28680.238485045877</c:v>
                </c:pt>
                <c:pt idx="72">
                  <c:v>302173.70078019932</c:v>
                </c:pt>
                <c:pt idx="73">
                  <c:v>-89897.419947831164</c:v>
                </c:pt>
                <c:pt idx="74">
                  <c:v>-97267.172861832718</c:v>
                </c:pt>
                <c:pt idx="75">
                  <c:v>946039.0864034124</c:v>
                </c:pt>
                <c:pt idx="76">
                  <c:v>10043184.815675383</c:v>
                </c:pt>
                <c:pt idx="77">
                  <c:v>88347175.471379161</c:v>
                </c:pt>
                <c:pt idx="78">
                  <c:v>-100756.57796665007</c:v>
                </c:pt>
                <c:pt idx="79">
                  <c:v>-105323.78513994388</c:v>
                </c:pt>
                <c:pt idx="80">
                  <c:v>-108068.47943615959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0F0-4D4D-AE87-69E71EDFF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in val="45246.484000000011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10000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356952242814326"/>
          <c:y val="0.17713794556322804"/>
          <c:w val="0.21094694044160475"/>
          <c:h val="0.23584566816562136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Mn calibration calc &amp; measure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ICP_Mn_Drift!$AO$28</c:f>
              <c:strCache>
                <c:ptCount val="1"/>
                <c:pt idx="0">
                  <c:v>Linear Model of Mn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43231940405788"/>
                  <c:y val="3.2870005832604257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ICP_Mn_Drift!$AB$30:$AB$38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</c:numCache>
            </c:numRef>
          </c:xVal>
          <c:yVal>
            <c:numRef>
              <c:f>ICP_Mn_Drift!$Z$30:$Z$38</c:f>
              <c:numCache>
                <c:formatCode>General</c:formatCode>
                <c:ptCount val="9"/>
                <c:pt idx="0">
                  <c:v>1416.78</c:v>
                </c:pt>
                <c:pt idx="1">
                  <c:v>5757.99</c:v>
                </c:pt>
                <c:pt idx="2">
                  <c:v>10894.51</c:v>
                </c:pt>
                <c:pt idx="3">
                  <c:v>50599.4</c:v>
                </c:pt>
                <c:pt idx="4">
                  <c:v>98558.31</c:v>
                </c:pt>
                <c:pt idx="5">
                  <c:v>493088.85</c:v>
                </c:pt>
                <c:pt idx="6">
                  <c:v>985597.82</c:v>
                </c:pt>
                <c:pt idx="7">
                  <c:v>4656554.62</c:v>
                </c:pt>
                <c:pt idx="8">
                  <c:v>8979786.3200000003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F9-4497-8C2D-FBD51DAF5BDE}"/>
            </c:ext>
          </c:extLst>
        </c:ser>
        <c:ser>
          <c:idx val="1"/>
          <c:order val="1"/>
          <c:tx>
            <c:strRef>
              <c:f>ICP_Mn_Drift!$M$2</c:f>
              <c:strCache>
                <c:ptCount val="1"/>
                <c:pt idx="0">
                  <c:v>Measure Conc ppb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633232824394742"/>
                  <c:y val="0.20376142232587643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ICP_Mn_Drift!$M$6:$M$14</c:f>
              <c:numCache>
                <c:formatCode>0.00</c:formatCode>
                <c:ptCount val="9"/>
                <c:pt idx="0">
                  <c:v>0</c:v>
                </c:pt>
                <c:pt idx="1">
                  <c:v>0.48</c:v>
                </c:pt>
                <c:pt idx="2">
                  <c:v>1.0469999999999999</c:v>
                </c:pt>
                <c:pt idx="3">
                  <c:v>5.4329999999999998</c:v>
                </c:pt>
                <c:pt idx="4">
                  <c:v>10.731</c:v>
                </c:pt>
                <c:pt idx="5">
                  <c:v>54.311999999999998</c:v>
                </c:pt>
                <c:pt idx="6">
                  <c:v>108.717</c:v>
                </c:pt>
                <c:pt idx="7">
                  <c:v>514.22699999999998</c:v>
                </c:pt>
                <c:pt idx="8">
                  <c:v>991.79</c:v>
                </c:pt>
              </c:numCache>
            </c:numRef>
          </c:xVal>
          <c:yVal>
            <c:numRef>
              <c:f>ICP_Mn_Drift!$I$6:$I$14</c:f>
              <c:numCache>
                <c:formatCode>0.00</c:formatCode>
                <c:ptCount val="9"/>
                <c:pt idx="0">
                  <c:v>1416.78</c:v>
                </c:pt>
                <c:pt idx="1">
                  <c:v>5757.99</c:v>
                </c:pt>
                <c:pt idx="2">
                  <c:v>10894.51</c:v>
                </c:pt>
                <c:pt idx="3">
                  <c:v>50599.4</c:v>
                </c:pt>
                <c:pt idx="4">
                  <c:v>98558.31</c:v>
                </c:pt>
                <c:pt idx="5">
                  <c:v>493088.85</c:v>
                </c:pt>
                <c:pt idx="6">
                  <c:v>985597.82</c:v>
                </c:pt>
                <c:pt idx="7">
                  <c:v>4656554.62</c:v>
                </c:pt>
                <c:pt idx="8">
                  <c:v>8979786.3200000003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F9-4497-8C2D-FBD51DAF5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inorUnit val="50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  <c:minorUnit val="5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As Cal Checks 100 ppb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56910074757788"/>
          <c:y val="5.7854076747854144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strRef>
              <c:f>ICP_As_Drift!$AB$2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ICP_As_Drift!$AB$3:$AB$8</c:f>
              <c:numCache>
                <c:formatCode>General</c:formatCode>
                <c:ptCount val="6"/>
                <c:pt idx="0">
                  <c:v>270573.73166666663</c:v>
                </c:pt>
                <c:pt idx="1">
                  <c:v>270573.73166666663</c:v>
                </c:pt>
                <c:pt idx="2">
                  <c:v>270573.73166666663</c:v>
                </c:pt>
                <c:pt idx="3">
                  <c:v>270573.73166666663</c:v>
                </c:pt>
                <c:pt idx="4">
                  <c:v>270573.73166666663</c:v>
                </c:pt>
                <c:pt idx="5">
                  <c:v>270573.73166666663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27-495A-A224-C8E3C180733E}"/>
            </c:ext>
          </c:extLst>
        </c:ser>
        <c:ser>
          <c:idx val="7"/>
          <c:order val="1"/>
          <c:tx>
            <c:strRef>
              <c:f>ICP_As_Drift!$AC$2</c:f>
              <c:strCache>
                <c:ptCount val="1"/>
                <c:pt idx="0">
                  <c:v>120%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ICP_As_Drift!$AC$3:$AC$8</c:f>
              <c:numCache>
                <c:formatCode>General</c:formatCode>
                <c:ptCount val="6"/>
                <c:pt idx="0">
                  <c:v>324688.47799999994</c:v>
                </c:pt>
                <c:pt idx="1">
                  <c:v>324688.47799999994</c:v>
                </c:pt>
                <c:pt idx="2">
                  <c:v>324688.47799999994</c:v>
                </c:pt>
                <c:pt idx="3">
                  <c:v>324688.47799999994</c:v>
                </c:pt>
                <c:pt idx="4">
                  <c:v>324688.47799999994</c:v>
                </c:pt>
                <c:pt idx="5">
                  <c:v>324688.47799999994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27-495A-A224-C8E3C180733E}"/>
            </c:ext>
          </c:extLst>
        </c:ser>
        <c:ser>
          <c:idx val="8"/>
          <c:order val="2"/>
          <c:tx>
            <c:strRef>
              <c:f>ICP_As_Drift!$AD$2</c:f>
              <c:strCache>
                <c:ptCount val="1"/>
                <c:pt idx="0">
                  <c:v>80%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ICP_As_Drift!$AD$3:$AD$8</c:f>
              <c:numCache>
                <c:formatCode>General</c:formatCode>
                <c:ptCount val="6"/>
                <c:pt idx="0">
                  <c:v>216458.98533333332</c:v>
                </c:pt>
                <c:pt idx="1">
                  <c:v>216458.98533333332</c:v>
                </c:pt>
                <c:pt idx="2">
                  <c:v>216458.98533333332</c:v>
                </c:pt>
                <c:pt idx="3">
                  <c:v>216458.98533333332</c:v>
                </c:pt>
                <c:pt idx="4">
                  <c:v>216458.98533333332</c:v>
                </c:pt>
                <c:pt idx="5">
                  <c:v>216458.98533333332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27-495A-A224-C8E3C180733E}"/>
            </c:ext>
          </c:extLst>
        </c:ser>
        <c:ser>
          <c:idx val="9"/>
          <c:order val="3"/>
          <c:tx>
            <c:strRef>
              <c:f>ICP_As_Drift!$AE$2</c:f>
              <c:strCache>
                <c:ptCount val="1"/>
                <c:pt idx="0">
                  <c:v>110%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ICP_As_Drift!$AE$3:$AE$8</c:f>
              <c:numCache>
                <c:formatCode>General</c:formatCode>
                <c:ptCount val="6"/>
                <c:pt idx="0">
                  <c:v>297631.10483333335</c:v>
                </c:pt>
                <c:pt idx="1">
                  <c:v>297631.10483333335</c:v>
                </c:pt>
                <c:pt idx="2">
                  <c:v>297631.10483333335</c:v>
                </c:pt>
                <c:pt idx="3">
                  <c:v>297631.10483333335</c:v>
                </c:pt>
                <c:pt idx="4">
                  <c:v>297631.10483333335</c:v>
                </c:pt>
                <c:pt idx="5">
                  <c:v>297631.10483333335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27-495A-A224-C8E3C180733E}"/>
            </c:ext>
          </c:extLst>
        </c:ser>
        <c:ser>
          <c:idx val="10"/>
          <c:order val="4"/>
          <c:tx>
            <c:strRef>
              <c:f>ICP_As_Drift!$AF$2</c:f>
              <c:strCache>
                <c:ptCount val="1"/>
                <c:pt idx="0">
                  <c:v>90%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ICP_As_Drift!$AF$3:$AF$8</c:f>
              <c:numCache>
                <c:formatCode>General</c:formatCode>
                <c:ptCount val="6"/>
                <c:pt idx="0">
                  <c:v>243516.35849999997</c:v>
                </c:pt>
                <c:pt idx="1">
                  <c:v>243516.35849999997</c:v>
                </c:pt>
                <c:pt idx="2">
                  <c:v>243516.35849999997</c:v>
                </c:pt>
                <c:pt idx="3">
                  <c:v>243516.35849999997</c:v>
                </c:pt>
                <c:pt idx="4">
                  <c:v>243516.35849999997</c:v>
                </c:pt>
                <c:pt idx="5">
                  <c:v>243516.35849999997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27-495A-A224-C8E3C1807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scatterChart>
        <c:scatterStyle val="lineMarker"/>
        <c:varyColors val="0"/>
        <c:ser>
          <c:idx val="11"/>
          <c:order val="5"/>
          <c:tx>
            <c:strRef>
              <c:f>ICP_As_Drift!$Z$1</c:f>
              <c:strCache>
                <c:ptCount val="1"/>
                <c:pt idx="0">
                  <c:v>75  As  [ He ] 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5-7627-495A-A224-C8E3C180733E}"/>
              </c:ext>
            </c:extLst>
          </c:dPt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7.6961045799126592E-3"/>
                  <c:y val="-0.14909160950352252"/>
                </c:manualLayout>
              </c:layout>
              <c:numFmt formatCode="#,##0.0000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ICP_As_Drift!$Z$3:$Z$8</c:f>
              <c:numCache>
                <c:formatCode>General</c:formatCode>
                <c:ptCount val="6"/>
                <c:pt idx="0" formatCode="0.00">
                  <c:v>259551.1</c:v>
                </c:pt>
                <c:pt idx="1">
                  <c:v>262344.45</c:v>
                </c:pt>
                <c:pt idx="2">
                  <c:v>269436.15999999997</c:v>
                </c:pt>
                <c:pt idx="3">
                  <c:v>279209.90999999997</c:v>
                </c:pt>
                <c:pt idx="4">
                  <c:v>279207.51</c:v>
                </c:pt>
                <c:pt idx="5">
                  <c:v>273693.26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627-495A-A224-C8E3C180733E}"/>
            </c:ext>
          </c:extLst>
        </c:ser>
        <c:ser>
          <c:idx val="0"/>
          <c:order val="6"/>
          <c:tx>
            <c:strRef>
              <c:f>ICP_As_Drift!$BB$1</c:f>
              <c:strCache>
                <c:ptCount val="1"/>
                <c:pt idx="0">
                  <c:v>75 As  [ He ] corrected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8.2886917217711562E-2"/>
                  <c:y val="0.14646166259944368"/>
                </c:manualLayout>
              </c:layout>
              <c:numFmt formatCode="#,##0.0000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ICP_As_Drift!$AX$3:$AX$8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ICP_As_Drift!$BB$3:$BB$8</c:f>
              <c:numCache>
                <c:formatCode>General</c:formatCode>
                <c:ptCount val="6"/>
                <c:pt idx="0">
                  <c:v>257533.17826955573</c:v>
                </c:pt>
                <c:pt idx="1">
                  <c:v>254219.54316174766</c:v>
                </c:pt>
                <c:pt idx="2">
                  <c:v>257047.00756901942</c:v>
                </c:pt>
                <c:pt idx="3">
                  <c:v>263498.94794975279</c:v>
                </c:pt>
                <c:pt idx="4">
                  <c:v>260864.37971288792</c:v>
                </c:pt>
                <c:pt idx="5">
                  <c:v>251837.61540256022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627-495A-A224-C8E3C1807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988015163355748"/>
          <c:y val="0.46572354406414168"/>
          <c:w val="0.22784657508085501"/>
          <c:h val="0.4245222026981184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As Blanks </a:t>
            </a:r>
          </a:p>
        </c:rich>
      </c:tx>
      <c:layout>
        <c:manualLayout>
          <c:xMode val="edge"/>
          <c:yMode val="edge"/>
          <c:x val="0.43189771762790663"/>
          <c:y val="1.00791938930561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904865119220868E-2"/>
          <c:y val="5.9869935542364597E-2"/>
          <c:w val="0.76017652565518312"/>
          <c:h val="0.84833853807841519"/>
        </c:manualLayout>
      </c:layout>
      <c:scatterChart>
        <c:scatterStyle val="smoothMarker"/>
        <c:varyColors val="0"/>
        <c:ser>
          <c:idx val="3"/>
          <c:order val="1"/>
          <c:tx>
            <c:strRef>
              <c:f>ICP_As_Drift!$AB$2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ICP_As_Drift!$V$15:$V$24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ICP_As_Drift!$AB$15:$AB$24</c:f>
              <c:numCache>
                <c:formatCode>General</c:formatCode>
                <c:ptCount val="10"/>
                <c:pt idx="0">
                  <c:v>4243.9639999999999</c:v>
                </c:pt>
                <c:pt idx="1">
                  <c:v>4243.9639999999999</c:v>
                </c:pt>
                <c:pt idx="2">
                  <c:v>4243.9639999999999</c:v>
                </c:pt>
                <c:pt idx="3">
                  <c:v>4243.9639999999999</c:v>
                </c:pt>
                <c:pt idx="4">
                  <c:v>4243.9639999999999</c:v>
                </c:pt>
                <c:pt idx="5">
                  <c:v>4243.9639999999999</c:v>
                </c:pt>
                <c:pt idx="6">
                  <c:v>4243.9639999999999</c:v>
                </c:pt>
                <c:pt idx="7">
                  <c:v>4243.9639999999999</c:v>
                </c:pt>
                <c:pt idx="8">
                  <c:v>4243.9639999999999</c:v>
                </c:pt>
                <c:pt idx="9">
                  <c:v>4243.9639999999999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16-4687-9420-085DEAA65CC6}"/>
            </c:ext>
          </c:extLst>
        </c:ser>
        <c:ser>
          <c:idx val="4"/>
          <c:order val="2"/>
          <c:tx>
            <c:strRef>
              <c:f>ICP_As_Drift!$AJ$11</c:f>
              <c:strCache>
                <c:ptCount val="1"/>
                <c:pt idx="0">
                  <c:v>plus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ICP_As_Drift!$V$15:$V$24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ICP_As_Drift!$AJ$15:$AJ$24</c:f>
              <c:numCache>
                <c:formatCode>General</c:formatCode>
                <c:ptCount val="10"/>
                <c:pt idx="0">
                  <c:v>12997.158942628663</c:v>
                </c:pt>
                <c:pt idx="1">
                  <c:v>12997.158942628663</c:v>
                </c:pt>
                <c:pt idx="2">
                  <c:v>12997.158942628663</c:v>
                </c:pt>
                <c:pt idx="3">
                  <c:v>12997.158942628663</c:v>
                </c:pt>
                <c:pt idx="4">
                  <c:v>12997.158942628663</c:v>
                </c:pt>
                <c:pt idx="5">
                  <c:v>12997.158942628663</c:v>
                </c:pt>
                <c:pt idx="6">
                  <c:v>12997.158942628663</c:v>
                </c:pt>
                <c:pt idx="7">
                  <c:v>12997.158942628663</c:v>
                </c:pt>
                <c:pt idx="8">
                  <c:v>12997.158942628663</c:v>
                </c:pt>
                <c:pt idx="9">
                  <c:v>12997.158942628663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16-4687-9420-085DEAA65CC6}"/>
            </c:ext>
          </c:extLst>
        </c:ser>
        <c:ser>
          <c:idx val="5"/>
          <c:order val="3"/>
          <c:tx>
            <c:strRef>
              <c:f>ICP_As_Drift!$AK$11</c:f>
              <c:strCache>
                <c:ptCount val="1"/>
                <c:pt idx="0">
                  <c:v>minus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ICP_As_Drift!$V$15:$V$24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ICP_As_Drift!$AK$15:$AK$24</c:f>
              <c:numCache>
                <c:formatCode>General</c:formatCode>
                <c:ptCount val="10"/>
                <c:pt idx="0">
                  <c:v>-4084.8345426286633</c:v>
                </c:pt>
                <c:pt idx="1">
                  <c:v>-4084.8345426286633</c:v>
                </c:pt>
                <c:pt idx="2">
                  <c:v>-4084.8345426286633</c:v>
                </c:pt>
                <c:pt idx="3">
                  <c:v>-4084.8345426286633</c:v>
                </c:pt>
                <c:pt idx="4">
                  <c:v>-4084.8345426286633</c:v>
                </c:pt>
                <c:pt idx="5">
                  <c:v>-4084.8345426286633</c:v>
                </c:pt>
                <c:pt idx="6">
                  <c:v>-4084.8345426286633</c:v>
                </c:pt>
                <c:pt idx="7">
                  <c:v>-4084.8345426286633</c:v>
                </c:pt>
                <c:pt idx="8">
                  <c:v>-4084.8345426286633</c:v>
                </c:pt>
                <c:pt idx="9">
                  <c:v>-4084.8345426286633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16-4687-9420-085DEAA65CC6}"/>
            </c:ext>
          </c:extLst>
        </c:ser>
        <c:ser>
          <c:idx val="1"/>
          <c:order val="4"/>
          <c:tx>
            <c:strRef>
              <c:f>ICP_As_Drift!$AL$11</c:f>
              <c:strCache>
                <c:ptCount val="1"/>
                <c:pt idx="0">
                  <c:v>plus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ICP_As_Drift!$V$15:$V$24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ICP_As_Drift!$AL$15:$AL$24</c:f>
              <c:numCache>
                <c:formatCode>General</c:formatCode>
                <c:ptCount val="10"/>
                <c:pt idx="0">
                  <c:v>20901.561085257326</c:v>
                </c:pt>
                <c:pt idx="1">
                  <c:v>20901.561085257326</c:v>
                </c:pt>
                <c:pt idx="2">
                  <c:v>20901.561085257326</c:v>
                </c:pt>
                <c:pt idx="3">
                  <c:v>20901.561085257326</c:v>
                </c:pt>
                <c:pt idx="4">
                  <c:v>20901.561085257326</c:v>
                </c:pt>
                <c:pt idx="5">
                  <c:v>20901.561085257326</c:v>
                </c:pt>
                <c:pt idx="6">
                  <c:v>20901.561085257326</c:v>
                </c:pt>
                <c:pt idx="7">
                  <c:v>20901.561085257326</c:v>
                </c:pt>
                <c:pt idx="8">
                  <c:v>20901.561085257326</c:v>
                </c:pt>
                <c:pt idx="9">
                  <c:v>20901.561085257326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16-4687-9420-085DEAA65CC6}"/>
            </c:ext>
          </c:extLst>
        </c:ser>
        <c:ser>
          <c:idx val="2"/>
          <c:order val="5"/>
          <c:tx>
            <c:strRef>
              <c:f>ICP_As_Drift!$AM$11</c:f>
              <c:strCache>
                <c:ptCount val="1"/>
                <c:pt idx="0">
                  <c:v>minus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ICP_As_Drift!$V$15:$V$24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ICP_As_Drift!$AM$15:$AM$24</c:f>
              <c:numCache>
                <c:formatCode>General</c:formatCode>
                <c:ptCount val="10"/>
                <c:pt idx="0">
                  <c:v>-12413.633085257326</c:v>
                </c:pt>
                <c:pt idx="1">
                  <c:v>-12413.633085257326</c:v>
                </c:pt>
                <c:pt idx="2">
                  <c:v>-12413.633085257326</c:v>
                </c:pt>
                <c:pt idx="3">
                  <c:v>-12413.633085257326</c:v>
                </c:pt>
                <c:pt idx="4">
                  <c:v>-12413.633085257326</c:v>
                </c:pt>
                <c:pt idx="5">
                  <c:v>-12413.633085257326</c:v>
                </c:pt>
                <c:pt idx="6">
                  <c:v>-12413.633085257326</c:v>
                </c:pt>
                <c:pt idx="7">
                  <c:v>-12413.633085257326</c:v>
                </c:pt>
                <c:pt idx="8">
                  <c:v>-12413.633085257326</c:v>
                </c:pt>
                <c:pt idx="9">
                  <c:v>-12413.633085257326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16-4687-9420-085DEAA6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/>
      </c:scatterChart>
      <c:scatterChart>
        <c:scatterStyle val="lineMarker"/>
        <c:varyColors val="0"/>
        <c:ser>
          <c:idx val="0"/>
          <c:order val="0"/>
          <c:tx>
            <c:v>As Blanks</c:v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8350536180561419E-2"/>
                  <c:y val="-0.16697423256875499"/>
                </c:manualLayout>
              </c:layout>
              <c:numFmt formatCode="General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ICP_As_Drift!$V$15:$V$24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ICP_As_Drift!$Z$15:$Z$24</c:f>
              <c:numCache>
                <c:formatCode>General</c:formatCode>
                <c:ptCount val="10"/>
                <c:pt idx="0">
                  <c:v>167</c:v>
                </c:pt>
                <c:pt idx="1">
                  <c:v>16.670000000000002</c:v>
                </c:pt>
                <c:pt idx="2">
                  <c:v>37.67</c:v>
                </c:pt>
                <c:pt idx="3">
                  <c:v>26</c:v>
                </c:pt>
                <c:pt idx="4">
                  <c:v>35</c:v>
                </c:pt>
                <c:pt idx="5">
                  <c:v>76.67</c:v>
                </c:pt>
                <c:pt idx="6">
                  <c:v>602.35</c:v>
                </c:pt>
                <c:pt idx="7">
                  <c:v>26000.47</c:v>
                </c:pt>
                <c:pt idx="8">
                  <c:v>9767</c:v>
                </c:pt>
                <c:pt idx="9">
                  <c:v>5710.81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F16-4687-9420-085DEAA65CC6}"/>
            </c:ext>
          </c:extLst>
        </c:ser>
        <c:ser>
          <c:idx val="6"/>
          <c:order val="6"/>
          <c:tx>
            <c:strRef>
              <c:f>ICP_As_Drift!$AS$10</c:f>
              <c:strCache>
                <c:ptCount val="1"/>
                <c:pt idx="0">
                  <c:v>Blanks corrected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trendlineType val="linear"/>
            <c:dispRSqr val="0"/>
            <c:dispEq val="0"/>
          </c:trendline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6152134955764232E-2"/>
                  <c:y val="0.15506323940212444"/>
                </c:manualLayout>
              </c:layout>
              <c:numFmt formatCode="General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ICP_As_Drift!$AX$15:$AX$24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ICP_As_Drift!$BB$15:$BB$24</c:f>
              <c:numCache>
                <c:formatCode>General</c:formatCode>
                <c:ptCount val="10"/>
                <c:pt idx="0">
                  <c:v>-1390.7101561575628</c:v>
                </c:pt>
                <c:pt idx="1">
                  <c:v>-3198.206102263528</c:v>
                </c:pt>
                <c:pt idx="2">
                  <c:v>-4564.4206201334964</c:v>
                </c:pt>
                <c:pt idx="3">
                  <c:v>-7063.7769897828921</c:v>
                </c:pt>
                <c:pt idx="4">
                  <c:v>-8988.3525321556899</c:v>
                </c:pt>
                <c:pt idx="5">
                  <c:v>-10481.14328323985</c:v>
                </c:pt>
                <c:pt idx="6">
                  <c:v>-12001.41095162272</c:v>
                </c:pt>
                <c:pt idx="7">
                  <c:v>12883.930497959587</c:v>
                </c:pt>
                <c:pt idx="8">
                  <c:v>-3477.4112319740743</c:v>
                </c:pt>
                <c:pt idx="9">
                  <c:v>-7658.8896940458189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F16-4687-9420-085DEAA6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4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egendEntry>
        <c:idx val="8"/>
        <c:delete val="1"/>
      </c:legendEntry>
      <c:layout>
        <c:manualLayout>
          <c:xMode val="edge"/>
          <c:yMode val="edge"/>
          <c:x val="0.82630327977805351"/>
          <c:y val="0.22740819279517122"/>
          <c:w val="0.17369672022194654"/>
          <c:h val="0.5289858777622557"/>
        </c:manualLayout>
      </c:layout>
      <c:overlay val="0"/>
      <c:spPr>
        <a:ln>
          <a:solidFill>
            <a:srgbClr val="CC66FF"/>
          </a:solidFill>
        </a:ln>
      </c:spPr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As Samples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6534632541841"/>
          <c:y val="3.5511943796382978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v>Mean Cal Check</c:v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ICP_Mn_Drift!$V$3:$V$8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ICP_Mn_Drift!$AB$3:$AB$8</c:f>
              <c:numCache>
                <c:formatCode>General</c:formatCode>
                <c:ptCount val="6"/>
                <c:pt idx="0">
                  <c:v>1025652.61</c:v>
                </c:pt>
                <c:pt idx="1">
                  <c:v>1025652.61</c:v>
                </c:pt>
                <c:pt idx="2">
                  <c:v>1025652.61</c:v>
                </c:pt>
                <c:pt idx="3">
                  <c:v>1025652.61</c:v>
                </c:pt>
                <c:pt idx="4">
                  <c:v>1025652.61</c:v>
                </c:pt>
                <c:pt idx="5">
                  <c:v>1025652.61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8B-4670-AC06-1BB1BA5B6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ICP_Mn_Drift!$AC$2</c15:sqref>
                        </c15:formulaRef>
                      </c:ext>
                    </c:extLst>
                    <c:strCache>
                      <c:ptCount val="1"/>
                      <c:pt idx="0">
                        <c:v>120%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ICP_Mn_Drift!$AC$3:$AC$8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1230783.132</c:v>
                      </c:pt>
                      <c:pt idx="1">
                        <c:v>1230783.132</c:v>
                      </c:pt>
                      <c:pt idx="2">
                        <c:v>1230783.132</c:v>
                      </c:pt>
                      <c:pt idx="3">
                        <c:v>1230783.132</c:v>
                      </c:pt>
                      <c:pt idx="4">
                        <c:v>1230783.132</c:v>
                      </c:pt>
                      <c:pt idx="5">
                        <c:v>1230783.132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7F8B-4670-AC06-1BB1BA5B6240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ICP_Mn_Drift!$AD$2</c15:sqref>
                        </c15:formulaRef>
                      </c:ext>
                    </c:extLst>
                    <c:strCache>
                      <c:ptCount val="1"/>
                      <c:pt idx="0">
                        <c:v>80%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ICP_Mn_Drift!$AD$3:$AD$8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820522.08799999999</c:v>
                      </c:pt>
                      <c:pt idx="1">
                        <c:v>820522.08799999999</c:v>
                      </c:pt>
                      <c:pt idx="2">
                        <c:v>820522.08799999999</c:v>
                      </c:pt>
                      <c:pt idx="3">
                        <c:v>820522.08799999999</c:v>
                      </c:pt>
                      <c:pt idx="4">
                        <c:v>820522.08799999999</c:v>
                      </c:pt>
                      <c:pt idx="5">
                        <c:v>820522.08799999999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8B-4670-AC06-1BB1BA5B6240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ICP_Mn_Drift!$AE$2</c15:sqref>
                        </c15:formulaRef>
                      </c:ext>
                    </c:extLst>
                    <c:strCache>
                      <c:ptCount val="1"/>
                      <c:pt idx="0">
                        <c:v>110%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ICP_Mn_Drift!$AE$3:$AE$8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1128217.871</c:v>
                      </c:pt>
                      <c:pt idx="1">
                        <c:v>1128217.871</c:v>
                      </c:pt>
                      <c:pt idx="2">
                        <c:v>1128217.871</c:v>
                      </c:pt>
                      <c:pt idx="3">
                        <c:v>1128217.871</c:v>
                      </c:pt>
                      <c:pt idx="4">
                        <c:v>1128217.871</c:v>
                      </c:pt>
                      <c:pt idx="5">
                        <c:v>1128217.871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8B-4670-AC06-1BB1BA5B6240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ICP_Mn_Drift!$AF$2</c15:sqref>
                        </c15:formulaRef>
                      </c:ext>
                    </c:extLst>
                    <c:strCache>
                      <c:ptCount val="1"/>
                      <c:pt idx="0">
                        <c:v>90%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ICP_Mn_Drift!$AF$3:$AF$8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923087.34900000005</c:v>
                      </c:pt>
                      <c:pt idx="1">
                        <c:v>923087.34900000005</c:v>
                      </c:pt>
                      <c:pt idx="2">
                        <c:v>923087.34900000005</c:v>
                      </c:pt>
                      <c:pt idx="3">
                        <c:v>923087.34900000005</c:v>
                      </c:pt>
                      <c:pt idx="4">
                        <c:v>923087.34900000005</c:v>
                      </c:pt>
                      <c:pt idx="5">
                        <c:v>923087.34900000005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8B-4670-AC06-1BB1BA5B6240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1"/>
          <c:order val="5"/>
          <c:tx>
            <c:strRef>
              <c:f>ICP_As_Drift!$Q$1</c:f>
              <c:strCache>
                <c:ptCount val="1"/>
                <c:pt idx="0">
                  <c:v>100 ppb cal checks masured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7F8B-4670-AC06-1BB1BA5B6240}"/>
              </c:ext>
            </c:extLst>
          </c:dPt>
          <c:xVal>
            <c:numRef>
              <c:f>ICP_As_Drift!$V$3:$V$8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ICP_As_Drift!$Z$3:$Z$8</c:f>
              <c:numCache>
                <c:formatCode>General</c:formatCode>
                <c:ptCount val="6"/>
                <c:pt idx="0" formatCode="0.00">
                  <c:v>259551.1</c:v>
                </c:pt>
                <c:pt idx="1">
                  <c:v>262344.45</c:v>
                </c:pt>
                <c:pt idx="2">
                  <c:v>269436.15999999997</c:v>
                </c:pt>
                <c:pt idx="3">
                  <c:v>279209.90999999997</c:v>
                </c:pt>
                <c:pt idx="4">
                  <c:v>279207.51</c:v>
                </c:pt>
                <c:pt idx="5">
                  <c:v>273693.26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8B-4670-AC06-1BB1BA5B6240}"/>
            </c:ext>
          </c:extLst>
        </c:ser>
        <c:ser>
          <c:idx val="0"/>
          <c:order val="6"/>
          <c:tx>
            <c:strRef>
              <c:f>ICP_As_Drift!$AS$1</c:f>
              <c:strCache>
                <c:ptCount val="1"/>
                <c:pt idx="0">
                  <c:v>100 ppb cal checks corrected</c:v>
                </c:pt>
              </c:strCache>
            </c:strRef>
          </c:tx>
          <c:spPr>
            <a:ln w="25400">
              <a:noFill/>
            </a:ln>
          </c:spPr>
          <c:xVal>
            <c:numRef>
              <c:f>ICP_As_Drift!$AX$3:$AX$8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ICP_As_Drift!$BB$3:$BB$8</c:f>
              <c:numCache>
                <c:formatCode>General</c:formatCode>
                <c:ptCount val="6"/>
                <c:pt idx="0">
                  <c:v>257533.17826955573</c:v>
                </c:pt>
                <c:pt idx="1">
                  <c:v>254219.54316174766</c:v>
                </c:pt>
                <c:pt idx="2">
                  <c:v>257047.00756901942</c:v>
                </c:pt>
                <c:pt idx="3">
                  <c:v>263498.94794975279</c:v>
                </c:pt>
                <c:pt idx="4">
                  <c:v>260864.37971288792</c:v>
                </c:pt>
                <c:pt idx="5">
                  <c:v>251837.61540256022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8B-4670-AC06-1BB1BA5B6240}"/>
            </c:ext>
          </c:extLst>
        </c:ser>
        <c:ser>
          <c:idx val="1"/>
          <c:order val="7"/>
          <c:tx>
            <c:v>75 As Samples</c:v>
          </c:tx>
          <c:spPr>
            <a:ln w="19050">
              <a:noFill/>
            </a:ln>
          </c:spPr>
          <c:xVal>
            <c:numRef>
              <c:f>ICP_As_Drift!$E$6:$E$86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ICP_As_Drift!$I$6:$I$86</c:f>
              <c:numCache>
                <c:formatCode>0.00</c:formatCode>
                <c:ptCount val="81"/>
                <c:pt idx="0">
                  <c:v>32.33</c:v>
                </c:pt>
                <c:pt idx="1">
                  <c:v>1315.4</c:v>
                </c:pt>
                <c:pt idx="2">
                  <c:v>2604.2399999999998</c:v>
                </c:pt>
                <c:pt idx="3">
                  <c:v>13001.57</c:v>
                </c:pt>
                <c:pt idx="4">
                  <c:v>25914.34</c:v>
                </c:pt>
                <c:pt idx="5">
                  <c:v>129814.73</c:v>
                </c:pt>
                <c:pt idx="6">
                  <c:v>259551.1</c:v>
                </c:pt>
                <c:pt idx="7">
                  <c:v>1287165.08</c:v>
                </c:pt>
                <c:pt idx="8">
                  <c:v>2574207.08</c:v>
                </c:pt>
                <c:pt idx="9">
                  <c:v>167</c:v>
                </c:pt>
                <c:pt idx="10">
                  <c:v>25775.4</c:v>
                </c:pt>
                <c:pt idx="11">
                  <c:v>16.670000000000002</c:v>
                </c:pt>
                <c:pt idx="12">
                  <c:v>3737.17</c:v>
                </c:pt>
                <c:pt idx="13">
                  <c:v>8398.14</c:v>
                </c:pt>
                <c:pt idx="14">
                  <c:v>1000.37</c:v>
                </c:pt>
                <c:pt idx="15">
                  <c:v>1559.76</c:v>
                </c:pt>
                <c:pt idx="16">
                  <c:v>1950.47</c:v>
                </c:pt>
                <c:pt idx="17">
                  <c:v>3229.7</c:v>
                </c:pt>
                <c:pt idx="18">
                  <c:v>2666.93</c:v>
                </c:pt>
                <c:pt idx="19">
                  <c:v>5504.07</c:v>
                </c:pt>
                <c:pt idx="20">
                  <c:v>3232.04</c:v>
                </c:pt>
                <c:pt idx="21">
                  <c:v>9727.64</c:v>
                </c:pt>
                <c:pt idx="22">
                  <c:v>37.67</c:v>
                </c:pt>
                <c:pt idx="23">
                  <c:v>262344.45</c:v>
                </c:pt>
                <c:pt idx="24">
                  <c:v>956.04</c:v>
                </c:pt>
                <c:pt idx="25">
                  <c:v>1599.1</c:v>
                </c:pt>
                <c:pt idx="26">
                  <c:v>1733.11</c:v>
                </c:pt>
                <c:pt idx="27">
                  <c:v>679.35</c:v>
                </c:pt>
                <c:pt idx="28">
                  <c:v>5747.16</c:v>
                </c:pt>
                <c:pt idx="29">
                  <c:v>5426.04</c:v>
                </c:pt>
                <c:pt idx="30">
                  <c:v>12727.99</c:v>
                </c:pt>
                <c:pt idx="31">
                  <c:v>3822.18</c:v>
                </c:pt>
                <c:pt idx="32">
                  <c:v>9102.23</c:v>
                </c:pt>
                <c:pt idx="33">
                  <c:v>3088.67</c:v>
                </c:pt>
                <c:pt idx="34">
                  <c:v>26</c:v>
                </c:pt>
                <c:pt idx="35">
                  <c:v>269436.15999999997</c:v>
                </c:pt>
                <c:pt idx="36">
                  <c:v>962.04</c:v>
                </c:pt>
                <c:pt idx="37">
                  <c:v>79350.570000000007</c:v>
                </c:pt>
                <c:pt idx="38">
                  <c:v>8579.91</c:v>
                </c:pt>
                <c:pt idx="39">
                  <c:v>11757.64</c:v>
                </c:pt>
                <c:pt idx="40">
                  <c:v>9841.39</c:v>
                </c:pt>
                <c:pt idx="41">
                  <c:v>10004.5</c:v>
                </c:pt>
                <c:pt idx="42">
                  <c:v>14344.51</c:v>
                </c:pt>
                <c:pt idx="43">
                  <c:v>15652.21</c:v>
                </c:pt>
                <c:pt idx="44">
                  <c:v>37412.18</c:v>
                </c:pt>
                <c:pt idx="45">
                  <c:v>1759.11</c:v>
                </c:pt>
                <c:pt idx="46">
                  <c:v>35</c:v>
                </c:pt>
                <c:pt idx="47">
                  <c:v>279209.90999999997</c:v>
                </c:pt>
                <c:pt idx="48">
                  <c:v>8672.6299999999992</c:v>
                </c:pt>
                <c:pt idx="49">
                  <c:v>45186.41</c:v>
                </c:pt>
                <c:pt idx="50">
                  <c:v>40350.76</c:v>
                </c:pt>
                <c:pt idx="51">
                  <c:v>12307.29</c:v>
                </c:pt>
                <c:pt idx="52">
                  <c:v>7992.58</c:v>
                </c:pt>
                <c:pt idx="53">
                  <c:v>409.01</c:v>
                </c:pt>
                <c:pt idx="54">
                  <c:v>14564.4</c:v>
                </c:pt>
                <c:pt idx="55">
                  <c:v>37522.51</c:v>
                </c:pt>
                <c:pt idx="56">
                  <c:v>7019.4</c:v>
                </c:pt>
                <c:pt idx="57">
                  <c:v>8171.34</c:v>
                </c:pt>
                <c:pt idx="58">
                  <c:v>76.67</c:v>
                </c:pt>
                <c:pt idx="59">
                  <c:v>279207.51</c:v>
                </c:pt>
                <c:pt idx="60">
                  <c:v>36935.300000000003</c:v>
                </c:pt>
                <c:pt idx="61">
                  <c:v>828.36</c:v>
                </c:pt>
                <c:pt idx="62">
                  <c:v>30868.39</c:v>
                </c:pt>
                <c:pt idx="63">
                  <c:v>56806.76</c:v>
                </c:pt>
                <c:pt idx="64">
                  <c:v>117241.79</c:v>
                </c:pt>
                <c:pt idx="65">
                  <c:v>12412.71</c:v>
                </c:pt>
                <c:pt idx="66">
                  <c:v>6778.29</c:v>
                </c:pt>
                <c:pt idx="67">
                  <c:v>4724.46</c:v>
                </c:pt>
                <c:pt idx="68">
                  <c:v>18196.86</c:v>
                </c:pt>
                <c:pt idx="69">
                  <c:v>2474.89</c:v>
                </c:pt>
                <c:pt idx="70">
                  <c:v>12646.25</c:v>
                </c:pt>
                <c:pt idx="71">
                  <c:v>895.03</c:v>
                </c:pt>
                <c:pt idx="72">
                  <c:v>2422.88</c:v>
                </c:pt>
                <c:pt idx="73">
                  <c:v>79</c:v>
                </c:pt>
                <c:pt idx="74">
                  <c:v>602.35</c:v>
                </c:pt>
                <c:pt idx="75">
                  <c:v>273693.26</c:v>
                </c:pt>
                <c:pt idx="76">
                  <c:v>27317422.670000002</c:v>
                </c:pt>
                <c:pt idx="77">
                  <c:v>249936965.33000001</c:v>
                </c:pt>
                <c:pt idx="78">
                  <c:v>26000.47</c:v>
                </c:pt>
                <c:pt idx="79">
                  <c:v>9767</c:v>
                </c:pt>
                <c:pt idx="80">
                  <c:v>5710.81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8B-4670-AC06-1BB1BA5B6240}"/>
            </c:ext>
          </c:extLst>
        </c:ser>
        <c:ser>
          <c:idx val="2"/>
          <c:order val="8"/>
          <c:tx>
            <c:v>75 As Samples corrected</c:v>
          </c:tx>
          <c:spPr>
            <a:ln w="19050">
              <a:noFill/>
            </a:ln>
          </c:spPr>
          <c:xVal>
            <c:numRef>
              <c:f>ICP_As_Drift!$E$6:$E$86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ICP_As_Drift!$K$6:$K$86</c:f>
              <c:numCache>
                <c:formatCode>0.00</c:formatCode>
                <c:ptCount val="81"/>
                <c:pt idx="0">
                  <c:v>-628.48392932870411</c:v>
                </c:pt>
                <c:pt idx="1">
                  <c:v>430.61893407842467</c:v>
                </c:pt>
                <c:pt idx="2">
                  <c:v>1495.49179609154</c:v>
                </c:pt>
                <c:pt idx="3">
                  <c:v>11659.984673187122</c:v>
                </c:pt>
                <c:pt idx="4">
                  <c:v>24346.570039667862</c:v>
                </c:pt>
                <c:pt idx="5">
                  <c:v>128027.42789553375</c:v>
                </c:pt>
                <c:pt idx="6">
                  <c:v>257533.17826955573</c:v>
                </c:pt>
                <c:pt idx="7">
                  <c:v>1284925.4086284954</c:v>
                </c:pt>
                <c:pt idx="8">
                  <c:v>2571745.658987435</c:v>
                </c:pt>
                <c:pt idx="9">
                  <c:v>-2507.3006673142081</c:v>
                </c:pt>
                <c:pt idx="10">
                  <c:v>22877.132194698908</c:v>
                </c:pt>
                <c:pt idx="11">
                  <c:v>-5502.6785589280635</c:v>
                </c:pt>
                <c:pt idx="12">
                  <c:v>-1997.2757106034014</c:v>
                </c:pt>
                <c:pt idx="13">
                  <c:v>2444.1621452624931</c:v>
                </c:pt>
                <c:pt idx="14">
                  <c:v>-5164.2700139540784</c:v>
                </c:pt>
                <c:pt idx="15">
                  <c:v>-4831.0646474733394</c:v>
                </c:pt>
                <c:pt idx="16">
                  <c:v>-4655.4517991486773</c:v>
                </c:pt>
                <c:pt idx="17">
                  <c:v>-3591.3189508240166</c:v>
                </c:pt>
                <c:pt idx="18">
                  <c:v>-4369.1861024993541</c:v>
                </c:pt>
                <c:pt idx="19">
                  <c:v>-1756.0132390922263</c:v>
                </c:pt>
                <c:pt idx="20">
                  <c:v>-4243.140390767564</c:v>
                </c:pt>
                <c:pt idx="21">
                  <c:v>2039.5799544834872</c:v>
                </c:pt>
                <c:pt idx="22">
                  <c:v>-7863.2697016594739</c:v>
                </c:pt>
                <c:pt idx="23">
                  <c:v>254219.54316174766</c:v>
                </c:pt>
                <c:pt idx="24">
                  <c:v>-7381.7464930012929</c:v>
                </c:pt>
                <c:pt idx="25">
                  <c:v>-6953.7836446766323</c:v>
                </c:pt>
                <c:pt idx="26">
                  <c:v>-7034.870796351971</c:v>
                </c:pt>
                <c:pt idx="27">
                  <c:v>-8314.8154298712307</c:v>
                </c:pt>
                <c:pt idx="28">
                  <c:v>-3464.3200784729597</c:v>
                </c:pt>
                <c:pt idx="29">
                  <c:v>-4000.5372301482976</c:v>
                </c:pt>
                <c:pt idx="30">
                  <c:v>3086.3156181763643</c:v>
                </c:pt>
                <c:pt idx="31">
                  <c:v>-6043.4615184165068</c:v>
                </c:pt>
                <c:pt idx="32">
                  <c:v>-980.72616701823608</c:v>
                </c:pt>
                <c:pt idx="33">
                  <c:v>-8865.8531351711063</c:v>
                </c:pt>
                <c:pt idx="34">
                  <c:v>-12145.837783772835</c:v>
                </c:pt>
                <c:pt idx="35">
                  <c:v>257047.00756901942</c:v>
                </c:pt>
                <c:pt idx="36">
                  <c:v>-11642.209582655887</c:v>
                </c:pt>
                <c:pt idx="37">
                  <c:v>66517.918286898464</c:v>
                </c:pt>
                <c:pt idx="38">
                  <c:v>-4492.2313253911125</c:v>
                </c:pt>
                <c:pt idx="39">
                  <c:v>-1531.815972598828</c:v>
                </c:pt>
                <c:pt idx="40">
                  <c:v>-3676.468103044479</c:v>
                </c:pt>
                <c:pt idx="41">
                  <c:v>-3730.6727502521935</c:v>
                </c:pt>
                <c:pt idx="42">
                  <c:v>398.67509053123467</c:v>
                </c:pt>
                <c:pt idx="43">
                  <c:v>1489.060441929505</c:v>
                </c:pt>
                <c:pt idx="44">
                  <c:v>23022.845808410246</c:v>
                </c:pt>
                <c:pt idx="45">
                  <c:v>-12847.538838797469</c:v>
                </c:pt>
                <c:pt idx="46">
                  <c:v>-15456.429906113059</c:v>
                </c:pt>
                <c:pt idx="47">
                  <c:v>263498.94794975279</c:v>
                </c:pt>
                <c:pt idx="48">
                  <c:v>-7255.6466988488919</c:v>
                </c:pt>
                <c:pt idx="49">
                  <c:v>29040.818653943395</c:v>
                </c:pt>
                <c:pt idx="50">
                  <c:v>23978.984020424134</c:v>
                </c:pt>
                <c:pt idx="51">
                  <c:v>-4281.8006281775924</c:v>
                </c:pt>
                <c:pt idx="52">
                  <c:v>-8813.8252753853103</c:v>
                </c:pt>
                <c:pt idx="53">
                  <c:v>-16614.70992398704</c:v>
                </c:pt>
                <c:pt idx="54">
                  <c:v>-2687.7220544326901</c:v>
                </c:pt>
                <c:pt idx="55">
                  <c:v>20053.073298359599</c:v>
                </c:pt>
                <c:pt idx="56">
                  <c:v>-10665.133853315741</c:v>
                </c:pt>
                <c:pt idx="57">
                  <c:v>-9728.2910049910788</c:v>
                </c:pt>
                <c:pt idx="58">
                  <c:v>-18049.145638510345</c:v>
                </c:pt>
                <c:pt idx="59">
                  <c:v>260864.37971288792</c:v>
                </c:pt>
                <c:pt idx="60">
                  <c:v>18374.855065680218</c:v>
                </c:pt>
                <c:pt idx="61">
                  <c:v>-17947.182085995122</c:v>
                </c:pt>
                <c:pt idx="62">
                  <c:v>11866.663280485616</c:v>
                </c:pt>
                <c:pt idx="63">
                  <c:v>37589.936128810281</c:v>
                </c:pt>
                <c:pt idx="64">
                  <c:v>97805.433984676172</c:v>
                </c:pt>
                <c:pt idx="65">
                  <c:v>-7236.5256714667885</c:v>
                </c:pt>
                <c:pt idx="66">
                  <c:v>-13097.130304986051</c:v>
                </c:pt>
                <c:pt idx="67">
                  <c:v>-15370.492449120156</c:v>
                </c:pt>
                <c:pt idx="68">
                  <c:v>-2115.4070963278682</c:v>
                </c:pt>
                <c:pt idx="69">
                  <c:v>-18054.691744929598</c:v>
                </c:pt>
                <c:pt idx="70">
                  <c:v>-8111.7338753752483</c:v>
                </c:pt>
                <c:pt idx="71">
                  <c:v>-20080.268522582966</c:v>
                </c:pt>
                <c:pt idx="72">
                  <c:v>-18769.733171184689</c:v>
                </c:pt>
                <c:pt idx="73">
                  <c:v>-21330.927818392407</c:v>
                </c:pt>
                <c:pt idx="74">
                  <c:v>-21035.979948838059</c:v>
                </c:pt>
                <c:pt idx="75">
                  <c:v>251837.61540256022</c:v>
                </c:pt>
                <c:pt idx="76">
                  <c:v>27295349.710755356</c:v>
                </c:pt>
                <c:pt idx="77">
                  <c:v>249914677.27360368</c:v>
                </c:pt>
                <c:pt idx="78">
                  <c:v>3481.7939776991334</c:v>
                </c:pt>
                <c:pt idx="79">
                  <c:v>-12971.208167828983</c:v>
                </c:pt>
                <c:pt idx="80">
                  <c:v>-17242.49531950432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8B-4670-AC06-1BB1BA5B6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in val="45246.484000000011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10000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356952242814326"/>
          <c:y val="0.17713794556322804"/>
          <c:w val="0.21094694044160475"/>
          <c:h val="0.23584566816562136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As calibration calc &amp; measure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ICP_As_Drift!$AO$28</c:f>
              <c:strCache>
                <c:ptCount val="1"/>
                <c:pt idx="0">
                  <c:v>Linear Model of As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43231940405788"/>
                  <c:y val="3.2870005832604257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ICP_As_Drift!$AB$30:$AB$38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</c:numCache>
            </c:numRef>
          </c:xVal>
          <c:yVal>
            <c:numRef>
              <c:f>ICP_As_Drift!$Z$30:$Z$38</c:f>
              <c:numCache>
                <c:formatCode>General</c:formatCode>
                <c:ptCount val="9"/>
                <c:pt idx="0">
                  <c:v>32.33</c:v>
                </c:pt>
                <c:pt idx="1">
                  <c:v>1315.4</c:v>
                </c:pt>
                <c:pt idx="2">
                  <c:v>2604.2399999999998</c:v>
                </c:pt>
                <c:pt idx="3">
                  <c:v>13001.57</c:v>
                </c:pt>
                <c:pt idx="4">
                  <c:v>25914.34</c:v>
                </c:pt>
                <c:pt idx="5">
                  <c:v>129814.73</c:v>
                </c:pt>
                <c:pt idx="6">
                  <c:v>259551.1</c:v>
                </c:pt>
                <c:pt idx="7">
                  <c:v>1287165.08</c:v>
                </c:pt>
                <c:pt idx="8">
                  <c:v>2574207.08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3C5-44CD-B8CC-3D22E4DE9C31}"/>
            </c:ext>
          </c:extLst>
        </c:ser>
        <c:ser>
          <c:idx val="1"/>
          <c:order val="1"/>
          <c:tx>
            <c:strRef>
              <c:f>ICP_As_Drift!$M$2</c:f>
              <c:strCache>
                <c:ptCount val="1"/>
                <c:pt idx="0">
                  <c:v>Measure Conc ppb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633232824394742"/>
                  <c:y val="0.20376142232587643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ICP_As_Drift!$M$6:$M$14</c:f>
              <c:numCache>
                <c:formatCode>0.00</c:formatCode>
                <c:ptCount val="9"/>
                <c:pt idx="0">
                  <c:v>0</c:v>
                </c:pt>
                <c:pt idx="1">
                  <c:v>0.498</c:v>
                </c:pt>
                <c:pt idx="2">
                  <c:v>0.999</c:v>
                </c:pt>
                <c:pt idx="3">
                  <c:v>5.0380000000000003</c:v>
                </c:pt>
                <c:pt idx="4">
                  <c:v>10.054</c:v>
                </c:pt>
                <c:pt idx="5">
                  <c:v>50.412999999999997</c:v>
                </c:pt>
                <c:pt idx="6">
                  <c:v>100.807</c:v>
                </c:pt>
                <c:pt idx="7">
                  <c:v>499.97300000000001</c:v>
                </c:pt>
                <c:pt idx="8">
                  <c:v>999.91099999999994</c:v>
                </c:pt>
              </c:numCache>
            </c:numRef>
          </c:xVal>
          <c:yVal>
            <c:numRef>
              <c:f>ICP_As_Drift!$I$6:$I$14</c:f>
              <c:numCache>
                <c:formatCode>0.00</c:formatCode>
                <c:ptCount val="9"/>
                <c:pt idx="0">
                  <c:v>32.33</c:v>
                </c:pt>
                <c:pt idx="1">
                  <c:v>1315.4</c:v>
                </c:pt>
                <c:pt idx="2">
                  <c:v>2604.2399999999998</c:v>
                </c:pt>
                <c:pt idx="3">
                  <c:v>13001.57</c:v>
                </c:pt>
                <c:pt idx="4">
                  <c:v>25914.34</c:v>
                </c:pt>
                <c:pt idx="5">
                  <c:v>129814.73</c:v>
                </c:pt>
                <c:pt idx="6">
                  <c:v>259551.1</c:v>
                </c:pt>
                <c:pt idx="7">
                  <c:v>1287165.08</c:v>
                </c:pt>
                <c:pt idx="8">
                  <c:v>2574207.08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3C5-44CD-B8CC-3D22E4DE9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inorUnit val="50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  <c:minorUnit val="5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Al Cal Checks 100 ppb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56910074757788"/>
          <c:y val="5.7854076747854144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strRef>
              <c:f>ICP_Al_Drift!$AB$2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ICP_Al_Drift!$AB$3:$AB$8</c:f>
              <c:numCache>
                <c:formatCode>General</c:formatCode>
                <c:ptCount val="6"/>
                <c:pt idx="0">
                  <c:v>51377.505000000005</c:v>
                </c:pt>
                <c:pt idx="1">
                  <c:v>51377.505000000005</c:v>
                </c:pt>
                <c:pt idx="2">
                  <c:v>51377.505000000005</c:v>
                </c:pt>
                <c:pt idx="3">
                  <c:v>51377.505000000005</c:v>
                </c:pt>
                <c:pt idx="4">
                  <c:v>51377.505000000005</c:v>
                </c:pt>
                <c:pt idx="5">
                  <c:v>51377.505000000005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B9-4498-8391-2D38E6CB1B11}"/>
            </c:ext>
          </c:extLst>
        </c:ser>
        <c:ser>
          <c:idx val="7"/>
          <c:order val="1"/>
          <c:tx>
            <c:strRef>
              <c:f>ICP_Al_Drift!$AC$2</c:f>
              <c:strCache>
                <c:ptCount val="1"/>
                <c:pt idx="0">
                  <c:v>120%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ICP_Al_Drift!$AC$3:$AC$8</c:f>
              <c:numCache>
                <c:formatCode>General</c:formatCode>
                <c:ptCount val="6"/>
                <c:pt idx="0">
                  <c:v>61653.006000000001</c:v>
                </c:pt>
                <c:pt idx="1">
                  <c:v>61653.006000000001</c:v>
                </c:pt>
                <c:pt idx="2">
                  <c:v>61653.006000000001</c:v>
                </c:pt>
                <c:pt idx="3">
                  <c:v>61653.006000000001</c:v>
                </c:pt>
                <c:pt idx="4">
                  <c:v>61653.006000000001</c:v>
                </c:pt>
                <c:pt idx="5">
                  <c:v>61653.006000000001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B9-4498-8391-2D38E6CB1B11}"/>
            </c:ext>
          </c:extLst>
        </c:ser>
        <c:ser>
          <c:idx val="8"/>
          <c:order val="2"/>
          <c:tx>
            <c:strRef>
              <c:f>ICP_Al_Drift!$AD$2</c:f>
              <c:strCache>
                <c:ptCount val="1"/>
                <c:pt idx="0">
                  <c:v>80%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ICP_Al_Drift!$AD$3:$AD$8</c:f>
              <c:numCache>
                <c:formatCode>General</c:formatCode>
                <c:ptCount val="6"/>
                <c:pt idx="0">
                  <c:v>41102.004000000008</c:v>
                </c:pt>
                <c:pt idx="1">
                  <c:v>41102.004000000008</c:v>
                </c:pt>
                <c:pt idx="2">
                  <c:v>41102.004000000008</c:v>
                </c:pt>
                <c:pt idx="3">
                  <c:v>41102.004000000008</c:v>
                </c:pt>
                <c:pt idx="4">
                  <c:v>41102.004000000008</c:v>
                </c:pt>
                <c:pt idx="5">
                  <c:v>41102.004000000008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B9-4498-8391-2D38E6CB1B11}"/>
            </c:ext>
          </c:extLst>
        </c:ser>
        <c:ser>
          <c:idx val="9"/>
          <c:order val="3"/>
          <c:tx>
            <c:strRef>
              <c:f>ICP_Al_Drift!$AE$2</c:f>
              <c:strCache>
                <c:ptCount val="1"/>
                <c:pt idx="0">
                  <c:v>110%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ICP_Al_Drift!$AE$3:$AE$8</c:f>
              <c:numCache>
                <c:formatCode>General</c:formatCode>
                <c:ptCount val="6"/>
                <c:pt idx="0">
                  <c:v>56515.255500000007</c:v>
                </c:pt>
                <c:pt idx="1">
                  <c:v>56515.255500000007</c:v>
                </c:pt>
                <c:pt idx="2">
                  <c:v>56515.255500000007</c:v>
                </c:pt>
                <c:pt idx="3">
                  <c:v>56515.255500000007</c:v>
                </c:pt>
                <c:pt idx="4">
                  <c:v>56515.255500000007</c:v>
                </c:pt>
                <c:pt idx="5">
                  <c:v>56515.255500000007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B9-4498-8391-2D38E6CB1B11}"/>
            </c:ext>
          </c:extLst>
        </c:ser>
        <c:ser>
          <c:idx val="10"/>
          <c:order val="4"/>
          <c:tx>
            <c:strRef>
              <c:f>ICP_Al_Drift!$AF$2</c:f>
              <c:strCache>
                <c:ptCount val="1"/>
                <c:pt idx="0">
                  <c:v>90%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ICP_Al_Drift!$AF$3:$AF$8</c:f>
              <c:numCache>
                <c:formatCode>General</c:formatCode>
                <c:ptCount val="6"/>
                <c:pt idx="0">
                  <c:v>46239.754500000003</c:v>
                </c:pt>
                <c:pt idx="1">
                  <c:v>46239.754500000003</c:v>
                </c:pt>
                <c:pt idx="2">
                  <c:v>46239.754500000003</c:v>
                </c:pt>
                <c:pt idx="3">
                  <c:v>46239.754500000003</c:v>
                </c:pt>
                <c:pt idx="4">
                  <c:v>46239.754500000003</c:v>
                </c:pt>
                <c:pt idx="5">
                  <c:v>46239.754500000003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2B9-4498-8391-2D38E6CB1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scatterChart>
        <c:scatterStyle val="lineMarker"/>
        <c:varyColors val="0"/>
        <c:ser>
          <c:idx val="11"/>
          <c:order val="5"/>
          <c:tx>
            <c:strRef>
              <c:f>ICP_Al_Drift!$Z$1</c:f>
              <c:strCache>
                <c:ptCount val="1"/>
                <c:pt idx="0">
                  <c:v>27  Al  [ He ] 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5-02B9-4498-8391-2D38E6CB1B11}"/>
              </c:ext>
            </c:extLst>
          </c:dPt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7.6961045799126592E-3"/>
                  <c:y val="-0.14909160950352252"/>
                </c:manualLayout>
              </c:layout>
              <c:numFmt formatCode="#,##0.0000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ICP_Al_Drift!$Z$3:$Z$8</c:f>
              <c:numCache>
                <c:formatCode>General</c:formatCode>
                <c:ptCount val="6"/>
                <c:pt idx="0" formatCode="0.00">
                  <c:v>46356.71</c:v>
                </c:pt>
                <c:pt idx="1">
                  <c:v>47533.62</c:v>
                </c:pt>
                <c:pt idx="2">
                  <c:v>48426.69</c:v>
                </c:pt>
                <c:pt idx="3">
                  <c:v>54671.18</c:v>
                </c:pt>
                <c:pt idx="4">
                  <c:v>55767.7</c:v>
                </c:pt>
                <c:pt idx="5">
                  <c:v>55509.13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2B9-4498-8391-2D38E6CB1B11}"/>
            </c:ext>
          </c:extLst>
        </c:ser>
        <c:ser>
          <c:idx val="0"/>
          <c:order val="6"/>
          <c:tx>
            <c:strRef>
              <c:f>ICP_Al_Drift!$BB$1</c:f>
              <c:strCache>
                <c:ptCount val="1"/>
                <c:pt idx="0">
                  <c:v>27 Al  [ He ] corrected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8.2886917217711562E-2"/>
                  <c:y val="0.14646166259944368"/>
                </c:manualLayout>
              </c:layout>
              <c:numFmt formatCode="#,##0.0000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ICP_Al_Drift!$AX$3:$AX$8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ICP_Al_Drift!$BB$3:$BB$8</c:f>
              <c:numCache>
                <c:formatCode>General</c:formatCode>
                <c:ptCount val="6"/>
                <c:pt idx="0">
                  <c:v>45229.81997804487</c:v>
                </c:pt>
                <c:pt idx="1">
                  <c:v>42996.339734265523</c:v>
                </c:pt>
                <c:pt idx="2">
                  <c:v>41508.080598891378</c:v>
                </c:pt>
                <c:pt idx="3">
                  <c:v>45897.536254243147</c:v>
                </c:pt>
                <c:pt idx="4">
                  <c:v>45524.145862041143</c:v>
                </c:pt>
                <c:pt idx="5">
                  <c:v>43304.044218585645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2B9-4498-8391-2D38E6CB1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836724413693577"/>
          <c:y val="0.46944730236536164"/>
          <c:w val="0.22784657508085501"/>
          <c:h val="0.4245222026981184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Al Blanks </a:t>
            </a:r>
          </a:p>
        </c:rich>
      </c:tx>
      <c:layout>
        <c:manualLayout>
          <c:xMode val="edge"/>
          <c:yMode val="edge"/>
          <c:x val="0.43189771762790663"/>
          <c:y val="1.00791938930561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904865119220868E-2"/>
          <c:y val="5.9869935542364597E-2"/>
          <c:w val="0.76017652565518312"/>
          <c:h val="0.84833853807841519"/>
        </c:manualLayout>
      </c:layout>
      <c:scatterChart>
        <c:scatterStyle val="smoothMarker"/>
        <c:varyColors val="0"/>
        <c:ser>
          <c:idx val="3"/>
          <c:order val="1"/>
          <c:tx>
            <c:strRef>
              <c:f>ICP_Al_Drift!$AB$2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ICP_Al_Drift!$AB$15:$AB$24</c:f>
              <c:numCache>
                <c:formatCode>General</c:formatCode>
                <c:ptCount val="10"/>
                <c:pt idx="0">
                  <c:v>1593.8229999999999</c:v>
                </c:pt>
                <c:pt idx="1">
                  <c:v>1593.8229999999999</c:v>
                </c:pt>
                <c:pt idx="2">
                  <c:v>1593.8229999999999</c:v>
                </c:pt>
                <c:pt idx="3">
                  <c:v>1593.8229999999999</c:v>
                </c:pt>
                <c:pt idx="4">
                  <c:v>1593.8229999999999</c:v>
                </c:pt>
                <c:pt idx="5">
                  <c:v>1593.8229999999999</c:v>
                </c:pt>
                <c:pt idx="6">
                  <c:v>1593.8229999999999</c:v>
                </c:pt>
                <c:pt idx="7">
                  <c:v>1593.8229999999999</c:v>
                </c:pt>
                <c:pt idx="8">
                  <c:v>1593.8229999999999</c:v>
                </c:pt>
                <c:pt idx="9">
                  <c:v>1593.8229999999999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9F-44E5-906C-CEDEB6DDE437}"/>
            </c:ext>
          </c:extLst>
        </c:ser>
        <c:ser>
          <c:idx val="4"/>
          <c:order val="2"/>
          <c:tx>
            <c:strRef>
              <c:f>ICP_Al_Drift!$AJ$11</c:f>
              <c:strCache>
                <c:ptCount val="1"/>
                <c:pt idx="0">
                  <c:v>plus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ICP_Al_Drift!$V$15:$V$24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ICP_Al_Drift!$AJ$15:$AJ$24</c:f>
              <c:numCache>
                <c:formatCode>General</c:formatCode>
                <c:ptCount val="10"/>
                <c:pt idx="0">
                  <c:v>2776.0812816001376</c:v>
                </c:pt>
                <c:pt idx="1">
                  <c:v>2776.0812816001376</c:v>
                </c:pt>
                <c:pt idx="2">
                  <c:v>2776.0812816001376</c:v>
                </c:pt>
                <c:pt idx="3">
                  <c:v>2776.0812816001376</c:v>
                </c:pt>
                <c:pt idx="4">
                  <c:v>2776.0812816001376</c:v>
                </c:pt>
                <c:pt idx="5">
                  <c:v>2776.0812816001376</c:v>
                </c:pt>
                <c:pt idx="6">
                  <c:v>2776.0812816001376</c:v>
                </c:pt>
                <c:pt idx="7">
                  <c:v>2776.0812816001376</c:v>
                </c:pt>
                <c:pt idx="8">
                  <c:v>2776.0812816001376</c:v>
                </c:pt>
                <c:pt idx="9">
                  <c:v>2776.0812816001376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9F-44E5-906C-CEDEB6DDE437}"/>
            </c:ext>
          </c:extLst>
        </c:ser>
        <c:ser>
          <c:idx val="5"/>
          <c:order val="3"/>
          <c:tx>
            <c:strRef>
              <c:f>ICP_Al_Drift!$AK$11</c:f>
              <c:strCache>
                <c:ptCount val="1"/>
                <c:pt idx="0">
                  <c:v>minus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ICP_Al_Drift!$V$15:$V$24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ICP_Al_Drift!$AK$15:$AK$24</c:f>
              <c:numCache>
                <c:formatCode>General</c:formatCode>
                <c:ptCount val="10"/>
                <c:pt idx="0">
                  <c:v>570.94701839986226</c:v>
                </c:pt>
                <c:pt idx="1">
                  <c:v>570.94701839986226</c:v>
                </c:pt>
                <c:pt idx="2">
                  <c:v>570.94701839986226</c:v>
                </c:pt>
                <c:pt idx="3">
                  <c:v>570.94701839986226</c:v>
                </c:pt>
                <c:pt idx="4">
                  <c:v>570.94701839986226</c:v>
                </c:pt>
                <c:pt idx="5">
                  <c:v>570.94701839986226</c:v>
                </c:pt>
                <c:pt idx="6">
                  <c:v>570.94701839986226</c:v>
                </c:pt>
                <c:pt idx="7">
                  <c:v>570.94701839986226</c:v>
                </c:pt>
                <c:pt idx="8">
                  <c:v>570.94701839986226</c:v>
                </c:pt>
                <c:pt idx="9">
                  <c:v>570.94701839986226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9F-44E5-906C-CEDEB6DDE437}"/>
            </c:ext>
          </c:extLst>
        </c:ser>
        <c:ser>
          <c:idx val="1"/>
          <c:order val="4"/>
          <c:tx>
            <c:strRef>
              <c:f>ICP_Al_Drift!$AL$11</c:f>
              <c:strCache>
                <c:ptCount val="1"/>
                <c:pt idx="0">
                  <c:v>plus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ICP_Al_Drift!$V$15:$V$24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ICP_Al_Drift!$AL$15:$AL$24</c:f>
              <c:numCache>
                <c:formatCode>General</c:formatCode>
                <c:ptCount val="10"/>
                <c:pt idx="0">
                  <c:v>3639.5749632002753</c:v>
                </c:pt>
                <c:pt idx="1">
                  <c:v>3639.5749632002753</c:v>
                </c:pt>
                <c:pt idx="2">
                  <c:v>3639.5749632002753</c:v>
                </c:pt>
                <c:pt idx="3">
                  <c:v>3639.5749632002753</c:v>
                </c:pt>
                <c:pt idx="4">
                  <c:v>3639.5749632002753</c:v>
                </c:pt>
                <c:pt idx="5">
                  <c:v>3639.5749632002753</c:v>
                </c:pt>
                <c:pt idx="6">
                  <c:v>3639.5749632002753</c:v>
                </c:pt>
                <c:pt idx="7">
                  <c:v>3639.5749632002753</c:v>
                </c:pt>
                <c:pt idx="8">
                  <c:v>3639.5749632002753</c:v>
                </c:pt>
                <c:pt idx="9">
                  <c:v>3639.5749632002753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E9F-44E5-906C-CEDEB6DDE437}"/>
            </c:ext>
          </c:extLst>
        </c:ser>
        <c:ser>
          <c:idx val="2"/>
          <c:order val="5"/>
          <c:tx>
            <c:strRef>
              <c:f>ICP_Al_Drift!$AM$11</c:f>
              <c:strCache>
                <c:ptCount val="1"/>
                <c:pt idx="0">
                  <c:v>minus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ICP_Al_Drift!$V$15:$V$24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ICP_Al_Drift!$AM$15:$AM$24</c:f>
              <c:numCache>
                <c:formatCode>General</c:formatCode>
                <c:ptCount val="10"/>
                <c:pt idx="0">
                  <c:v>-451.92896320027535</c:v>
                </c:pt>
                <c:pt idx="1">
                  <c:v>-451.92896320027535</c:v>
                </c:pt>
                <c:pt idx="2">
                  <c:v>-451.92896320027535</c:v>
                </c:pt>
                <c:pt idx="3">
                  <c:v>-451.92896320027535</c:v>
                </c:pt>
                <c:pt idx="4">
                  <c:v>-451.92896320027535</c:v>
                </c:pt>
                <c:pt idx="5">
                  <c:v>-451.92896320027535</c:v>
                </c:pt>
                <c:pt idx="6">
                  <c:v>-451.92896320027535</c:v>
                </c:pt>
                <c:pt idx="7">
                  <c:v>-451.92896320027535</c:v>
                </c:pt>
                <c:pt idx="8">
                  <c:v>-451.92896320027535</c:v>
                </c:pt>
                <c:pt idx="9">
                  <c:v>-451.92896320027535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E9F-44E5-906C-CEDEB6DDE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/>
      </c:scatterChart>
      <c:scatterChart>
        <c:scatterStyle val="lineMarker"/>
        <c:varyColors val="0"/>
        <c:ser>
          <c:idx val="0"/>
          <c:order val="0"/>
          <c:tx>
            <c:v>Al Blanks</c:v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8350536180561419E-2"/>
                  <c:y val="-0.16697423256875499"/>
                </c:manualLayout>
              </c:layout>
              <c:numFmt formatCode="General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ICP_Al_Drift!$V$15:$V$24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ICP_Al_Drift!$Z$15:$Z$24</c:f>
              <c:numCache>
                <c:formatCode>General</c:formatCode>
                <c:ptCount val="10"/>
                <c:pt idx="0">
                  <c:v>358.67</c:v>
                </c:pt>
                <c:pt idx="1">
                  <c:v>365.34</c:v>
                </c:pt>
                <c:pt idx="2">
                  <c:v>2595.9</c:v>
                </c:pt>
                <c:pt idx="3">
                  <c:v>2078.15</c:v>
                </c:pt>
                <c:pt idx="4">
                  <c:v>1202.3900000000001</c:v>
                </c:pt>
                <c:pt idx="5">
                  <c:v>2211.17</c:v>
                </c:pt>
                <c:pt idx="6">
                  <c:v>3588.12</c:v>
                </c:pt>
                <c:pt idx="7">
                  <c:v>1385.4</c:v>
                </c:pt>
                <c:pt idx="8">
                  <c:v>1239.06</c:v>
                </c:pt>
                <c:pt idx="9">
                  <c:v>914.03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E9F-44E5-906C-CEDEB6DDE437}"/>
            </c:ext>
          </c:extLst>
        </c:ser>
        <c:ser>
          <c:idx val="6"/>
          <c:order val="6"/>
          <c:tx>
            <c:strRef>
              <c:f>ICP_Al_Drift!$AS$10</c:f>
              <c:strCache>
                <c:ptCount val="1"/>
                <c:pt idx="0">
                  <c:v>Blanks corrected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trendlineType val="linear"/>
            <c:dispRSqr val="0"/>
            <c:dispEq val="0"/>
          </c:trendline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6152134955764232E-2"/>
                  <c:y val="0.15506323940212444"/>
                </c:manualLayout>
              </c:layout>
              <c:numFmt formatCode="General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ICP_Al_Drift!$AX$15:$AX$24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ICP_Al_Drift!$BB$15:$BB$24</c:f>
              <c:numCache>
                <c:formatCode>General</c:formatCode>
                <c:ptCount val="10"/>
                <c:pt idx="0">
                  <c:v>240.17777975900651</c:v>
                </c:pt>
                <c:pt idx="1">
                  <c:v>120.79013579638956</c:v>
                </c:pt>
                <c:pt idx="2">
                  <c:v>2245.8272132403622</c:v>
                </c:pt>
                <c:pt idx="3">
                  <c:v>1538.8433689094418</c:v>
                </c:pt>
                <c:pt idx="4">
                  <c:v>515.99974227084078</c:v>
                </c:pt>
                <c:pt idx="5">
                  <c:v>1408.0560626120216</c:v>
                </c:pt>
                <c:pt idx="6">
                  <c:v>2629.3744897130073</c:v>
                </c:pt>
                <c:pt idx="7">
                  <c:v>387.64834425599304</c:v>
                </c:pt>
                <c:pt idx="8">
                  <c:v>231.58137089961997</c:v>
                </c:pt>
                <c:pt idx="9">
                  <c:v>-102.9790978995826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E9F-44E5-906C-CEDEB6DDE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4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egendEntry>
        <c:idx val="8"/>
        <c:delete val="1"/>
      </c:legendEntry>
      <c:layout>
        <c:manualLayout>
          <c:xMode val="edge"/>
          <c:yMode val="edge"/>
          <c:x val="0.82630327977805351"/>
          <c:y val="0.22740819279517122"/>
          <c:w val="0.17369672022194654"/>
          <c:h val="0.5289858777622557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Al Samples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6534632541841"/>
          <c:y val="3.5511943796382978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v>Mean Cal Check</c:v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ICP_Al_Drift!$AB$3:$AB$8</c:f>
              <c:numCache>
                <c:formatCode>General</c:formatCode>
                <c:ptCount val="6"/>
                <c:pt idx="0">
                  <c:v>51377.505000000005</c:v>
                </c:pt>
                <c:pt idx="1">
                  <c:v>51377.505000000005</c:v>
                </c:pt>
                <c:pt idx="2">
                  <c:v>51377.505000000005</c:v>
                </c:pt>
                <c:pt idx="3">
                  <c:v>51377.505000000005</c:v>
                </c:pt>
                <c:pt idx="4">
                  <c:v>51377.505000000005</c:v>
                </c:pt>
                <c:pt idx="5">
                  <c:v>51377.505000000005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60-41E3-A7F8-11A689C67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ICP_Mn_Drift!$AC$2</c15:sqref>
                        </c15:formulaRef>
                      </c:ext>
                    </c:extLst>
                    <c:strCache>
                      <c:ptCount val="1"/>
                      <c:pt idx="0">
                        <c:v>120%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ICP_Mn_Drift!$AC$3:$AC$8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1230783.132</c:v>
                      </c:pt>
                      <c:pt idx="1">
                        <c:v>1230783.132</c:v>
                      </c:pt>
                      <c:pt idx="2">
                        <c:v>1230783.132</c:v>
                      </c:pt>
                      <c:pt idx="3">
                        <c:v>1230783.132</c:v>
                      </c:pt>
                      <c:pt idx="4">
                        <c:v>1230783.132</c:v>
                      </c:pt>
                      <c:pt idx="5">
                        <c:v>1230783.132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5E60-41E3-A7F8-11A689C67725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ICP_Mn_Drift!$AD$2</c15:sqref>
                        </c15:formulaRef>
                      </c:ext>
                    </c:extLst>
                    <c:strCache>
                      <c:ptCount val="1"/>
                      <c:pt idx="0">
                        <c:v>80%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ICP_Mn_Drift!$AD$3:$AD$8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820522.08799999999</c:v>
                      </c:pt>
                      <c:pt idx="1">
                        <c:v>820522.08799999999</c:v>
                      </c:pt>
                      <c:pt idx="2">
                        <c:v>820522.08799999999</c:v>
                      </c:pt>
                      <c:pt idx="3">
                        <c:v>820522.08799999999</c:v>
                      </c:pt>
                      <c:pt idx="4">
                        <c:v>820522.08799999999</c:v>
                      </c:pt>
                      <c:pt idx="5">
                        <c:v>820522.08799999999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E60-41E3-A7F8-11A689C67725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ICP_Mn_Drift!$AE$2</c15:sqref>
                        </c15:formulaRef>
                      </c:ext>
                    </c:extLst>
                    <c:strCache>
                      <c:ptCount val="1"/>
                      <c:pt idx="0">
                        <c:v>110%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ICP_Mn_Drift!$AE$3:$AE$8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1128217.871</c:v>
                      </c:pt>
                      <c:pt idx="1">
                        <c:v>1128217.871</c:v>
                      </c:pt>
                      <c:pt idx="2">
                        <c:v>1128217.871</c:v>
                      </c:pt>
                      <c:pt idx="3">
                        <c:v>1128217.871</c:v>
                      </c:pt>
                      <c:pt idx="4">
                        <c:v>1128217.871</c:v>
                      </c:pt>
                      <c:pt idx="5">
                        <c:v>1128217.871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E60-41E3-A7F8-11A689C67725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ICP_Mn_Drift!$AF$2</c15:sqref>
                        </c15:formulaRef>
                      </c:ext>
                    </c:extLst>
                    <c:strCache>
                      <c:ptCount val="1"/>
                      <c:pt idx="0">
                        <c:v>90%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ICP_Mn_Drift!$AF$3:$AF$8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923087.34900000005</c:v>
                      </c:pt>
                      <c:pt idx="1">
                        <c:v>923087.34900000005</c:v>
                      </c:pt>
                      <c:pt idx="2">
                        <c:v>923087.34900000005</c:v>
                      </c:pt>
                      <c:pt idx="3">
                        <c:v>923087.34900000005</c:v>
                      </c:pt>
                      <c:pt idx="4">
                        <c:v>923087.34900000005</c:v>
                      </c:pt>
                      <c:pt idx="5">
                        <c:v>923087.34900000005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E60-41E3-A7F8-11A689C67725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1"/>
          <c:order val="5"/>
          <c:tx>
            <c:strRef>
              <c:f>ICP_Al_Drift!$Q$1</c:f>
              <c:strCache>
                <c:ptCount val="1"/>
                <c:pt idx="0">
                  <c:v>100 ppb cal checks masured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5E60-41E3-A7F8-11A689C67725}"/>
              </c:ext>
            </c:extLst>
          </c:dPt>
          <c:xVal>
            <c:numRef>
              <c:f>ICP_Al_Drift!$V$3:$V$8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ICP_Al_Drift!$Z$3:$Z$8</c:f>
              <c:numCache>
                <c:formatCode>General</c:formatCode>
                <c:ptCount val="6"/>
                <c:pt idx="0" formatCode="0.00">
                  <c:v>46356.71</c:v>
                </c:pt>
                <c:pt idx="1">
                  <c:v>47533.62</c:v>
                </c:pt>
                <c:pt idx="2">
                  <c:v>48426.69</c:v>
                </c:pt>
                <c:pt idx="3">
                  <c:v>54671.18</c:v>
                </c:pt>
                <c:pt idx="4">
                  <c:v>55767.7</c:v>
                </c:pt>
                <c:pt idx="5">
                  <c:v>55509.13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60-41E3-A7F8-11A689C67725}"/>
            </c:ext>
          </c:extLst>
        </c:ser>
        <c:ser>
          <c:idx val="0"/>
          <c:order val="6"/>
          <c:tx>
            <c:strRef>
              <c:f>ICP_Al_Drift!$AS$1</c:f>
              <c:strCache>
                <c:ptCount val="1"/>
                <c:pt idx="0">
                  <c:v>100 ppb cal checks corrected</c:v>
                </c:pt>
              </c:strCache>
            </c:strRef>
          </c:tx>
          <c:spPr>
            <a:ln w="25400">
              <a:noFill/>
            </a:ln>
          </c:spPr>
          <c:xVal>
            <c:numRef>
              <c:f>ICP_Al_Drift!$AX$3:$AX$8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ICP_Al_Drift!$BB$3:$BB$8</c:f>
              <c:numCache>
                <c:formatCode>General</c:formatCode>
                <c:ptCount val="6"/>
                <c:pt idx="0">
                  <c:v>45229.81997804487</c:v>
                </c:pt>
                <c:pt idx="1">
                  <c:v>42996.339734265523</c:v>
                </c:pt>
                <c:pt idx="2">
                  <c:v>41508.080598891378</c:v>
                </c:pt>
                <c:pt idx="3">
                  <c:v>45897.536254243147</c:v>
                </c:pt>
                <c:pt idx="4">
                  <c:v>45524.145862041143</c:v>
                </c:pt>
                <c:pt idx="5">
                  <c:v>43304.044218585645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60-41E3-A7F8-11A689C67725}"/>
            </c:ext>
          </c:extLst>
        </c:ser>
        <c:ser>
          <c:idx val="1"/>
          <c:order val="7"/>
          <c:tx>
            <c:v>75 Al Samples</c:v>
          </c:tx>
          <c:spPr>
            <a:ln w="19050">
              <a:noFill/>
            </a:ln>
          </c:spPr>
          <c:xVal>
            <c:numRef>
              <c:f>ICP_Al_Drift!$E$6:$E$86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ICP_Al_Drift!$I$6:$I$86</c:f>
              <c:numCache>
                <c:formatCode>0.00</c:formatCode>
                <c:ptCount val="81"/>
                <c:pt idx="0">
                  <c:v>1582.6</c:v>
                </c:pt>
                <c:pt idx="1">
                  <c:v>838.36</c:v>
                </c:pt>
                <c:pt idx="2">
                  <c:v>2843.62</c:v>
                </c:pt>
                <c:pt idx="3">
                  <c:v>2868.62</c:v>
                </c:pt>
                <c:pt idx="4">
                  <c:v>23647.48</c:v>
                </c:pt>
                <c:pt idx="5">
                  <c:v>23905.89</c:v>
                </c:pt>
                <c:pt idx="6">
                  <c:v>46356.71</c:v>
                </c:pt>
                <c:pt idx="7">
                  <c:v>226433.95</c:v>
                </c:pt>
                <c:pt idx="8">
                  <c:v>442776.91</c:v>
                </c:pt>
                <c:pt idx="9">
                  <c:v>358.67</c:v>
                </c:pt>
                <c:pt idx="10">
                  <c:v>1474.78</c:v>
                </c:pt>
                <c:pt idx="11">
                  <c:v>365.34</c:v>
                </c:pt>
                <c:pt idx="12">
                  <c:v>124383.24</c:v>
                </c:pt>
                <c:pt idx="13">
                  <c:v>189711.42</c:v>
                </c:pt>
                <c:pt idx="14">
                  <c:v>81549.64</c:v>
                </c:pt>
                <c:pt idx="15">
                  <c:v>155242.21</c:v>
                </c:pt>
                <c:pt idx="16">
                  <c:v>106203.48</c:v>
                </c:pt>
                <c:pt idx="17">
                  <c:v>84503.32</c:v>
                </c:pt>
                <c:pt idx="18">
                  <c:v>63265.78</c:v>
                </c:pt>
                <c:pt idx="19">
                  <c:v>241415.81</c:v>
                </c:pt>
                <c:pt idx="20">
                  <c:v>143570.18</c:v>
                </c:pt>
                <c:pt idx="21">
                  <c:v>768789.44</c:v>
                </c:pt>
                <c:pt idx="22">
                  <c:v>2595.9</c:v>
                </c:pt>
                <c:pt idx="23">
                  <c:v>47533.62</c:v>
                </c:pt>
                <c:pt idx="24">
                  <c:v>50963.11</c:v>
                </c:pt>
                <c:pt idx="25">
                  <c:v>94534.26</c:v>
                </c:pt>
                <c:pt idx="26">
                  <c:v>120450.97</c:v>
                </c:pt>
                <c:pt idx="27">
                  <c:v>30521.31</c:v>
                </c:pt>
                <c:pt idx="28">
                  <c:v>250119.96</c:v>
                </c:pt>
                <c:pt idx="29">
                  <c:v>218508.67</c:v>
                </c:pt>
                <c:pt idx="30">
                  <c:v>228408.43</c:v>
                </c:pt>
                <c:pt idx="31">
                  <c:v>211030.94</c:v>
                </c:pt>
                <c:pt idx="32">
                  <c:v>150605.29999999999</c:v>
                </c:pt>
                <c:pt idx="33">
                  <c:v>253590.49</c:v>
                </c:pt>
                <c:pt idx="34">
                  <c:v>2078.15</c:v>
                </c:pt>
                <c:pt idx="35">
                  <c:v>48426.69</c:v>
                </c:pt>
                <c:pt idx="36">
                  <c:v>137848.79999999999</c:v>
                </c:pt>
                <c:pt idx="37">
                  <c:v>1046738.79</c:v>
                </c:pt>
                <c:pt idx="38">
                  <c:v>161297.22</c:v>
                </c:pt>
                <c:pt idx="39">
                  <c:v>289197.51</c:v>
                </c:pt>
                <c:pt idx="40">
                  <c:v>386817</c:v>
                </c:pt>
                <c:pt idx="41">
                  <c:v>1376813.71</c:v>
                </c:pt>
                <c:pt idx="42">
                  <c:v>289432.62</c:v>
                </c:pt>
                <c:pt idx="43">
                  <c:v>457339.98</c:v>
                </c:pt>
                <c:pt idx="44">
                  <c:v>674425.63</c:v>
                </c:pt>
                <c:pt idx="45">
                  <c:v>63459.59</c:v>
                </c:pt>
                <c:pt idx="46">
                  <c:v>1202.3900000000001</c:v>
                </c:pt>
                <c:pt idx="47">
                  <c:v>54671.18</c:v>
                </c:pt>
                <c:pt idx="48">
                  <c:v>223908.57</c:v>
                </c:pt>
                <c:pt idx="49">
                  <c:v>690354.27</c:v>
                </c:pt>
                <c:pt idx="50">
                  <c:v>327527.3</c:v>
                </c:pt>
                <c:pt idx="51">
                  <c:v>289757.2</c:v>
                </c:pt>
                <c:pt idx="52">
                  <c:v>284383.96000000002</c:v>
                </c:pt>
                <c:pt idx="53">
                  <c:v>15976.62</c:v>
                </c:pt>
                <c:pt idx="54">
                  <c:v>239938.97</c:v>
                </c:pt>
                <c:pt idx="55">
                  <c:v>250918.46</c:v>
                </c:pt>
                <c:pt idx="56">
                  <c:v>165465.04999999999</c:v>
                </c:pt>
                <c:pt idx="57">
                  <c:v>209916.93</c:v>
                </c:pt>
                <c:pt idx="58">
                  <c:v>2211.17</c:v>
                </c:pt>
                <c:pt idx="59">
                  <c:v>55767.7</c:v>
                </c:pt>
                <c:pt idx="60">
                  <c:v>1114982.54</c:v>
                </c:pt>
                <c:pt idx="61">
                  <c:v>43674.400000000001</c:v>
                </c:pt>
                <c:pt idx="62">
                  <c:v>458195.19</c:v>
                </c:pt>
                <c:pt idx="63">
                  <c:v>468353.4</c:v>
                </c:pt>
                <c:pt idx="64">
                  <c:v>1166364.42</c:v>
                </c:pt>
                <c:pt idx="65">
                  <c:v>265152.28000000003</c:v>
                </c:pt>
                <c:pt idx="66">
                  <c:v>231816.43</c:v>
                </c:pt>
                <c:pt idx="67">
                  <c:v>471872.95</c:v>
                </c:pt>
                <c:pt idx="68">
                  <c:v>264642.5</c:v>
                </c:pt>
                <c:pt idx="69">
                  <c:v>157034.44</c:v>
                </c:pt>
                <c:pt idx="70">
                  <c:v>109361.55</c:v>
                </c:pt>
                <c:pt idx="71">
                  <c:v>94960.31</c:v>
                </c:pt>
                <c:pt idx="72">
                  <c:v>171069.99</c:v>
                </c:pt>
                <c:pt idx="73">
                  <c:v>1426.08</c:v>
                </c:pt>
                <c:pt idx="74">
                  <c:v>3588.12</c:v>
                </c:pt>
                <c:pt idx="75">
                  <c:v>55509.13</c:v>
                </c:pt>
                <c:pt idx="76">
                  <c:v>499922.79</c:v>
                </c:pt>
                <c:pt idx="77">
                  <c:v>4255675.33</c:v>
                </c:pt>
                <c:pt idx="78">
                  <c:v>1385.4</c:v>
                </c:pt>
                <c:pt idx="79">
                  <c:v>1239.06</c:v>
                </c:pt>
                <c:pt idx="80">
                  <c:v>914.03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60-41E3-A7F8-11A689C67725}"/>
            </c:ext>
          </c:extLst>
        </c:ser>
        <c:ser>
          <c:idx val="2"/>
          <c:order val="8"/>
          <c:tx>
            <c:v>75 Al Samples corrected</c:v>
          </c:tx>
          <c:spPr>
            <a:ln w="19050">
              <a:noFill/>
            </a:ln>
          </c:spPr>
          <c:xVal>
            <c:numRef>
              <c:f>ICP_Al_Drift!$E$6:$E$86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ICP_Al_Drift!$K$6:$K$86</c:f>
              <c:numCache>
                <c:formatCode>0.00</c:formatCode>
                <c:ptCount val="81"/>
                <c:pt idx="0">
                  <c:v>1213.5744763165164</c:v>
                </c:pt>
                <c:pt idx="1">
                  <c:v>344.26206757804573</c:v>
                </c:pt>
                <c:pt idx="2">
                  <c:v>2224.4496580611012</c:v>
                </c:pt>
                <c:pt idx="3">
                  <c:v>2119.4238862072239</c:v>
                </c:pt>
                <c:pt idx="4">
                  <c:v>22771.973136495282</c:v>
                </c:pt>
                <c:pt idx="5">
                  <c:v>22907.787408925276</c:v>
                </c:pt>
                <c:pt idx="6">
                  <c:v>45229.81997804487</c:v>
                </c:pt>
                <c:pt idx="7">
                  <c:v>225183.2259095014</c:v>
                </c:pt>
                <c:pt idx="8">
                  <c:v>441402.35184095788</c:v>
                </c:pt>
                <c:pt idx="9">
                  <c:v>-1134.7688644701459</c:v>
                </c:pt>
                <c:pt idx="10">
                  <c:v>-143.73127398709062</c:v>
                </c:pt>
                <c:pt idx="11">
                  <c:v>-2716.8899621002192</c:v>
                </c:pt>
                <c:pt idx="12">
                  <c:v>121180.89099149825</c:v>
                </c:pt>
                <c:pt idx="13">
                  <c:v>186386.47526392824</c:v>
                </c:pt>
                <c:pt idx="14">
                  <c:v>78107.052898695169</c:v>
                </c:pt>
                <c:pt idx="15">
                  <c:v>151673.31214898321</c:v>
                </c:pt>
                <c:pt idx="16">
                  <c:v>102514.46310258168</c:v>
                </c:pt>
                <c:pt idx="17">
                  <c:v>80694.184056180151</c:v>
                </c:pt>
                <c:pt idx="18">
                  <c:v>59336.525009778612</c:v>
                </c:pt>
                <c:pt idx="19">
                  <c:v>237361.48260104013</c:v>
                </c:pt>
                <c:pt idx="20">
                  <c:v>139395.7335546386</c:v>
                </c:pt>
                <c:pt idx="21">
                  <c:v>764496.11284921051</c:v>
                </c:pt>
                <c:pt idx="22">
                  <c:v>-1816.3078569960085</c:v>
                </c:pt>
                <c:pt idx="23">
                  <c:v>42996.339734265523</c:v>
                </c:pt>
                <c:pt idx="24">
                  <c:v>46306.949028837451</c:v>
                </c:pt>
                <c:pt idx="25">
                  <c:v>89757.979982435907</c:v>
                </c:pt>
                <c:pt idx="26">
                  <c:v>115554.57093603438</c:v>
                </c:pt>
                <c:pt idx="27">
                  <c:v>25498.600186322437</c:v>
                </c:pt>
                <c:pt idx="28">
                  <c:v>244975.89279894743</c:v>
                </c:pt>
                <c:pt idx="29">
                  <c:v>213244.4837525459</c:v>
                </c:pt>
                <c:pt idx="30">
                  <c:v>223024.12470614436</c:v>
                </c:pt>
                <c:pt idx="31">
                  <c:v>205521.56229740588</c:v>
                </c:pt>
                <c:pt idx="32">
                  <c:v>144974.56491003087</c:v>
                </c:pt>
                <c:pt idx="33">
                  <c:v>246914.59537286291</c:v>
                </c:pt>
                <c:pt idx="34">
                  <c:v>-4719.1020145120874</c:v>
                </c:pt>
                <c:pt idx="35">
                  <c:v>41508.080598891378</c:v>
                </c:pt>
                <c:pt idx="36">
                  <c:v>130810.07155248983</c:v>
                </c:pt>
                <c:pt idx="37">
                  <c:v>1039572.5124618044</c:v>
                </c:pt>
                <c:pt idx="38">
                  <c:v>153997.20166780861</c:v>
                </c:pt>
                <c:pt idx="39">
                  <c:v>281776.13428121211</c:v>
                </c:pt>
                <c:pt idx="40">
                  <c:v>379268.07519052667</c:v>
                </c:pt>
                <c:pt idx="41">
                  <c:v>1369143.4278039301</c:v>
                </c:pt>
                <c:pt idx="42">
                  <c:v>281644.69543869706</c:v>
                </c:pt>
                <c:pt idx="43">
                  <c:v>449430.69805132202</c:v>
                </c:pt>
                <c:pt idx="44">
                  <c:v>666390.03730161011</c:v>
                </c:pt>
                <c:pt idx="45">
                  <c:v>55302.639915013577</c:v>
                </c:pt>
                <c:pt idx="46">
                  <c:v>-7448.6580181868476</c:v>
                </c:pt>
                <c:pt idx="47">
                  <c:v>45897.536254243147</c:v>
                </c:pt>
                <c:pt idx="48">
                  <c:v>215013.56886686815</c:v>
                </c:pt>
                <c:pt idx="49">
                  <c:v>681337.91148027161</c:v>
                </c:pt>
                <c:pt idx="50">
                  <c:v>318384.63073055964</c:v>
                </c:pt>
                <c:pt idx="51">
                  <c:v>280493.1733431847</c:v>
                </c:pt>
                <c:pt idx="52">
                  <c:v>274998.57595658815</c:v>
                </c:pt>
                <c:pt idx="53">
                  <c:v>6469.878569213115</c:v>
                </c:pt>
                <c:pt idx="54">
                  <c:v>230304.67947852772</c:v>
                </c:pt>
                <c:pt idx="55">
                  <c:v>241162.81209193115</c:v>
                </c:pt>
                <c:pt idx="56">
                  <c:v>155589.28304552962</c:v>
                </c:pt>
                <c:pt idx="57">
                  <c:v>199921.04399912807</c:v>
                </c:pt>
                <c:pt idx="58">
                  <c:v>-7911.0267505838492</c:v>
                </c:pt>
                <c:pt idx="59">
                  <c:v>45524.145862041143</c:v>
                </c:pt>
                <c:pt idx="60">
                  <c:v>1104617.6284754446</c:v>
                </c:pt>
                <c:pt idx="61">
                  <c:v>33189.369429043072</c:v>
                </c:pt>
                <c:pt idx="62">
                  <c:v>447583.84867933113</c:v>
                </c:pt>
                <c:pt idx="63">
                  <c:v>457621.93963292963</c:v>
                </c:pt>
                <c:pt idx="64">
                  <c:v>1155510.3639053595</c:v>
                </c:pt>
                <c:pt idx="65">
                  <c:v>254179.34319915308</c:v>
                </c:pt>
                <c:pt idx="66">
                  <c:v>220717.18244944111</c:v>
                </c:pt>
                <c:pt idx="67">
                  <c:v>460651.10672187113</c:v>
                </c:pt>
                <c:pt idx="68">
                  <c:v>253299.29933527455</c:v>
                </c:pt>
                <c:pt idx="69">
                  <c:v>145569.88194789956</c:v>
                </c:pt>
                <c:pt idx="70">
                  <c:v>97769.442857214148</c:v>
                </c:pt>
                <c:pt idx="71">
                  <c:v>83246.845470617613</c:v>
                </c:pt>
                <c:pt idx="72">
                  <c:v>159235.16808324261</c:v>
                </c:pt>
                <c:pt idx="73">
                  <c:v>-10530.099303353931</c:v>
                </c:pt>
                <c:pt idx="74">
                  <c:v>-8495.6083940393437</c:v>
                </c:pt>
                <c:pt idx="75">
                  <c:v>43304.044218585645</c:v>
                </c:pt>
                <c:pt idx="76">
                  <c:v>487596.34683198907</c:v>
                </c:pt>
                <c:pt idx="77">
                  <c:v>4243228.7677855873</c:v>
                </c:pt>
                <c:pt idx="78">
                  <c:v>-11189.949645292831</c:v>
                </c:pt>
                <c:pt idx="79">
                  <c:v>-11458.885373641309</c:v>
                </c:pt>
                <c:pt idx="80">
                  <c:v>-11904.034420042846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60-41E3-A7F8-11A689C67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in val="45246.484000000011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10000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356952242814326"/>
          <c:y val="0.17713794556322804"/>
          <c:w val="0.21094694044160475"/>
          <c:h val="0.23584566816562136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Al calibration calc &amp; measure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ICP_Al_Drift!$AO$28</c:f>
              <c:strCache>
                <c:ptCount val="1"/>
                <c:pt idx="0">
                  <c:v>Linear Model of Al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341714761032715"/>
                  <c:y val="0.637857752541122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ICP_Al_Drift!$AB$30:$AB$40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1000</c:v>
                </c:pt>
                <c:pt idx="10">
                  <c:v>10000</c:v>
                </c:pt>
              </c:numCache>
            </c:numRef>
          </c:xVal>
          <c:yVal>
            <c:numRef>
              <c:f>ICP_Al_Drift!$Z$30:$Z$40</c:f>
              <c:numCache>
                <c:formatCode>General</c:formatCode>
                <c:ptCount val="11"/>
                <c:pt idx="0">
                  <c:v>1582.6</c:v>
                </c:pt>
                <c:pt idx="1">
                  <c:v>838.36</c:v>
                </c:pt>
                <c:pt idx="2" formatCode="0.00">
                  <c:v>2843.62</c:v>
                </c:pt>
                <c:pt idx="3">
                  <c:v>2868.62</c:v>
                </c:pt>
                <c:pt idx="4">
                  <c:v>23647.48</c:v>
                </c:pt>
                <c:pt idx="5">
                  <c:v>23905.89</c:v>
                </c:pt>
                <c:pt idx="6">
                  <c:v>46356.71</c:v>
                </c:pt>
                <c:pt idx="7">
                  <c:v>226433.95</c:v>
                </c:pt>
                <c:pt idx="8">
                  <c:v>442776.91</c:v>
                </c:pt>
                <c:pt idx="9">
                  <c:v>499922.79</c:v>
                </c:pt>
                <c:pt idx="10">
                  <c:v>4255675.33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279-459A-B1DD-461771F03BD8}"/>
            </c:ext>
          </c:extLst>
        </c:ser>
        <c:ser>
          <c:idx val="1"/>
          <c:order val="1"/>
          <c:tx>
            <c:strRef>
              <c:f>ICP_Al_Drift!$M$2</c:f>
              <c:strCache>
                <c:ptCount val="1"/>
                <c:pt idx="0">
                  <c:v>Measure Conc ppb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685730523687066"/>
                  <c:y val="0.3337884443842758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(ICP_Al_Drift!$M$6,ICP_Al_Drift!$M$8:$M$14,ICP_Al_Drift!$M$82:$M$83)</c:f>
              <c:numCache>
                <c:formatCode>0.00</c:formatCode>
                <c:ptCount val="10"/>
                <c:pt idx="0">
                  <c:v>0</c:v>
                </c:pt>
                <c:pt idx="1">
                  <c:v>2.9630000000000001</c:v>
                </c:pt>
                <c:pt idx="2">
                  <c:v>3.0209999999999999</c:v>
                </c:pt>
                <c:pt idx="3">
                  <c:v>51.841000000000001</c:v>
                </c:pt>
                <c:pt idx="4">
                  <c:v>52.448</c:v>
                </c:pt>
                <c:pt idx="5">
                  <c:v>105.196</c:v>
                </c:pt>
                <c:pt idx="6">
                  <c:v>528.28499999999997</c:v>
                </c:pt>
                <c:pt idx="7">
                  <c:v>1036.58</c:v>
                </c:pt>
                <c:pt idx="8">
                  <c:v>1170.8430000000001</c:v>
                </c:pt>
                <c:pt idx="9">
                  <c:v>9994.9290000000001</c:v>
                </c:pt>
              </c:numCache>
            </c:numRef>
          </c:xVal>
          <c:yVal>
            <c:numRef>
              <c:f>(ICP_Al_Drift!$I$6,ICP_Al_Drift!$I$8:$I$14,ICP_Al_Drift!$I$82:$I$83)</c:f>
              <c:numCache>
                <c:formatCode>0.00</c:formatCode>
                <c:ptCount val="10"/>
                <c:pt idx="0">
                  <c:v>1582.6</c:v>
                </c:pt>
                <c:pt idx="1">
                  <c:v>2843.62</c:v>
                </c:pt>
                <c:pt idx="2">
                  <c:v>2868.62</c:v>
                </c:pt>
                <c:pt idx="3">
                  <c:v>23647.48</c:v>
                </c:pt>
                <c:pt idx="4">
                  <c:v>23905.89</c:v>
                </c:pt>
                <c:pt idx="5">
                  <c:v>46356.71</c:v>
                </c:pt>
                <c:pt idx="6">
                  <c:v>226433.95</c:v>
                </c:pt>
                <c:pt idx="7">
                  <c:v>442776.91</c:v>
                </c:pt>
                <c:pt idx="8">
                  <c:v>499922.79</c:v>
                </c:pt>
                <c:pt idx="9">
                  <c:v>4255675.33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279-459A-B1DD-461771F03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1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inorUnit val="500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  <c:minorUnit val="5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56 Fe Cal Checks 100 ppb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56910074757788"/>
          <c:y val="5.7854076747854144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strRef>
              <c:f>ICP_56_Fe_Drift!$AB$2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ICP_56_Fe_Drift!$AB$3:$AB$8</c:f>
              <c:numCache>
                <c:formatCode>General</c:formatCode>
                <c:ptCount val="6"/>
                <c:pt idx="0">
                  <c:v>1665822.1233333333</c:v>
                </c:pt>
                <c:pt idx="1">
                  <c:v>1665822.1233333333</c:v>
                </c:pt>
                <c:pt idx="2">
                  <c:v>1665822.1233333333</c:v>
                </c:pt>
                <c:pt idx="3">
                  <c:v>1665822.1233333333</c:v>
                </c:pt>
                <c:pt idx="4">
                  <c:v>1665822.1233333333</c:v>
                </c:pt>
                <c:pt idx="5">
                  <c:v>1665822.1233333333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FE-417E-9D5C-615D6B8AB551}"/>
            </c:ext>
          </c:extLst>
        </c:ser>
        <c:ser>
          <c:idx val="7"/>
          <c:order val="1"/>
          <c:tx>
            <c:strRef>
              <c:f>ICP_56_Fe_Drift!$AC$2</c:f>
              <c:strCache>
                <c:ptCount val="1"/>
                <c:pt idx="0">
                  <c:v>120%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ICP_56_Fe_Drift!$AC$3:$AC$8</c:f>
              <c:numCache>
                <c:formatCode>General</c:formatCode>
                <c:ptCount val="6"/>
                <c:pt idx="0">
                  <c:v>1998986.548</c:v>
                </c:pt>
                <c:pt idx="1">
                  <c:v>1998986.548</c:v>
                </c:pt>
                <c:pt idx="2">
                  <c:v>1998986.548</c:v>
                </c:pt>
                <c:pt idx="3">
                  <c:v>1998986.548</c:v>
                </c:pt>
                <c:pt idx="4">
                  <c:v>1998986.548</c:v>
                </c:pt>
                <c:pt idx="5">
                  <c:v>1998986.548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FE-417E-9D5C-615D6B8AB551}"/>
            </c:ext>
          </c:extLst>
        </c:ser>
        <c:ser>
          <c:idx val="8"/>
          <c:order val="2"/>
          <c:tx>
            <c:strRef>
              <c:f>ICP_56_Fe_Drift!$AD$2</c:f>
              <c:strCache>
                <c:ptCount val="1"/>
                <c:pt idx="0">
                  <c:v>80%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ICP_56_Fe_Drift!$AD$3:$AD$8</c:f>
              <c:numCache>
                <c:formatCode>General</c:formatCode>
                <c:ptCount val="6"/>
                <c:pt idx="0">
                  <c:v>1332657.6986666666</c:v>
                </c:pt>
                <c:pt idx="1">
                  <c:v>1332657.6986666666</c:v>
                </c:pt>
                <c:pt idx="2">
                  <c:v>1332657.6986666666</c:v>
                </c:pt>
                <c:pt idx="3">
                  <c:v>1332657.6986666666</c:v>
                </c:pt>
                <c:pt idx="4">
                  <c:v>1332657.6986666666</c:v>
                </c:pt>
                <c:pt idx="5">
                  <c:v>1332657.6986666666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FE-417E-9D5C-615D6B8AB551}"/>
            </c:ext>
          </c:extLst>
        </c:ser>
        <c:ser>
          <c:idx val="9"/>
          <c:order val="3"/>
          <c:tx>
            <c:strRef>
              <c:f>ICP_56_Fe_Drift!$AE$2</c:f>
              <c:strCache>
                <c:ptCount val="1"/>
                <c:pt idx="0">
                  <c:v>110%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ICP_56_Fe_Drift!$AE$3:$AE$8</c:f>
              <c:numCache>
                <c:formatCode>General</c:formatCode>
                <c:ptCount val="6"/>
                <c:pt idx="0">
                  <c:v>1832404.3356666667</c:v>
                </c:pt>
                <c:pt idx="1">
                  <c:v>1832404.3356666667</c:v>
                </c:pt>
                <c:pt idx="2">
                  <c:v>1832404.3356666667</c:v>
                </c:pt>
                <c:pt idx="3">
                  <c:v>1832404.3356666667</c:v>
                </c:pt>
                <c:pt idx="4">
                  <c:v>1832404.3356666667</c:v>
                </c:pt>
                <c:pt idx="5">
                  <c:v>1832404.3356666667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4FE-417E-9D5C-615D6B8AB551}"/>
            </c:ext>
          </c:extLst>
        </c:ser>
        <c:ser>
          <c:idx val="10"/>
          <c:order val="4"/>
          <c:tx>
            <c:strRef>
              <c:f>ICP_56_Fe_Drift!$AF$2</c:f>
              <c:strCache>
                <c:ptCount val="1"/>
                <c:pt idx="0">
                  <c:v>90%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ICP_56_Fe_Drift!$AF$3:$AF$8</c:f>
              <c:numCache>
                <c:formatCode>General</c:formatCode>
                <c:ptCount val="6"/>
                <c:pt idx="0">
                  <c:v>1499239.9110000001</c:v>
                </c:pt>
                <c:pt idx="1">
                  <c:v>1499239.9110000001</c:v>
                </c:pt>
                <c:pt idx="2">
                  <c:v>1499239.9110000001</c:v>
                </c:pt>
                <c:pt idx="3">
                  <c:v>1499239.9110000001</c:v>
                </c:pt>
                <c:pt idx="4">
                  <c:v>1499239.9110000001</c:v>
                </c:pt>
                <c:pt idx="5">
                  <c:v>1499239.9110000001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4FE-417E-9D5C-615D6B8AB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scatterChart>
        <c:scatterStyle val="lineMarker"/>
        <c:varyColors val="0"/>
        <c:ser>
          <c:idx val="11"/>
          <c:order val="5"/>
          <c:tx>
            <c:strRef>
              <c:f>ICP_56_Fe_Drift!$Z$1</c:f>
              <c:strCache>
                <c:ptCount val="1"/>
                <c:pt idx="0">
                  <c:v>56  Fe  [ He ] 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5-84FE-417E-9D5C-615D6B8AB551}"/>
              </c:ext>
            </c:extLst>
          </c:dPt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7.6961045799126592E-3"/>
                  <c:y val="-0.14909160950352252"/>
                </c:manualLayout>
              </c:layout>
              <c:numFmt formatCode="#,##0.0000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ICP_56_Fe_Drift!$Z$3:$Z$8</c:f>
              <c:numCache>
                <c:formatCode>General</c:formatCode>
                <c:ptCount val="6"/>
                <c:pt idx="0" formatCode="0.00">
                  <c:v>1535866.96</c:v>
                </c:pt>
                <c:pt idx="1">
                  <c:v>1601132.48</c:v>
                </c:pt>
                <c:pt idx="2">
                  <c:v>1632384.77</c:v>
                </c:pt>
                <c:pt idx="3">
                  <c:v>1685107.79</c:v>
                </c:pt>
                <c:pt idx="4">
                  <c:v>1787597.01</c:v>
                </c:pt>
                <c:pt idx="5">
                  <c:v>1752843.73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FE-417E-9D5C-615D6B8AB551}"/>
            </c:ext>
          </c:extLst>
        </c:ser>
        <c:ser>
          <c:idx val="0"/>
          <c:order val="6"/>
          <c:tx>
            <c:strRef>
              <c:f>ICP_56_Fe_Drift!$BB$1</c:f>
              <c:strCache>
                <c:ptCount val="1"/>
                <c:pt idx="0">
                  <c:v>56 Fe  [ He ] corrected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8.2886917217711562E-2"/>
                  <c:y val="0.14646166259944368"/>
                </c:manualLayout>
              </c:layout>
              <c:numFmt formatCode="#,##0.0000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ICP_56_Fe_Drift!$AX$3:$AX$8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ICP_56_Fe_Drift!$BB$3:$BB$8</c:f>
              <c:numCache>
                <c:formatCode>General</c:formatCode>
                <c:ptCount val="6"/>
                <c:pt idx="0">
                  <c:v>1510653.6866160841</c:v>
                </c:pt>
                <c:pt idx="1">
                  <c:v>1499614.4209786509</c:v>
                </c:pt>
                <c:pt idx="2">
                  <c:v>1477586.3541226175</c:v>
                </c:pt>
                <c:pt idx="3">
                  <c:v>1488804.4471493345</c:v>
                </c:pt>
                <c:pt idx="4">
                  <c:v>1558405.5841542007</c:v>
                </c:pt>
                <c:pt idx="5">
                  <c:v>1479764.5843110173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4FE-417E-9D5C-615D6B8AB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836724413693577"/>
          <c:y val="0.46944730236536164"/>
          <c:w val="0.22784657508085501"/>
          <c:h val="0.4245222026981184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56 Fe Blanks </a:t>
            </a:r>
          </a:p>
        </c:rich>
      </c:tx>
      <c:layout>
        <c:manualLayout>
          <c:xMode val="edge"/>
          <c:yMode val="edge"/>
          <c:x val="0.43189771762790663"/>
          <c:y val="1.00791938930561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904865119220868E-2"/>
          <c:y val="5.9869935542364597E-2"/>
          <c:w val="0.76017652565518312"/>
          <c:h val="0.84833853807841519"/>
        </c:manualLayout>
      </c:layout>
      <c:scatterChart>
        <c:scatterStyle val="smoothMarker"/>
        <c:varyColors val="0"/>
        <c:ser>
          <c:idx val="3"/>
          <c:order val="1"/>
          <c:tx>
            <c:strRef>
              <c:f>ICP_56_Fe_Drift!$AB$2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ICP_56_Fe_Drift!$AB$15:$AB$24</c:f>
              <c:numCache>
                <c:formatCode>General</c:formatCode>
                <c:ptCount val="10"/>
                <c:pt idx="0">
                  <c:v>100584.15700000001</c:v>
                </c:pt>
                <c:pt idx="1">
                  <c:v>100584.15700000001</c:v>
                </c:pt>
                <c:pt idx="2">
                  <c:v>100584.15700000001</c:v>
                </c:pt>
                <c:pt idx="3">
                  <c:v>100584.15700000001</c:v>
                </c:pt>
                <c:pt idx="4">
                  <c:v>100584.15700000001</c:v>
                </c:pt>
                <c:pt idx="5">
                  <c:v>100584.15700000001</c:v>
                </c:pt>
                <c:pt idx="6">
                  <c:v>100584.15700000001</c:v>
                </c:pt>
                <c:pt idx="7">
                  <c:v>100584.15700000001</c:v>
                </c:pt>
                <c:pt idx="8">
                  <c:v>100584.15700000001</c:v>
                </c:pt>
                <c:pt idx="9">
                  <c:v>100584.15700000001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CE-4DEF-9C3F-97DF02F70969}"/>
            </c:ext>
          </c:extLst>
        </c:ser>
        <c:ser>
          <c:idx val="4"/>
          <c:order val="2"/>
          <c:tx>
            <c:strRef>
              <c:f>ICP_56_Fe_Drift!$AJ$11</c:f>
              <c:strCache>
                <c:ptCount val="1"/>
                <c:pt idx="0">
                  <c:v>plus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ICP_56_Fe_Drift!$V$15:$V$24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ICP_56_Fe_Drift!$AJ$15:$AJ$24</c:f>
              <c:numCache>
                <c:formatCode>General</c:formatCode>
                <c:ptCount val="10"/>
                <c:pt idx="0">
                  <c:v>177514.22366115631</c:v>
                </c:pt>
                <c:pt idx="1">
                  <c:v>177514.22366115631</c:v>
                </c:pt>
                <c:pt idx="2">
                  <c:v>177514.22366115631</c:v>
                </c:pt>
                <c:pt idx="3">
                  <c:v>177514.22366115631</c:v>
                </c:pt>
                <c:pt idx="4">
                  <c:v>177514.22366115631</c:v>
                </c:pt>
                <c:pt idx="5">
                  <c:v>177514.22366115631</c:v>
                </c:pt>
                <c:pt idx="6">
                  <c:v>177514.22366115631</c:v>
                </c:pt>
                <c:pt idx="7">
                  <c:v>177514.22366115631</c:v>
                </c:pt>
                <c:pt idx="8">
                  <c:v>177514.22366115631</c:v>
                </c:pt>
                <c:pt idx="9">
                  <c:v>177514.22366115631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CE-4DEF-9C3F-97DF02F70969}"/>
            </c:ext>
          </c:extLst>
        </c:ser>
        <c:ser>
          <c:idx val="5"/>
          <c:order val="3"/>
          <c:tx>
            <c:strRef>
              <c:f>ICP_56_Fe_Drift!$AL$11</c:f>
              <c:strCache>
                <c:ptCount val="1"/>
                <c:pt idx="0">
                  <c:v>plus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ICP_56_Fe_Drift!$V$15:$V$24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ICP_56_Fe_Drift!$AL$15:$AL$24</c:f>
              <c:numCache>
                <c:formatCode>General</c:formatCode>
                <c:ptCount val="10"/>
                <c:pt idx="0">
                  <c:v>234327.45892231259</c:v>
                </c:pt>
                <c:pt idx="1">
                  <c:v>234327.45892231259</c:v>
                </c:pt>
                <c:pt idx="2">
                  <c:v>234327.45892231259</c:v>
                </c:pt>
                <c:pt idx="3">
                  <c:v>234327.45892231259</c:v>
                </c:pt>
                <c:pt idx="4">
                  <c:v>234327.45892231259</c:v>
                </c:pt>
                <c:pt idx="5">
                  <c:v>234327.45892231259</c:v>
                </c:pt>
                <c:pt idx="6">
                  <c:v>234327.45892231259</c:v>
                </c:pt>
                <c:pt idx="7">
                  <c:v>234327.45892231259</c:v>
                </c:pt>
                <c:pt idx="8">
                  <c:v>234327.45892231259</c:v>
                </c:pt>
                <c:pt idx="9">
                  <c:v>234327.45892231259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CE-4DEF-9C3F-97DF02F70969}"/>
            </c:ext>
          </c:extLst>
        </c:ser>
        <c:ser>
          <c:idx val="1"/>
          <c:order val="4"/>
          <c:tx>
            <c:strRef>
              <c:f>ICP_56_Fe_Drift!$AK$11</c:f>
              <c:strCache>
                <c:ptCount val="1"/>
                <c:pt idx="0">
                  <c:v>minus 1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ICP_56_Fe_Drift!$V$15:$V$24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ICP_56_Fe_Drift!$AK$15:$AK$24</c:f>
              <c:numCache>
                <c:formatCode>General</c:formatCode>
                <c:ptCount val="10"/>
                <c:pt idx="0">
                  <c:v>33712.506038843712</c:v>
                </c:pt>
                <c:pt idx="1">
                  <c:v>33712.506038843712</c:v>
                </c:pt>
                <c:pt idx="2">
                  <c:v>33712.506038843712</c:v>
                </c:pt>
                <c:pt idx="3">
                  <c:v>33712.506038843712</c:v>
                </c:pt>
                <c:pt idx="4">
                  <c:v>33712.506038843712</c:v>
                </c:pt>
                <c:pt idx="5">
                  <c:v>33712.506038843712</c:v>
                </c:pt>
                <c:pt idx="6">
                  <c:v>33712.506038843712</c:v>
                </c:pt>
                <c:pt idx="7">
                  <c:v>33712.506038843712</c:v>
                </c:pt>
                <c:pt idx="8">
                  <c:v>33712.506038843712</c:v>
                </c:pt>
                <c:pt idx="9">
                  <c:v>33712.506038843712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CE-4DEF-9C3F-97DF02F70969}"/>
            </c:ext>
          </c:extLst>
        </c:ser>
        <c:ser>
          <c:idx val="2"/>
          <c:order val="5"/>
          <c:tx>
            <c:strRef>
              <c:f>ICP_56_Fe_Drift!$AM$11</c:f>
              <c:strCache>
                <c:ptCount val="1"/>
                <c:pt idx="0">
                  <c:v>minus 2 Std</c:v>
                </c:pt>
              </c:strCache>
            </c:strRef>
          </c:tx>
          <c:spPr>
            <a:ln>
              <a:solidFill>
                <a:srgbClr val="CC66FF"/>
              </a:solidFill>
            </a:ln>
          </c:spPr>
          <c:marker>
            <c:symbol val="none"/>
          </c:marker>
          <c:xVal>
            <c:numRef>
              <c:f>ICP_56_Fe_Drift!$V$15:$V$24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ICP_56_Fe_Drift!$AM$15:$AM$24</c:f>
              <c:numCache>
                <c:formatCode>General</c:formatCode>
                <c:ptCount val="10"/>
                <c:pt idx="0">
                  <c:v>-33159.144922312582</c:v>
                </c:pt>
                <c:pt idx="1">
                  <c:v>-33159.144922312582</c:v>
                </c:pt>
                <c:pt idx="2">
                  <c:v>-33159.144922312582</c:v>
                </c:pt>
                <c:pt idx="3">
                  <c:v>-33159.144922312582</c:v>
                </c:pt>
                <c:pt idx="4">
                  <c:v>-33159.144922312582</c:v>
                </c:pt>
                <c:pt idx="5">
                  <c:v>-33159.144922312582</c:v>
                </c:pt>
                <c:pt idx="6">
                  <c:v>-33159.144922312582</c:v>
                </c:pt>
                <c:pt idx="7">
                  <c:v>-33159.144922312582</c:v>
                </c:pt>
                <c:pt idx="8">
                  <c:v>-33159.144922312582</c:v>
                </c:pt>
                <c:pt idx="9">
                  <c:v>-33159.144922312582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1CE-4DEF-9C3F-97DF02F70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/>
      </c:scatterChart>
      <c:scatterChart>
        <c:scatterStyle val="lineMarker"/>
        <c:varyColors val="0"/>
        <c:ser>
          <c:idx val="0"/>
          <c:order val="0"/>
          <c:tx>
            <c:v>56 Fe Blanks</c:v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8350536180561419E-2"/>
                  <c:y val="-0.16697423256875499"/>
                </c:manualLayout>
              </c:layout>
              <c:numFmt formatCode="General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ICP_56_Fe_Drift!$V$15:$V$24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ICP_56_Fe_Drift!$Z$15:$Z$24</c:f>
              <c:numCache>
                <c:formatCode>General</c:formatCode>
                <c:ptCount val="10"/>
                <c:pt idx="0">
                  <c:v>12582.58</c:v>
                </c:pt>
                <c:pt idx="1">
                  <c:v>13316.49</c:v>
                </c:pt>
                <c:pt idx="2">
                  <c:v>73514.63</c:v>
                </c:pt>
                <c:pt idx="3">
                  <c:v>71993.009999999995</c:v>
                </c:pt>
                <c:pt idx="4">
                  <c:v>75993.05</c:v>
                </c:pt>
                <c:pt idx="5">
                  <c:v>179488.82</c:v>
                </c:pt>
                <c:pt idx="6">
                  <c:v>184749.22</c:v>
                </c:pt>
                <c:pt idx="7">
                  <c:v>195294.66</c:v>
                </c:pt>
                <c:pt idx="8">
                  <c:v>114440.64</c:v>
                </c:pt>
                <c:pt idx="9">
                  <c:v>84468.47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1CE-4DEF-9C3F-97DF02F70969}"/>
            </c:ext>
          </c:extLst>
        </c:ser>
        <c:ser>
          <c:idx val="6"/>
          <c:order val="6"/>
          <c:tx>
            <c:strRef>
              <c:f>ICP_56_Fe_Drift!$AS$10</c:f>
              <c:strCache>
                <c:ptCount val="1"/>
                <c:pt idx="0">
                  <c:v>Blanks corrected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trendlineType val="linear"/>
            <c:dispRSqr val="0"/>
            <c:dispEq val="0"/>
          </c:trendline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6152134955764232E-2"/>
                  <c:y val="0.15506323940212444"/>
                </c:manualLayout>
              </c:layout>
              <c:numFmt formatCode="General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ICP_56_Fe_Drift!$AX$15:$AX$24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ICP_56_Fe_Drift!$BB$15:$BB$24</c:f>
              <c:numCache>
                <c:formatCode>General</c:formatCode>
                <c:ptCount val="10"/>
                <c:pt idx="0">
                  <c:v>-5806.5952302820751</c:v>
                </c:pt>
                <c:pt idx="1">
                  <c:v>-24635.962036391778</c:v>
                </c:pt>
                <c:pt idx="2">
                  <c:v>19185.748272716621</c:v>
                </c:pt>
                <c:pt idx="3">
                  <c:v>-11703.659045503664</c:v>
                </c:pt>
                <c:pt idx="4">
                  <c:v>-30529.983327155351</c:v>
                </c:pt>
                <c:pt idx="5">
                  <c:v>54851.076741645709</c:v>
                </c:pt>
                <c:pt idx="6">
                  <c:v>35958.53016351859</c:v>
                </c:pt>
                <c:pt idx="7">
                  <c:v>40450.485450276989</c:v>
                </c:pt>
                <c:pt idx="8">
                  <c:v>-41913.093718644246</c:v>
                </c:pt>
                <c:pt idx="9">
                  <c:v>-73364.326735767449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1CE-4DEF-9C3F-97DF02F70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4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egendEntry>
        <c:idx val="8"/>
        <c:delete val="1"/>
      </c:legendEntry>
      <c:layout>
        <c:manualLayout>
          <c:xMode val="edge"/>
          <c:yMode val="edge"/>
          <c:x val="0.82630327977805351"/>
          <c:y val="0.22740819279517122"/>
          <c:w val="0.17369672022194654"/>
          <c:h val="0.5289858777622557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56 Fe Samples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6534632541841"/>
          <c:y val="3.5511943796382978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v>Mean Cal Check</c:v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ICP_56_Fe_Drift!$AB$3:$AB$8</c:f>
              <c:numCache>
                <c:formatCode>General</c:formatCode>
                <c:ptCount val="6"/>
                <c:pt idx="0">
                  <c:v>1665822.1233333333</c:v>
                </c:pt>
                <c:pt idx="1">
                  <c:v>1665822.1233333333</c:v>
                </c:pt>
                <c:pt idx="2">
                  <c:v>1665822.1233333333</c:v>
                </c:pt>
                <c:pt idx="3">
                  <c:v>1665822.1233333333</c:v>
                </c:pt>
                <c:pt idx="4">
                  <c:v>1665822.1233333333</c:v>
                </c:pt>
                <c:pt idx="5">
                  <c:v>1665822.1233333333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F9-4654-BB24-7F90A79D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ICP_Mn_Drift!$AC$2</c15:sqref>
                        </c15:formulaRef>
                      </c:ext>
                    </c:extLst>
                    <c:strCache>
                      <c:ptCount val="1"/>
                      <c:pt idx="0">
                        <c:v>120%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ICP_Mn_Drift!$AC$3:$AC$8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1230783.132</c:v>
                      </c:pt>
                      <c:pt idx="1">
                        <c:v>1230783.132</c:v>
                      </c:pt>
                      <c:pt idx="2">
                        <c:v>1230783.132</c:v>
                      </c:pt>
                      <c:pt idx="3">
                        <c:v>1230783.132</c:v>
                      </c:pt>
                      <c:pt idx="4">
                        <c:v>1230783.132</c:v>
                      </c:pt>
                      <c:pt idx="5">
                        <c:v>1230783.132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06F9-4654-BB24-7F90A79D7EE9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ICP_Mn_Drift!$AD$2</c15:sqref>
                        </c15:formulaRef>
                      </c:ext>
                    </c:extLst>
                    <c:strCache>
                      <c:ptCount val="1"/>
                      <c:pt idx="0">
                        <c:v>80%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ICP_Mn_Drift!$AD$3:$AD$8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820522.08799999999</c:v>
                      </c:pt>
                      <c:pt idx="1">
                        <c:v>820522.08799999999</c:v>
                      </c:pt>
                      <c:pt idx="2">
                        <c:v>820522.08799999999</c:v>
                      </c:pt>
                      <c:pt idx="3">
                        <c:v>820522.08799999999</c:v>
                      </c:pt>
                      <c:pt idx="4">
                        <c:v>820522.08799999999</c:v>
                      </c:pt>
                      <c:pt idx="5">
                        <c:v>820522.08799999999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6F9-4654-BB24-7F90A79D7EE9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ICP_Mn_Drift!$AE$2</c15:sqref>
                        </c15:formulaRef>
                      </c:ext>
                    </c:extLst>
                    <c:strCache>
                      <c:ptCount val="1"/>
                      <c:pt idx="0">
                        <c:v>110%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ICP_Mn_Drift!$AE$3:$AE$8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1128217.871</c:v>
                      </c:pt>
                      <c:pt idx="1">
                        <c:v>1128217.871</c:v>
                      </c:pt>
                      <c:pt idx="2">
                        <c:v>1128217.871</c:v>
                      </c:pt>
                      <c:pt idx="3">
                        <c:v>1128217.871</c:v>
                      </c:pt>
                      <c:pt idx="4">
                        <c:v>1128217.871</c:v>
                      </c:pt>
                      <c:pt idx="5">
                        <c:v>1128217.871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6F9-4654-BB24-7F90A79D7EE9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ICP_Mn_Drift!$AF$2</c15:sqref>
                        </c15:formulaRef>
                      </c:ext>
                    </c:extLst>
                    <c:strCache>
                      <c:ptCount val="1"/>
                      <c:pt idx="0">
                        <c:v>90%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ICP_Mn_Drift!$AF$3:$AF$8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923087.34900000005</c:v>
                      </c:pt>
                      <c:pt idx="1">
                        <c:v>923087.34900000005</c:v>
                      </c:pt>
                      <c:pt idx="2">
                        <c:v>923087.34900000005</c:v>
                      </c:pt>
                      <c:pt idx="3">
                        <c:v>923087.34900000005</c:v>
                      </c:pt>
                      <c:pt idx="4">
                        <c:v>923087.34900000005</c:v>
                      </c:pt>
                      <c:pt idx="5">
                        <c:v>923087.34900000005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6F9-4654-BB24-7F90A79D7EE9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1"/>
          <c:order val="5"/>
          <c:tx>
            <c:strRef>
              <c:f>ICP_56_Fe_Drift!$Q$1</c:f>
              <c:strCache>
                <c:ptCount val="1"/>
                <c:pt idx="0">
                  <c:v>100 ppb cal checks masured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06F9-4654-BB24-7F90A79D7EE9}"/>
              </c:ext>
            </c:extLst>
          </c:dPt>
          <c:xVal>
            <c:numRef>
              <c:f>ICP_56_Fe_Drift!$V$3:$V$8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ICP_56_Fe_Drift!$Z$3:$Z$8</c:f>
              <c:numCache>
                <c:formatCode>General</c:formatCode>
                <c:ptCount val="6"/>
                <c:pt idx="0" formatCode="0.00">
                  <c:v>1535866.96</c:v>
                </c:pt>
                <c:pt idx="1">
                  <c:v>1601132.48</c:v>
                </c:pt>
                <c:pt idx="2">
                  <c:v>1632384.77</c:v>
                </c:pt>
                <c:pt idx="3">
                  <c:v>1685107.79</c:v>
                </c:pt>
                <c:pt idx="4">
                  <c:v>1787597.01</c:v>
                </c:pt>
                <c:pt idx="5">
                  <c:v>1752843.73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F9-4654-BB24-7F90A79D7EE9}"/>
            </c:ext>
          </c:extLst>
        </c:ser>
        <c:ser>
          <c:idx val="0"/>
          <c:order val="6"/>
          <c:tx>
            <c:strRef>
              <c:f>ICP_56_Fe_Drift!$AS$1</c:f>
              <c:strCache>
                <c:ptCount val="1"/>
                <c:pt idx="0">
                  <c:v>100 ppb cal checks corrected</c:v>
                </c:pt>
              </c:strCache>
            </c:strRef>
          </c:tx>
          <c:spPr>
            <a:ln w="25400">
              <a:noFill/>
            </a:ln>
          </c:spPr>
          <c:xVal>
            <c:numRef>
              <c:f>ICP_56_Fe_Drift!$AX$3:$AX$8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ICP_56_Fe_Drift!$BB$3:$BB$8</c:f>
              <c:numCache>
                <c:formatCode>General</c:formatCode>
                <c:ptCount val="6"/>
                <c:pt idx="0">
                  <c:v>1510653.6866160841</c:v>
                </c:pt>
                <c:pt idx="1">
                  <c:v>1499614.4209786509</c:v>
                </c:pt>
                <c:pt idx="2">
                  <c:v>1477586.3541226175</c:v>
                </c:pt>
                <c:pt idx="3">
                  <c:v>1488804.4471493345</c:v>
                </c:pt>
                <c:pt idx="4">
                  <c:v>1558405.5841542007</c:v>
                </c:pt>
                <c:pt idx="5">
                  <c:v>1479764.5843110173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F9-4654-BB24-7F90A79D7EE9}"/>
            </c:ext>
          </c:extLst>
        </c:ser>
        <c:ser>
          <c:idx val="1"/>
          <c:order val="7"/>
          <c:tx>
            <c:v>56 Fe Samples</c:v>
          </c:tx>
          <c:spPr>
            <a:ln w="19050">
              <a:noFill/>
            </a:ln>
          </c:spPr>
          <c:xVal>
            <c:numRef>
              <c:f>ICP_56_Fe_Drift!$E$6:$E$86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ICP_56_Fe_Drift!$I$6:$I$86</c:f>
              <c:numCache>
                <c:formatCode>0.00</c:formatCode>
                <c:ptCount val="81"/>
                <c:pt idx="0">
                  <c:v>37050.129999999997</c:v>
                </c:pt>
                <c:pt idx="1">
                  <c:v>25336.75</c:v>
                </c:pt>
                <c:pt idx="2">
                  <c:v>34793.449999999997</c:v>
                </c:pt>
                <c:pt idx="3">
                  <c:v>94460.08</c:v>
                </c:pt>
                <c:pt idx="4">
                  <c:v>175602.19</c:v>
                </c:pt>
                <c:pt idx="5">
                  <c:v>788426.84</c:v>
                </c:pt>
                <c:pt idx="6">
                  <c:v>1535866.96</c:v>
                </c:pt>
                <c:pt idx="7">
                  <c:v>7280120.9400000004</c:v>
                </c:pt>
                <c:pt idx="8">
                  <c:v>14282137.699999999</c:v>
                </c:pt>
                <c:pt idx="9">
                  <c:v>12582.58</c:v>
                </c:pt>
                <c:pt idx="10">
                  <c:v>173578.07</c:v>
                </c:pt>
                <c:pt idx="11">
                  <c:v>13316.49</c:v>
                </c:pt>
                <c:pt idx="12">
                  <c:v>10692970.26</c:v>
                </c:pt>
                <c:pt idx="13">
                  <c:v>24942317.129999999</c:v>
                </c:pt>
                <c:pt idx="14">
                  <c:v>4860461.91</c:v>
                </c:pt>
                <c:pt idx="15">
                  <c:v>5968376.1600000001</c:v>
                </c:pt>
                <c:pt idx="16">
                  <c:v>3021591.83</c:v>
                </c:pt>
                <c:pt idx="17">
                  <c:v>10662821.09</c:v>
                </c:pt>
                <c:pt idx="18">
                  <c:v>11722978.99</c:v>
                </c:pt>
                <c:pt idx="19">
                  <c:v>18505157.640000001</c:v>
                </c:pt>
                <c:pt idx="20">
                  <c:v>11314747.33</c:v>
                </c:pt>
                <c:pt idx="21">
                  <c:v>15709529.77</c:v>
                </c:pt>
                <c:pt idx="22">
                  <c:v>73514.63</c:v>
                </c:pt>
                <c:pt idx="23">
                  <c:v>1601132.48</c:v>
                </c:pt>
                <c:pt idx="24">
                  <c:v>4085948.06</c:v>
                </c:pt>
                <c:pt idx="25">
                  <c:v>1607634.56</c:v>
                </c:pt>
                <c:pt idx="26">
                  <c:v>7774978.8399999999</c:v>
                </c:pt>
                <c:pt idx="27">
                  <c:v>485914.6</c:v>
                </c:pt>
                <c:pt idx="28">
                  <c:v>8791549.8699999992</c:v>
                </c:pt>
                <c:pt idx="29">
                  <c:v>9305723.8200000003</c:v>
                </c:pt>
                <c:pt idx="30">
                  <c:v>12653300.23</c:v>
                </c:pt>
                <c:pt idx="31">
                  <c:v>12017286.07</c:v>
                </c:pt>
                <c:pt idx="32">
                  <c:v>11274821.08</c:v>
                </c:pt>
                <c:pt idx="33">
                  <c:v>5268141.4800000004</c:v>
                </c:pt>
                <c:pt idx="34">
                  <c:v>71993.009999999995</c:v>
                </c:pt>
                <c:pt idx="35">
                  <c:v>1632384.77</c:v>
                </c:pt>
                <c:pt idx="36">
                  <c:v>3310391.72</c:v>
                </c:pt>
                <c:pt idx="37">
                  <c:v>163574574.22999999</c:v>
                </c:pt>
                <c:pt idx="38">
                  <c:v>13643520.630000001</c:v>
                </c:pt>
                <c:pt idx="39">
                  <c:v>23980995.059999999</c:v>
                </c:pt>
                <c:pt idx="40">
                  <c:v>6622863.4500000002</c:v>
                </c:pt>
                <c:pt idx="41">
                  <c:v>126778201.44</c:v>
                </c:pt>
                <c:pt idx="42">
                  <c:v>40333449.399999999</c:v>
                </c:pt>
                <c:pt idx="43">
                  <c:v>57486320.810000002</c:v>
                </c:pt>
                <c:pt idx="44">
                  <c:v>86846285.370000005</c:v>
                </c:pt>
                <c:pt idx="45">
                  <c:v>4534087.0199999996</c:v>
                </c:pt>
                <c:pt idx="46">
                  <c:v>75993.05</c:v>
                </c:pt>
                <c:pt idx="47">
                  <c:v>1685107.79</c:v>
                </c:pt>
                <c:pt idx="48">
                  <c:v>19479370.129999999</c:v>
                </c:pt>
                <c:pt idx="49">
                  <c:v>85008788.730000004</c:v>
                </c:pt>
                <c:pt idx="50">
                  <c:v>89598578.659999996</c:v>
                </c:pt>
                <c:pt idx="51">
                  <c:v>26643724.600000001</c:v>
                </c:pt>
                <c:pt idx="52">
                  <c:v>21114091.350000001</c:v>
                </c:pt>
                <c:pt idx="53">
                  <c:v>613065.92000000004</c:v>
                </c:pt>
                <c:pt idx="54">
                  <c:v>7455653.4299999997</c:v>
                </c:pt>
                <c:pt idx="55">
                  <c:v>93438208.609999999</c:v>
                </c:pt>
                <c:pt idx="56">
                  <c:v>19092215.550000001</c:v>
                </c:pt>
                <c:pt idx="57">
                  <c:v>17414355.16</c:v>
                </c:pt>
                <c:pt idx="58">
                  <c:v>179488.82</c:v>
                </c:pt>
                <c:pt idx="59">
                  <c:v>1787597.01</c:v>
                </c:pt>
                <c:pt idx="60">
                  <c:v>66905372.329999998</c:v>
                </c:pt>
                <c:pt idx="61">
                  <c:v>1559635.29</c:v>
                </c:pt>
                <c:pt idx="62">
                  <c:v>58695175.789999999</c:v>
                </c:pt>
                <c:pt idx="63">
                  <c:v>38082702.770000003</c:v>
                </c:pt>
                <c:pt idx="64">
                  <c:v>99513045.180000007</c:v>
                </c:pt>
                <c:pt idx="65">
                  <c:v>30061852.890000001</c:v>
                </c:pt>
                <c:pt idx="66">
                  <c:v>16679796.42</c:v>
                </c:pt>
                <c:pt idx="67">
                  <c:v>49568234.259999998</c:v>
                </c:pt>
                <c:pt idx="68">
                  <c:v>11151058.17</c:v>
                </c:pt>
                <c:pt idx="69">
                  <c:v>4516870.3499999996</c:v>
                </c:pt>
                <c:pt idx="70">
                  <c:v>3495919.95</c:v>
                </c:pt>
                <c:pt idx="71">
                  <c:v>482160.53</c:v>
                </c:pt>
                <c:pt idx="72">
                  <c:v>5681613.6699999999</c:v>
                </c:pt>
                <c:pt idx="73">
                  <c:v>102736.51</c:v>
                </c:pt>
                <c:pt idx="74">
                  <c:v>184749.22</c:v>
                </c:pt>
                <c:pt idx="75">
                  <c:v>1752843.73</c:v>
                </c:pt>
                <c:pt idx="76">
                  <c:v>147082961.13999999</c:v>
                </c:pt>
                <c:pt idx="77">
                  <c:v>1266659874.46</c:v>
                </c:pt>
                <c:pt idx="78">
                  <c:v>195294.66</c:v>
                </c:pt>
                <c:pt idx="79">
                  <c:v>114440.64</c:v>
                </c:pt>
                <c:pt idx="80">
                  <c:v>84468.47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F9-4654-BB24-7F90A79D7EE9}"/>
            </c:ext>
          </c:extLst>
        </c:ser>
        <c:ser>
          <c:idx val="2"/>
          <c:order val="8"/>
          <c:tx>
            <c:v>56 Fe Samples corrected</c:v>
          </c:tx>
          <c:spPr>
            <a:ln w="19050">
              <a:noFill/>
            </a:ln>
          </c:spPr>
          <c:xVal>
            <c:numRef>
              <c:f>ICP_56_Fe_Drift!$E$6:$E$86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ICP_56_Fe_Drift!$K$6:$K$86</c:f>
              <c:numCache>
                <c:formatCode>0.00</c:formatCode>
                <c:ptCount val="81"/>
                <c:pt idx="0">
                  <c:v>28793.475638883552</c:v>
                </c:pt>
                <c:pt idx="1">
                  <c:v>14281.699368734038</c:v>
                </c:pt>
                <c:pt idx="2">
                  <c:v>20940.003081166782</c:v>
                </c:pt>
                <c:pt idx="3">
                  <c:v>77697.409227166747</c:v>
                </c:pt>
                <c:pt idx="4">
                  <c:v>156013.41605670017</c:v>
                </c:pt>
                <c:pt idx="5">
                  <c:v>766095.08356976695</c:v>
                </c:pt>
                <c:pt idx="6">
                  <c:v>1510653.6866160841</c:v>
                </c:pt>
                <c:pt idx="7">
                  <c:v>7252136.9772288343</c:v>
                </c:pt>
                <c:pt idx="8">
                  <c:v>14251383.047841582</c:v>
                </c:pt>
                <c:pt idx="9">
                  <c:v>-20831.933961815994</c:v>
                </c:pt>
                <c:pt idx="10">
                  <c:v>137365.15975061676</c:v>
                </c:pt>
                <c:pt idx="11">
                  <c:v>-55645.968760349329</c:v>
                </c:pt>
                <c:pt idx="12">
                  <c:v>10621320.232535934</c:v>
                </c:pt>
                <c:pt idx="13">
                  <c:v>24867924.120049</c:v>
                </c:pt>
                <c:pt idx="14">
                  <c:v>4783436.7451285003</c:v>
                </c:pt>
                <c:pt idx="15">
                  <c:v>5888524.8919580337</c:v>
                </c:pt>
                <c:pt idx="16">
                  <c:v>2939052.9932543174</c:v>
                </c:pt>
                <c:pt idx="17">
                  <c:v>10577594.6845506</c:v>
                </c:pt>
                <c:pt idx="18">
                  <c:v>11635065.015846884</c:v>
                </c:pt>
                <c:pt idx="19">
                  <c:v>18414445.269576736</c:v>
                </c:pt>
                <c:pt idx="20">
                  <c:v>11221347.390873017</c:v>
                </c:pt>
                <c:pt idx="21">
                  <c:v>15613469.969069617</c:v>
                </c:pt>
                <c:pt idx="22">
                  <c:v>-25205.032751199629</c:v>
                </c:pt>
                <c:pt idx="23">
                  <c:v>1499614.4209786509</c:v>
                </c:pt>
                <c:pt idx="24">
                  <c:v>3981770.1391752511</c:v>
                </c:pt>
                <c:pt idx="25">
                  <c:v>1500769.0704715345</c:v>
                </c:pt>
                <c:pt idx="26">
                  <c:v>7665425.7817678172</c:v>
                </c:pt>
                <c:pt idx="27">
                  <c:v>373535.43859735108</c:v>
                </c:pt>
                <c:pt idx="28">
                  <c:v>8676455.432993317</c:v>
                </c:pt>
                <c:pt idx="29">
                  <c:v>9187941.8142896015</c:v>
                </c:pt>
                <c:pt idx="30">
                  <c:v>12532830.655585885</c:v>
                </c:pt>
                <c:pt idx="31">
                  <c:v>11894018.099315735</c:v>
                </c:pt>
                <c:pt idx="32">
                  <c:v>11148837.833711701</c:v>
                </c:pt>
                <c:pt idx="33">
                  <c:v>5118773.6153132683</c:v>
                </c:pt>
                <c:pt idx="34">
                  <c:v>-80090.130290766378</c:v>
                </c:pt>
                <c:pt idx="35">
                  <c:v>1477586.3541226175</c:v>
                </c:pt>
                <c:pt idx="36">
                  <c:v>3152905.7354189008</c:v>
                </c:pt>
                <c:pt idx="37">
                  <c:v>163414234.43534809</c:v>
                </c:pt>
                <c:pt idx="38">
                  <c:v>13480188.490810584</c:v>
                </c:pt>
                <c:pt idx="39">
                  <c:v>23814947.645223968</c:v>
                </c:pt>
                <c:pt idx="40">
                  <c:v>6453962.2251531845</c:v>
                </c:pt>
                <c:pt idx="41">
                  <c:v>126606584.93956657</c:v>
                </c:pt>
                <c:pt idx="42">
                  <c:v>40159200.744646065</c:v>
                </c:pt>
                <c:pt idx="43">
                  <c:v>57309356.879042037</c:v>
                </c:pt>
                <c:pt idx="44">
                  <c:v>86666495.335871577</c:v>
                </c:pt>
                <c:pt idx="45">
                  <c:v>4351581.7102849502</c:v>
                </c:pt>
                <c:pt idx="46">
                  <c:v>-117567.31036373255</c:v>
                </c:pt>
                <c:pt idx="47">
                  <c:v>1488804.4471493345</c:v>
                </c:pt>
                <c:pt idx="48">
                  <c:v>19280351.5115453</c:v>
                </c:pt>
                <c:pt idx="49">
                  <c:v>84807054.835958689</c:v>
                </c:pt>
                <c:pt idx="50">
                  <c:v>89394018.662788212</c:v>
                </c:pt>
                <c:pt idx="51">
                  <c:v>26436449.327184185</c:v>
                </c:pt>
                <c:pt idx="52">
                  <c:v>20904100.801597569</c:v>
                </c:pt>
                <c:pt idx="53">
                  <c:v>400360.09599353425</c:v>
                </c:pt>
                <c:pt idx="54">
                  <c:v>7240093.7959227506</c:v>
                </c:pt>
                <c:pt idx="55">
                  <c:v>93219933.700336128</c:v>
                </c:pt>
                <c:pt idx="56">
                  <c:v>18871253.071632419</c:v>
                </c:pt>
                <c:pt idx="57">
                  <c:v>17190705.1129287</c:v>
                </c:pt>
                <c:pt idx="58">
                  <c:v>-46987.330241765536</c:v>
                </c:pt>
                <c:pt idx="59">
                  <c:v>1558405.5841542007</c:v>
                </c:pt>
                <c:pt idx="60">
                  <c:v>66673465.628567584</c:v>
                </c:pt>
                <c:pt idx="61">
                  <c:v>1325041.0198638679</c:v>
                </c:pt>
                <c:pt idx="62">
                  <c:v>58457755.416693397</c:v>
                </c:pt>
                <c:pt idx="63">
                  <c:v>37842594.82798969</c:v>
                </c:pt>
                <c:pt idx="64">
                  <c:v>99270194.25550276</c:v>
                </c:pt>
                <c:pt idx="65">
                  <c:v>29816342.103681933</c:v>
                </c:pt>
                <c:pt idx="66">
                  <c:v>16431459.530511467</c:v>
                </c:pt>
                <c:pt idx="67">
                  <c:v>49317154.388024531</c:v>
                </c:pt>
                <c:pt idx="68">
                  <c:v>10897263.022437919</c:v>
                </c:pt>
                <c:pt idx="69">
                  <c:v>4260359.9268338839</c:v>
                </c:pt>
                <c:pt idx="70">
                  <c:v>3236555.7167631011</c:v>
                </c:pt>
                <c:pt idx="71">
                  <c:v>220081.02117648476</c:v>
                </c:pt>
                <c:pt idx="72">
                  <c:v>5416818.8855724512</c:v>
                </c:pt>
                <c:pt idx="73">
                  <c:v>-164773.55001416511</c:v>
                </c:pt>
                <c:pt idx="74">
                  <c:v>-85614.650084948778</c:v>
                </c:pt>
                <c:pt idx="75">
                  <c:v>1479764.5843110173</c:v>
                </c:pt>
                <c:pt idx="76">
                  <c:v>146807166.7187244</c:v>
                </c:pt>
                <c:pt idx="77">
                  <c:v>1266381392.4700208</c:v>
                </c:pt>
                <c:pt idx="78">
                  <c:v>-86068.846932998364</c:v>
                </c:pt>
                <c:pt idx="79">
                  <c:v>-169665.84943734918</c:v>
                </c:pt>
                <c:pt idx="80">
                  <c:v>-202325.58814106593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F9-4654-BB24-7F90A79D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in val="45246.484000000011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10000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layout>
            <c:manualLayout>
              <c:xMode val="edge"/>
              <c:yMode val="edge"/>
              <c:x val="3.7461667031413702E-2"/>
              <c:y val="0.37600869679017551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356952242814326"/>
          <c:y val="0.17713794556322804"/>
          <c:w val="0.21094694044160475"/>
          <c:h val="0.23584566816562136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56 Fe calibration calc &amp; measure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ICP_56_Fe_Drift!$AO$28</c:f>
              <c:strCache>
                <c:ptCount val="1"/>
                <c:pt idx="0">
                  <c:v>Linear Model of 56 Fe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43231940405788"/>
                  <c:y val="3.2870005832604257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ICP_56_Fe_Drift!$AB$30:$AB$40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10000</c:v>
                </c:pt>
                <c:pt idx="10">
                  <c:v>100000</c:v>
                </c:pt>
              </c:numCache>
            </c:numRef>
          </c:xVal>
          <c:yVal>
            <c:numRef>
              <c:f>ICP_56_Fe_Drift!$Z$30:$Z$40</c:f>
              <c:numCache>
                <c:formatCode>0.00</c:formatCode>
                <c:ptCount val="11"/>
                <c:pt idx="0">
                  <c:v>37050.129999999997</c:v>
                </c:pt>
                <c:pt idx="1">
                  <c:v>25336.75</c:v>
                </c:pt>
                <c:pt idx="2">
                  <c:v>34793.449999999997</c:v>
                </c:pt>
                <c:pt idx="3">
                  <c:v>94460.08</c:v>
                </c:pt>
                <c:pt idx="4">
                  <c:v>175602.19</c:v>
                </c:pt>
                <c:pt idx="5">
                  <c:v>788426.84</c:v>
                </c:pt>
                <c:pt idx="6">
                  <c:v>1535866.96</c:v>
                </c:pt>
                <c:pt idx="7">
                  <c:v>7280120.9400000004</c:v>
                </c:pt>
                <c:pt idx="8">
                  <c:v>14282137.699999999</c:v>
                </c:pt>
                <c:pt idx="9">
                  <c:v>147082961.13999999</c:v>
                </c:pt>
                <c:pt idx="10">
                  <c:v>1266659874.46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C57-41D7-950F-1193CBA92C4F}"/>
            </c:ext>
          </c:extLst>
        </c:ser>
        <c:ser>
          <c:idx val="1"/>
          <c:order val="1"/>
          <c:tx>
            <c:strRef>
              <c:f>ICP_56_Fe_Drift!$M$2</c:f>
              <c:strCache>
                <c:ptCount val="1"/>
                <c:pt idx="0">
                  <c:v>Measure Conc ppb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554183277280693"/>
                  <c:y val="-5.9133283950579298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(ICP_56_Fe_Drift!$M$6,ICP_56_Fe_Drift!$M$9:$M$14,ICP_56_Fe_Drift!$M$82:$M$83)</c:f>
              <c:numCache>
                <c:formatCode>0.00</c:formatCode>
                <c:ptCount val="9"/>
                <c:pt idx="0">
                  <c:v>0</c:v>
                </c:pt>
                <c:pt idx="1">
                  <c:v>3.9060000000000001</c:v>
                </c:pt>
                <c:pt idx="2">
                  <c:v>9.4260000000000002</c:v>
                </c:pt>
                <c:pt idx="3">
                  <c:v>51.116</c:v>
                </c:pt>
                <c:pt idx="4">
                  <c:v>101.96299999999999</c:v>
                </c:pt>
                <c:pt idx="5">
                  <c:v>492.74099999999999</c:v>
                </c:pt>
                <c:pt idx="6">
                  <c:v>969.08299999999997</c:v>
                </c:pt>
                <c:pt idx="7">
                  <c:v>10003.431</c:v>
                </c:pt>
                <c:pt idx="8">
                  <c:v>86167.467000000004</c:v>
                </c:pt>
              </c:numCache>
            </c:numRef>
          </c:xVal>
          <c:yVal>
            <c:numRef>
              <c:f>(ICP_56_Fe_Drift!$I$6,ICP_56_Fe_Drift!$I$9:$I$14,ICP_56_Fe_Drift!$I$82:$I$83)</c:f>
              <c:numCache>
                <c:formatCode>0.00</c:formatCode>
                <c:ptCount val="9"/>
                <c:pt idx="0">
                  <c:v>37050.129999999997</c:v>
                </c:pt>
                <c:pt idx="1">
                  <c:v>94460.08</c:v>
                </c:pt>
                <c:pt idx="2">
                  <c:v>175602.19</c:v>
                </c:pt>
                <c:pt idx="3">
                  <c:v>788426.84</c:v>
                </c:pt>
                <c:pt idx="4">
                  <c:v>1535866.96</c:v>
                </c:pt>
                <c:pt idx="5">
                  <c:v>7280120.9400000004</c:v>
                </c:pt>
                <c:pt idx="6">
                  <c:v>14282137.699999999</c:v>
                </c:pt>
                <c:pt idx="7">
                  <c:v>147082961.13999999</c:v>
                </c:pt>
                <c:pt idx="8">
                  <c:v>1266659874.46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C57-41D7-950F-1193CBA92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inorUnit val="5000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57 Fe Cal Checks 100 ppb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56910074757788"/>
          <c:y val="5.7854076747854144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strRef>
              <c:f>ICP_57_Fe_Drift!$AB$2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ICP_57_Fe_Drift!$AB$3:$AB$8</c:f>
              <c:numCache>
                <c:formatCode>General</c:formatCode>
                <c:ptCount val="6"/>
                <c:pt idx="0">
                  <c:v>41795.86</c:v>
                </c:pt>
                <c:pt idx="1">
                  <c:v>41795.86</c:v>
                </c:pt>
                <c:pt idx="2">
                  <c:v>41795.86</c:v>
                </c:pt>
                <c:pt idx="3">
                  <c:v>41795.86</c:v>
                </c:pt>
                <c:pt idx="4">
                  <c:v>41795.86</c:v>
                </c:pt>
                <c:pt idx="5">
                  <c:v>41795.86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12-44FB-AAE5-35904BFD875B}"/>
            </c:ext>
          </c:extLst>
        </c:ser>
        <c:ser>
          <c:idx val="7"/>
          <c:order val="1"/>
          <c:tx>
            <c:strRef>
              <c:f>ICP_57_Fe_Drift!$AC$2</c:f>
              <c:strCache>
                <c:ptCount val="1"/>
                <c:pt idx="0">
                  <c:v>120%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ICP_57_Fe_Drift!$AC$3:$AC$8</c:f>
              <c:numCache>
                <c:formatCode>General</c:formatCode>
                <c:ptCount val="6"/>
                <c:pt idx="0">
                  <c:v>50155.031999999999</c:v>
                </c:pt>
                <c:pt idx="1">
                  <c:v>50155.031999999999</c:v>
                </c:pt>
                <c:pt idx="2">
                  <c:v>50155.031999999999</c:v>
                </c:pt>
                <c:pt idx="3">
                  <c:v>50155.031999999999</c:v>
                </c:pt>
                <c:pt idx="4">
                  <c:v>50155.031999999999</c:v>
                </c:pt>
                <c:pt idx="5">
                  <c:v>50155.031999999999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12-44FB-AAE5-35904BFD875B}"/>
            </c:ext>
          </c:extLst>
        </c:ser>
        <c:ser>
          <c:idx val="8"/>
          <c:order val="2"/>
          <c:tx>
            <c:strRef>
              <c:f>ICP_57_Fe_Drift!$AD$2</c:f>
              <c:strCache>
                <c:ptCount val="1"/>
                <c:pt idx="0">
                  <c:v>80%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ICP_57_Fe_Drift!$AD$3:$AD$8</c:f>
              <c:numCache>
                <c:formatCode>General</c:formatCode>
                <c:ptCount val="6"/>
                <c:pt idx="0">
                  <c:v>33436.688000000002</c:v>
                </c:pt>
                <c:pt idx="1">
                  <c:v>33436.688000000002</c:v>
                </c:pt>
                <c:pt idx="2">
                  <c:v>33436.688000000002</c:v>
                </c:pt>
                <c:pt idx="3">
                  <c:v>33436.688000000002</c:v>
                </c:pt>
                <c:pt idx="4">
                  <c:v>33436.688000000002</c:v>
                </c:pt>
                <c:pt idx="5">
                  <c:v>33436.688000000002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12-44FB-AAE5-35904BFD875B}"/>
            </c:ext>
          </c:extLst>
        </c:ser>
        <c:ser>
          <c:idx val="9"/>
          <c:order val="3"/>
          <c:tx>
            <c:strRef>
              <c:f>ICP_57_Fe_Drift!$AE$2</c:f>
              <c:strCache>
                <c:ptCount val="1"/>
                <c:pt idx="0">
                  <c:v>110%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ICP_57_Fe_Drift!$AE$3:$AE$8</c:f>
              <c:numCache>
                <c:formatCode>General</c:formatCode>
                <c:ptCount val="6"/>
                <c:pt idx="0">
                  <c:v>45975.446000000004</c:v>
                </c:pt>
                <c:pt idx="1">
                  <c:v>45975.446000000004</c:v>
                </c:pt>
                <c:pt idx="2">
                  <c:v>45975.446000000004</c:v>
                </c:pt>
                <c:pt idx="3">
                  <c:v>45975.446000000004</c:v>
                </c:pt>
                <c:pt idx="4">
                  <c:v>45975.446000000004</c:v>
                </c:pt>
                <c:pt idx="5">
                  <c:v>45975.446000000004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12-44FB-AAE5-35904BFD875B}"/>
            </c:ext>
          </c:extLst>
        </c:ser>
        <c:ser>
          <c:idx val="10"/>
          <c:order val="4"/>
          <c:tx>
            <c:strRef>
              <c:f>ICP_57_Fe_Drift!$AF$2</c:f>
              <c:strCache>
                <c:ptCount val="1"/>
                <c:pt idx="0">
                  <c:v>90%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ICP_57_Fe_Drift!$AF$3:$AF$8</c:f>
              <c:numCache>
                <c:formatCode>General</c:formatCode>
                <c:ptCount val="6"/>
                <c:pt idx="0">
                  <c:v>37616.274000000005</c:v>
                </c:pt>
                <c:pt idx="1">
                  <c:v>37616.274000000005</c:v>
                </c:pt>
                <c:pt idx="2">
                  <c:v>37616.274000000005</c:v>
                </c:pt>
                <c:pt idx="3">
                  <c:v>37616.274000000005</c:v>
                </c:pt>
                <c:pt idx="4">
                  <c:v>37616.274000000005</c:v>
                </c:pt>
                <c:pt idx="5">
                  <c:v>37616.274000000005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12-44FB-AAE5-35904BFD8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scatterChart>
        <c:scatterStyle val="lineMarker"/>
        <c:varyColors val="0"/>
        <c:ser>
          <c:idx val="11"/>
          <c:order val="5"/>
          <c:tx>
            <c:strRef>
              <c:f>ICP_57_Fe_Drift!$Z$1</c:f>
              <c:strCache>
                <c:ptCount val="1"/>
                <c:pt idx="0">
                  <c:v>57  Fe  [ He ] 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5-C312-44FB-AAE5-35904BFD875B}"/>
              </c:ext>
            </c:extLst>
          </c:dPt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7.6961045799126592E-3"/>
                  <c:y val="-0.14909160950352252"/>
                </c:manualLayout>
              </c:layout>
              <c:numFmt formatCode="#,##0.0000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ICP_57_Fe_Drift!$Z$3:$Z$8</c:f>
              <c:numCache>
                <c:formatCode>General</c:formatCode>
                <c:ptCount val="6"/>
                <c:pt idx="0" formatCode="0.00">
                  <c:v>38979.96</c:v>
                </c:pt>
                <c:pt idx="1">
                  <c:v>40567.760000000002</c:v>
                </c:pt>
                <c:pt idx="2">
                  <c:v>40410.629999999997</c:v>
                </c:pt>
                <c:pt idx="3">
                  <c:v>42218.99</c:v>
                </c:pt>
                <c:pt idx="4">
                  <c:v>44582.73</c:v>
                </c:pt>
                <c:pt idx="5">
                  <c:v>44015.09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312-44FB-AAE5-35904BFD875B}"/>
            </c:ext>
          </c:extLst>
        </c:ser>
        <c:ser>
          <c:idx val="0"/>
          <c:order val="6"/>
          <c:tx>
            <c:strRef>
              <c:f>ICP_57_Fe_Drift!$BB$1</c:f>
              <c:strCache>
                <c:ptCount val="1"/>
                <c:pt idx="0">
                  <c:v>57 Fe  [ He ] corrected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8.2886917217711562E-2"/>
                  <c:y val="0.14646166259944368"/>
                </c:manualLayout>
              </c:layout>
              <c:numFmt formatCode="#,##0.0000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ICP_57_Fe_Drift!$AX$3:$AX$8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ICP_57_Fe_Drift!$BB$3:$BB$8</c:f>
              <c:numCache>
                <c:formatCode>General</c:formatCode>
                <c:ptCount val="6"/>
                <c:pt idx="0">
                  <c:v>38407.785898806796</c:v>
                </c:pt>
                <c:pt idx="1">
                  <c:v>38263.973288494584</c:v>
                </c:pt>
                <c:pt idx="2">
                  <c:v>36897.732522464445</c:v>
                </c:pt>
                <c:pt idx="3">
                  <c:v>37764.205924702124</c:v>
                </c:pt>
                <c:pt idx="4">
                  <c:v>39381.604541686305</c:v>
                </c:pt>
                <c:pt idx="5">
                  <c:v>37818.004347532711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312-44FB-AAE5-35904BFD8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836724413693577"/>
          <c:y val="0.46944730236536164"/>
          <c:w val="0.22784657508085501"/>
          <c:h val="0.42452220269811841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57 Fe Blanks </a:t>
            </a:r>
          </a:p>
        </c:rich>
      </c:tx>
      <c:layout>
        <c:manualLayout>
          <c:xMode val="edge"/>
          <c:yMode val="edge"/>
          <c:x val="0.43189771762790663"/>
          <c:y val="1.00791938930561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7904865119220868E-2"/>
          <c:y val="5.9869935542364597E-2"/>
          <c:w val="0.76017652565518312"/>
          <c:h val="0.84833853807841519"/>
        </c:manualLayout>
      </c:layout>
      <c:scatterChart>
        <c:scatterStyle val="smoothMarker"/>
        <c:varyColors val="0"/>
        <c:ser>
          <c:idx val="3"/>
          <c:order val="1"/>
          <c:tx>
            <c:strRef>
              <c:f>ICP_57_Fe_Drift!$AB$2</c:f>
              <c:strCache>
                <c:ptCount val="1"/>
                <c:pt idx="0">
                  <c:v>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ICP_57_Fe_Drift!$AB$15:$AB$24</c:f>
              <c:numCache>
                <c:formatCode>General</c:formatCode>
                <c:ptCount val="10"/>
                <c:pt idx="0">
                  <c:v>2905.8269999999998</c:v>
                </c:pt>
                <c:pt idx="1">
                  <c:v>2905.8269999999998</c:v>
                </c:pt>
                <c:pt idx="2">
                  <c:v>2905.8269999999998</c:v>
                </c:pt>
                <c:pt idx="3">
                  <c:v>2905.8269999999998</c:v>
                </c:pt>
                <c:pt idx="4">
                  <c:v>2905.8269999999998</c:v>
                </c:pt>
                <c:pt idx="5">
                  <c:v>2905.8269999999998</c:v>
                </c:pt>
                <c:pt idx="6">
                  <c:v>2905.8269999999998</c:v>
                </c:pt>
                <c:pt idx="7">
                  <c:v>2905.8269999999998</c:v>
                </c:pt>
                <c:pt idx="8">
                  <c:v>2905.8269999999998</c:v>
                </c:pt>
                <c:pt idx="9">
                  <c:v>2905.8269999999998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07-4284-8889-8CA39BBF9689}"/>
            </c:ext>
          </c:extLst>
        </c:ser>
        <c:ser>
          <c:idx val="4"/>
          <c:order val="2"/>
          <c:tx>
            <c:strRef>
              <c:f>ICP_57_Fe_Drift!$AC$2</c:f>
              <c:strCache>
                <c:ptCount val="1"/>
                <c:pt idx="0">
                  <c:v>120%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ICP_57_Fe_Drift!$AC$15:$AC$24</c:f>
              <c:numCache>
                <c:formatCode>General</c:formatCode>
                <c:ptCount val="10"/>
                <c:pt idx="0">
                  <c:v>3486.9923999999996</c:v>
                </c:pt>
                <c:pt idx="1">
                  <c:v>3486.9923999999996</c:v>
                </c:pt>
                <c:pt idx="2">
                  <c:v>3486.9923999999996</c:v>
                </c:pt>
                <c:pt idx="3">
                  <c:v>3486.9923999999996</c:v>
                </c:pt>
                <c:pt idx="4">
                  <c:v>3486.9923999999996</c:v>
                </c:pt>
                <c:pt idx="5">
                  <c:v>3486.9923999999996</c:v>
                </c:pt>
                <c:pt idx="6">
                  <c:v>3486.9923999999996</c:v>
                </c:pt>
                <c:pt idx="7">
                  <c:v>3486.9923999999996</c:v>
                </c:pt>
                <c:pt idx="8">
                  <c:v>3486.9923999999996</c:v>
                </c:pt>
                <c:pt idx="9">
                  <c:v>3486.9923999999996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07-4284-8889-8CA39BBF9689}"/>
            </c:ext>
          </c:extLst>
        </c:ser>
        <c:ser>
          <c:idx val="5"/>
          <c:order val="3"/>
          <c:tx>
            <c:strRef>
              <c:f>ICP_57_Fe_Drift!$AD$2</c:f>
              <c:strCache>
                <c:ptCount val="1"/>
                <c:pt idx="0">
                  <c:v>80%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ICP_57_Fe_Drift!$AD$15:$AD$24</c:f>
              <c:numCache>
                <c:formatCode>General</c:formatCode>
                <c:ptCount val="10"/>
                <c:pt idx="0">
                  <c:v>2324.6615999999999</c:v>
                </c:pt>
                <c:pt idx="1">
                  <c:v>2324.6615999999999</c:v>
                </c:pt>
                <c:pt idx="2">
                  <c:v>2324.6615999999999</c:v>
                </c:pt>
                <c:pt idx="3">
                  <c:v>2324.6615999999999</c:v>
                </c:pt>
                <c:pt idx="4">
                  <c:v>2324.6615999999999</c:v>
                </c:pt>
                <c:pt idx="5">
                  <c:v>2324.6615999999999</c:v>
                </c:pt>
                <c:pt idx="6">
                  <c:v>2324.6615999999999</c:v>
                </c:pt>
                <c:pt idx="7">
                  <c:v>2324.6615999999999</c:v>
                </c:pt>
                <c:pt idx="8">
                  <c:v>2324.6615999999999</c:v>
                </c:pt>
                <c:pt idx="9">
                  <c:v>2324.6615999999999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07-4284-8889-8CA39BBF9689}"/>
            </c:ext>
          </c:extLst>
        </c:ser>
        <c:ser>
          <c:idx val="1"/>
          <c:order val="4"/>
          <c:tx>
            <c:strRef>
              <c:f>ICP_57_Fe_Drift!$AE$2</c:f>
              <c:strCache>
                <c:ptCount val="1"/>
                <c:pt idx="0">
                  <c:v>110%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ICP_57_Fe_Drift!$AE$15:$AE$24</c:f>
              <c:numCache>
                <c:formatCode>General</c:formatCode>
                <c:ptCount val="10"/>
                <c:pt idx="0">
                  <c:v>3196.4097000000002</c:v>
                </c:pt>
                <c:pt idx="1">
                  <c:v>3196.4097000000002</c:v>
                </c:pt>
                <c:pt idx="2">
                  <c:v>3196.4097000000002</c:v>
                </c:pt>
                <c:pt idx="3">
                  <c:v>3196.4097000000002</c:v>
                </c:pt>
                <c:pt idx="4">
                  <c:v>3196.4097000000002</c:v>
                </c:pt>
                <c:pt idx="5">
                  <c:v>3196.4097000000002</c:v>
                </c:pt>
                <c:pt idx="6">
                  <c:v>3196.4097000000002</c:v>
                </c:pt>
                <c:pt idx="7">
                  <c:v>3196.4097000000002</c:v>
                </c:pt>
                <c:pt idx="8">
                  <c:v>3196.4097000000002</c:v>
                </c:pt>
                <c:pt idx="9">
                  <c:v>3196.4097000000002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07-4284-8889-8CA39BBF9689}"/>
            </c:ext>
          </c:extLst>
        </c:ser>
        <c:ser>
          <c:idx val="2"/>
          <c:order val="5"/>
          <c:tx>
            <c:strRef>
              <c:f>ICP_57_Fe_Drift!$AF$2</c:f>
              <c:strCache>
                <c:ptCount val="1"/>
                <c:pt idx="0">
                  <c:v>90% Mean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ICP_57_Fe_Drift!$AF$15:$AF$24</c:f>
              <c:numCache>
                <c:formatCode>General</c:formatCode>
                <c:ptCount val="10"/>
                <c:pt idx="0">
                  <c:v>2615.2442999999998</c:v>
                </c:pt>
                <c:pt idx="1">
                  <c:v>2615.2442999999998</c:v>
                </c:pt>
                <c:pt idx="2">
                  <c:v>2615.2442999999998</c:v>
                </c:pt>
                <c:pt idx="3">
                  <c:v>2615.2442999999998</c:v>
                </c:pt>
                <c:pt idx="4">
                  <c:v>2615.2442999999998</c:v>
                </c:pt>
                <c:pt idx="5">
                  <c:v>2615.2442999999998</c:v>
                </c:pt>
                <c:pt idx="6">
                  <c:v>2615.2442999999998</c:v>
                </c:pt>
                <c:pt idx="7">
                  <c:v>2615.2442999999998</c:v>
                </c:pt>
                <c:pt idx="8">
                  <c:v>2615.2442999999998</c:v>
                </c:pt>
                <c:pt idx="9">
                  <c:v>2615.2442999999998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507-4284-8889-8CA39BBF9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/>
      </c:scatterChart>
      <c:scatterChart>
        <c:scatterStyle val="lineMarker"/>
        <c:varyColors val="0"/>
        <c:ser>
          <c:idx val="0"/>
          <c:order val="0"/>
          <c:tx>
            <c:v>57 Fe Blanks</c:v>
          </c:tx>
          <c:spPr>
            <a:ln w="19050">
              <a:noFill/>
            </a:ln>
          </c:spPr>
          <c:marker>
            <c:symbol val="triangle"/>
            <c:size val="6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trendline>
            <c:spPr>
              <a:ln>
                <a:solidFill>
                  <a:srgbClr val="FFC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8350536180561419E-2"/>
                  <c:y val="-0.16697423256875499"/>
                </c:manualLayout>
              </c:layout>
              <c:numFmt formatCode="General" sourceLinked="0"/>
              <c:spPr>
                <a:ln>
                  <a:solidFill>
                    <a:srgbClr val="FFC000"/>
                  </a:solidFill>
                </a:ln>
              </c:spPr>
            </c:trendlineLbl>
          </c:trendline>
          <c:xVal>
            <c:numRef>
              <c:f>ICP_57_Fe_Drift!$V$15:$V$24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ICP_57_Fe_Drift!$Z$15:$Z$24</c:f>
              <c:numCache>
                <c:formatCode>General</c:formatCode>
                <c:ptCount val="10"/>
                <c:pt idx="0">
                  <c:v>570.04</c:v>
                </c:pt>
                <c:pt idx="1">
                  <c:v>663.37</c:v>
                </c:pt>
                <c:pt idx="2">
                  <c:v>2176.9</c:v>
                </c:pt>
                <c:pt idx="3">
                  <c:v>2033.54</c:v>
                </c:pt>
                <c:pt idx="4">
                  <c:v>2493.63</c:v>
                </c:pt>
                <c:pt idx="5">
                  <c:v>4961.03</c:v>
                </c:pt>
                <c:pt idx="6">
                  <c:v>5081.08</c:v>
                </c:pt>
                <c:pt idx="7">
                  <c:v>5404.55</c:v>
                </c:pt>
                <c:pt idx="8">
                  <c:v>3370.53</c:v>
                </c:pt>
                <c:pt idx="9">
                  <c:v>2303.6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07-4284-8889-8CA39BBF9689}"/>
            </c:ext>
          </c:extLst>
        </c:ser>
        <c:ser>
          <c:idx val="6"/>
          <c:order val="6"/>
          <c:tx>
            <c:strRef>
              <c:f>ICP_57_Fe_Drift!$AS$10</c:f>
              <c:strCache>
                <c:ptCount val="1"/>
                <c:pt idx="0">
                  <c:v>Blanks corrected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trendline>
            <c:trendlineType val="linear"/>
            <c:dispRSqr val="0"/>
            <c:dispEq val="0"/>
          </c:trendline>
          <c:trendline>
            <c:spPr>
              <a:ln>
                <a:solidFill>
                  <a:srgbClr val="70AD47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2.6152134955764232E-2"/>
                  <c:y val="0.15506323940212444"/>
                </c:manualLayout>
              </c:layout>
              <c:numFmt formatCode="General" sourceLinked="0"/>
              <c:spPr>
                <a:ln>
                  <a:solidFill>
                    <a:srgbClr val="70AD47"/>
                  </a:solidFill>
                </a:ln>
              </c:spPr>
            </c:trendlineLbl>
          </c:trendline>
          <c:xVal>
            <c:numRef>
              <c:f>ICP_57_Fe_Drift!$AX$15:$AX$24</c:f>
              <c:numCache>
                <c:formatCode>[$-F400]h:mm:ss\ AM/PM</c:formatCode>
                <c:ptCount val="10"/>
                <c:pt idx="0">
                  <c:v>45246.494143518517</c:v>
                </c:pt>
                <c:pt idx="1">
                  <c:v>45246.508993055555</c:v>
                </c:pt>
                <c:pt idx="2">
                  <c:v>45246.521423611113</c:v>
                </c:pt>
                <c:pt idx="3">
                  <c:v>45246.543715277781</c:v>
                </c:pt>
                <c:pt idx="4">
                  <c:v>45246.561041666668</c:v>
                </c:pt>
                <c:pt idx="5">
                  <c:v>45246.574791666666</c:v>
                </c:pt>
                <c:pt idx="6">
                  <c:v>45246.593124999999</c:v>
                </c:pt>
                <c:pt idx="7">
                  <c:v>45246.597719907404</c:v>
                </c:pt>
                <c:pt idx="8">
                  <c:v>45246.598865740743</c:v>
                </c:pt>
                <c:pt idx="9">
                  <c:v>45246.599988425929</c:v>
                </c:pt>
              </c:numCache>
            </c:numRef>
          </c:xVal>
          <c:yVal>
            <c:numRef>
              <c:f>ICP_57_Fe_Drift!$BB$15:$BB$24</c:f>
              <c:numCache>
                <c:formatCode>General</c:formatCode>
                <c:ptCount val="10"/>
                <c:pt idx="0">
                  <c:v>89.214060651018656</c:v>
                </c:pt>
                <c:pt idx="1">
                  <c:v>-328.98137913878679</c:v>
                </c:pt>
                <c:pt idx="2">
                  <c:v>756.35039605237171</c:v>
                </c:pt>
                <c:pt idx="3">
                  <c:v>-154.89580586010879</c:v>
                </c:pt>
                <c:pt idx="4">
                  <c:v>-291.65193463990681</c:v>
                </c:pt>
                <c:pt idx="5">
                  <c:v>1702.0986324937421</c:v>
                </c:pt>
                <c:pt idx="6">
                  <c:v>1190.6160552550623</c:v>
                </c:pt>
                <c:pt idx="7">
                  <c:v>1355.8042162313095</c:v>
                </c:pt>
                <c:pt idx="8">
                  <c:v>-717.68657004975012</c:v>
                </c:pt>
                <c:pt idx="9">
                  <c:v>-1823.2899665266891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07-4284-8889-8CA39BBF9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0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4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egendEntry>
        <c:idx val="8"/>
        <c:delete val="1"/>
      </c:legendEntry>
      <c:layout>
        <c:manualLayout>
          <c:xMode val="edge"/>
          <c:yMode val="edge"/>
          <c:x val="0.82630327977805351"/>
          <c:y val="0.22740819279517122"/>
          <c:w val="0.17369672022194654"/>
          <c:h val="0.5289858777622557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57 Fe calibration calc &amp; measure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ICP_57_Fe_Drift!$AO$28</c:f>
              <c:strCache>
                <c:ptCount val="1"/>
                <c:pt idx="0">
                  <c:v>Linear Model of 57 Fe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ICP_57_Fe_Drift!$AB$30:$AB$40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  <c:pt idx="7">
                  <c:v>500</c:v>
                </c:pt>
                <c:pt idx="8">
                  <c:v>1000</c:v>
                </c:pt>
                <c:pt idx="9">
                  <c:v>10000</c:v>
                </c:pt>
                <c:pt idx="10">
                  <c:v>100000</c:v>
                </c:pt>
              </c:numCache>
            </c:numRef>
          </c:xVal>
          <c:yVal>
            <c:numRef>
              <c:f>ICP_57_Fe_Drift!$Z$30:$Z$40</c:f>
              <c:numCache>
                <c:formatCode>0.00</c:formatCode>
                <c:ptCount val="11"/>
                <c:pt idx="0">
                  <c:v>1140.0899999999999</c:v>
                </c:pt>
                <c:pt idx="1">
                  <c:v>950.06</c:v>
                </c:pt>
                <c:pt idx="2">
                  <c:v>1130.23</c:v>
                </c:pt>
                <c:pt idx="3">
                  <c:v>2737.01</c:v>
                </c:pt>
                <c:pt idx="4">
                  <c:v>4684.25</c:v>
                </c:pt>
                <c:pt idx="5">
                  <c:v>20154.63</c:v>
                </c:pt>
                <c:pt idx="6">
                  <c:v>38979.96</c:v>
                </c:pt>
                <c:pt idx="7">
                  <c:v>188359.97</c:v>
                </c:pt>
                <c:pt idx="8">
                  <c:v>368734.71999999997</c:v>
                </c:pt>
                <c:pt idx="9">
                  <c:v>3708582.55</c:v>
                </c:pt>
                <c:pt idx="10">
                  <c:v>31921012.02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55-48D7-9D80-EC1167D27F5D}"/>
            </c:ext>
          </c:extLst>
        </c:ser>
        <c:ser>
          <c:idx val="1"/>
          <c:order val="1"/>
          <c:tx>
            <c:strRef>
              <c:f>ICP_57_Fe_Drift!$M$2</c:f>
              <c:strCache>
                <c:ptCount val="1"/>
                <c:pt idx="0">
                  <c:v>Measure Conc ppb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(ICP_57_Fe_Drift!$M$6,ICP_57_Fe_Drift!$M$9:$M$14,ICP_57_Fe_Drift!$M$82:$M$83)</c:f>
              <c:numCache>
                <c:formatCode>0.00</c:formatCode>
                <c:ptCount val="9"/>
                <c:pt idx="0">
                  <c:v>0</c:v>
                </c:pt>
                <c:pt idx="1">
                  <c:v>4.3079999999999998</c:v>
                </c:pt>
                <c:pt idx="2">
                  <c:v>9.56</c:v>
                </c:pt>
                <c:pt idx="3">
                  <c:v>51.29</c:v>
                </c:pt>
                <c:pt idx="4">
                  <c:v>102.07</c:v>
                </c:pt>
                <c:pt idx="5">
                  <c:v>505.01299999999998</c:v>
                </c:pt>
                <c:pt idx="6">
                  <c:v>991.56100000000004</c:v>
                </c:pt>
                <c:pt idx="7">
                  <c:v>10000.566999999999</c:v>
                </c:pt>
                <c:pt idx="8">
                  <c:v>86101.625</c:v>
                </c:pt>
              </c:numCache>
            </c:numRef>
          </c:xVal>
          <c:yVal>
            <c:numRef>
              <c:f>(ICP_57_Fe_Drift!$I$6,ICP_57_Fe_Drift!$I$9:$I$14,ICP_57_Fe_Drift!$I$82:$I$83)</c:f>
              <c:numCache>
                <c:formatCode>0.00</c:formatCode>
                <c:ptCount val="9"/>
                <c:pt idx="0">
                  <c:v>1140.0899999999999</c:v>
                </c:pt>
                <c:pt idx="1">
                  <c:v>2737.01</c:v>
                </c:pt>
                <c:pt idx="2">
                  <c:v>4684.25</c:v>
                </c:pt>
                <c:pt idx="3">
                  <c:v>20154.63</c:v>
                </c:pt>
                <c:pt idx="4">
                  <c:v>38979.96</c:v>
                </c:pt>
                <c:pt idx="5">
                  <c:v>188359.97</c:v>
                </c:pt>
                <c:pt idx="6">
                  <c:v>368734.71999999997</c:v>
                </c:pt>
                <c:pt idx="7">
                  <c:v>3708582.55</c:v>
                </c:pt>
                <c:pt idx="8">
                  <c:v>31921012.02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C55-48D7-9D80-EC1167D27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  <c:minorUnit val="5000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ICP-MS</a:t>
            </a:r>
            <a:r>
              <a:rPr lang="en-US" sz="1600" baseline="0"/>
              <a:t> 57 Fe Samples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6534632541841"/>
          <c:y val="3.5511943796382978E-2"/>
          <c:w val="0.83682705935876633"/>
          <c:h val="0.84833853807841519"/>
        </c:manualLayout>
      </c:layout>
      <c:scatterChart>
        <c:scatterStyle val="smoothMarker"/>
        <c:varyColors val="0"/>
        <c:ser>
          <c:idx val="6"/>
          <c:order val="0"/>
          <c:tx>
            <c:v>Mean Cal Check</c:v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ICP_57_Fe_Drift!$AB$3:$AB$8</c:f>
              <c:numCache>
                <c:formatCode>General</c:formatCode>
                <c:ptCount val="6"/>
                <c:pt idx="0">
                  <c:v>41795.86</c:v>
                </c:pt>
                <c:pt idx="1">
                  <c:v>41795.86</c:v>
                </c:pt>
                <c:pt idx="2">
                  <c:v>41795.86</c:v>
                </c:pt>
                <c:pt idx="3">
                  <c:v>41795.86</c:v>
                </c:pt>
                <c:pt idx="4">
                  <c:v>41795.86</c:v>
                </c:pt>
                <c:pt idx="5">
                  <c:v>41795.86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E4-4C1D-B222-A958D76B5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ICP_Mn_Drift!$AC$2</c15:sqref>
                        </c15:formulaRef>
                      </c:ext>
                    </c:extLst>
                    <c:strCache>
                      <c:ptCount val="1"/>
                      <c:pt idx="0">
                        <c:v>120%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ICP_Mn_Drift!$AC$3:$AC$8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1230783.132</c:v>
                      </c:pt>
                      <c:pt idx="1">
                        <c:v>1230783.132</c:v>
                      </c:pt>
                      <c:pt idx="2">
                        <c:v>1230783.132</c:v>
                      </c:pt>
                      <c:pt idx="3">
                        <c:v>1230783.132</c:v>
                      </c:pt>
                      <c:pt idx="4">
                        <c:v>1230783.132</c:v>
                      </c:pt>
                      <c:pt idx="5">
                        <c:v>1230783.132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72E4-4C1D-B222-A958D76B5800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ICP_Mn_Drift!$AD$2</c15:sqref>
                        </c15:formulaRef>
                      </c:ext>
                    </c:extLst>
                    <c:strCache>
                      <c:ptCount val="1"/>
                      <c:pt idx="0">
                        <c:v>80%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ICP_Mn_Drift!$AD$3:$AD$8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820522.08799999999</c:v>
                      </c:pt>
                      <c:pt idx="1">
                        <c:v>820522.08799999999</c:v>
                      </c:pt>
                      <c:pt idx="2">
                        <c:v>820522.08799999999</c:v>
                      </c:pt>
                      <c:pt idx="3">
                        <c:v>820522.08799999999</c:v>
                      </c:pt>
                      <c:pt idx="4">
                        <c:v>820522.08799999999</c:v>
                      </c:pt>
                      <c:pt idx="5">
                        <c:v>820522.08799999999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2E4-4C1D-B222-A958D76B5800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ICP_Mn_Drift!$AE$2</c15:sqref>
                        </c15:formulaRef>
                      </c:ext>
                    </c:extLst>
                    <c:strCache>
                      <c:ptCount val="1"/>
                      <c:pt idx="0">
                        <c:v>110%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ICP_Mn_Drift!$AE$3:$AE$8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1128217.871</c:v>
                      </c:pt>
                      <c:pt idx="1">
                        <c:v>1128217.871</c:v>
                      </c:pt>
                      <c:pt idx="2">
                        <c:v>1128217.871</c:v>
                      </c:pt>
                      <c:pt idx="3">
                        <c:v>1128217.871</c:v>
                      </c:pt>
                      <c:pt idx="4">
                        <c:v>1128217.871</c:v>
                      </c:pt>
                      <c:pt idx="5">
                        <c:v>1128217.871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2E4-4C1D-B222-A958D76B5800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ICP_Mn_Drift!$AF$2</c15:sqref>
                        </c15:formulaRef>
                      </c:ext>
                    </c:extLst>
                    <c:strCache>
                      <c:ptCount val="1"/>
                      <c:pt idx="0">
                        <c:v>90% Mean</c:v>
                      </c:pt>
                    </c:strCache>
                  </c:strRef>
                </c:tx>
                <c:spPr>
                  <a:ln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ICP_Mn_Drift!$V$3:$V$8</c15:sqref>
                        </c15:formulaRef>
                      </c:ext>
                    </c:extLst>
                    <c:numCache>
                      <c:formatCode>[$-F400]h:mm:ss\ AM/PM</c:formatCode>
                      <c:ptCount val="6"/>
                      <c:pt idx="0">
                        <c:v>45246.490717592591</c:v>
                      </c:pt>
                      <c:pt idx="1">
                        <c:v>45246.522592592592</c:v>
                      </c:pt>
                      <c:pt idx="2">
                        <c:v>45246.544849537036</c:v>
                      </c:pt>
                      <c:pt idx="3">
                        <c:v>45246.5621875</c:v>
                      </c:pt>
                      <c:pt idx="4">
                        <c:v>45246.575925925928</c:v>
                      </c:pt>
                      <c:pt idx="5">
                        <c:v>45246.594259259262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ICP_Mn_Drift!$AF$3:$AF$8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923087.34900000005</c:v>
                      </c:pt>
                      <c:pt idx="1">
                        <c:v>923087.34900000005</c:v>
                      </c:pt>
                      <c:pt idx="2">
                        <c:v>923087.34900000005</c:v>
                      </c:pt>
                      <c:pt idx="3">
                        <c:v>923087.34900000005</c:v>
                      </c:pt>
                      <c:pt idx="4">
                        <c:v>923087.34900000005</c:v>
                      </c:pt>
                      <c:pt idx="5">
                        <c:v>923087.34900000005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2E4-4C1D-B222-A958D76B5800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1"/>
          <c:order val="5"/>
          <c:tx>
            <c:strRef>
              <c:f>ICP_57_Fe_Drift!$Q$1</c:f>
              <c:strCache>
                <c:ptCount val="1"/>
                <c:pt idx="0">
                  <c:v>100 ppb cal checks masured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72E4-4C1D-B222-A958D76B5800}"/>
              </c:ext>
            </c:extLst>
          </c:dPt>
          <c:xVal>
            <c:numRef>
              <c:f>ICP_57_Fe_Drift!$V$3:$V$8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ICP_57_Fe_Drift!$Z$3:$Z$8</c:f>
              <c:numCache>
                <c:formatCode>General</c:formatCode>
                <c:ptCount val="6"/>
                <c:pt idx="0" formatCode="0.00">
                  <c:v>38979.96</c:v>
                </c:pt>
                <c:pt idx="1">
                  <c:v>40567.760000000002</c:v>
                </c:pt>
                <c:pt idx="2">
                  <c:v>40410.629999999997</c:v>
                </c:pt>
                <c:pt idx="3">
                  <c:v>42218.99</c:v>
                </c:pt>
                <c:pt idx="4">
                  <c:v>44582.73</c:v>
                </c:pt>
                <c:pt idx="5">
                  <c:v>44015.09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E4-4C1D-B222-A958D76B5800}"/>
            </c:ext>
          </c:extLst>
        </c:ser>
        <c:ser>
          <c:idx val="0"/>
          <c:order val="6"/>
          <c:tx>
            <c:strRef>
              <c:f>ICP_57_Fe_Drift!$AS$1</c:f>
              <c:strCache>
                <c:ptCount val="1"/>
                <c:pt idx="0">
                  <c:v>100 ppb cal checks corrected</c:v>
                </c:pt>
              </c:strCache>
            </c:strRef>
          </c:tx>
          <c:spPr>
            <a:ln w="25400">
              <a:noFill/>
            </a:ln>
          </c:spPr>
          <c:xVal>
            <c:numRef>
              <c:f>ICP_57_Fe_Drift!$AX$3:$AX$8</c:f>
              <c:numCache>
                <c:formatCode>[$-F400]h:mm:ss\ AM/PM</c:formatCode>
                <c:ptCount val="6"/>
                <c:pt idx="0">
                  <c:v>45246.490717592591</c:v>
                </c:pt>
                <c:pt idx="1">
                  <c:v>45246.522592592592</c:v>
                </c:pt>
                <c:pt idx="2">
                  <c:v>45246.544849537036</c:v>
                </c:pt>
                <c:pt idx="3">
                  <c:v>45246.5621875</c:v>
                </c:pt>
                <c:pt idx="4">
                  <c:v>45246.575925925928</c:v>
                </c:pt>
                <c:pt idx="5">
                  <c:v>45246.594259259262</c:v>
                </c:pt>
              </c:numCache>
            </c:numRef>
          </c:xVal>
          <c:yVal>
            <c:numRef>
              <c:f>ICP_57_Fe_Drift!$BB$3:$BB$8</c:f>
              <c:numCache>
                <c:formatCode>General</c:formatCode>
                <c:ptCount val="6"/>
                <c:pt idx="0">
                  <c:v>38407.785898806796</c:v>
                </c:pt>
                <c:pt idx="1">
                  <c:v>38263.973288494584</c:v>
                </c:pt>
                <c:pt idx="2">
                  <c:v>36897.732522464445</c:v>
                </c:pt>
                <c:pt idx="3">
                  <c:v>37764.205924702124</c:v>
                </c:pt>
                <c:pt idx="4">
                  <c:v>39381.604541686305</c:v>
                </c:pt>
                <c:pt idx="5">
                  <c:v>37818.004347532711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E4-4C1D-B222-A958D76B5800}"/>
            </c:ext>
          </c:extLst>
        </c:ser>
        <c:ser>
          <c:idx val="1"/>
          <c:order val="7"/>
          <c:tx>
            <c:v>57 Fe Samples</c:v>
          </c:tx>
          <c:spPr>
            <a:ln w="19050">
              <a:noFill/>
            </a:ln>
          </c:spPr>
          <c:xVal>
            <c:numRef>
              <c:f>ICP_57_Fe_Drift!$E$6:$E$86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ICP_57_Fe_Drift!$I$6:$I$86</c:f>
              <c:numCache>
                <c:formatCode>0.00</c:formatCode>
                <c:ptCount val="81"/>
                <c:pt idx="0">
                  <c:v>1140.0899999999999</c:v>
                </c:pt>
                <c:pt idx="1">
                  <c:v>950.06</c:v>
                </c:pt>
                <c:pt idx="2">
                  <c:v>1130.23</c:v>
                </c:pt>
                <c:pt idx="3">
                  <c:v>2737.01</c:v>
                </c:pt>
                <c:pt idx="4">
                  <c:v>4684.25</c:v>
                </c:pt>
                <c:pt idx="5">
                  <c:v>20154.63</c:v>
                </c:pt>
                <c:pt idx="6">
                  <c:v>38979.96</c:v>
                </c:pt>
                <c:pt idx="7">
                  <c:v>188359.97</c:v>
                </c:pt>
                <c:pt idx="8">
                  <c:v>368734.71999999997</c:v>
                </c:pt>
                <c:pt idx="9">
                  <c:v>570.04</c:v>
                </c:pt>
                <c:pt idx="10">
                  <c:v>4824.32</c:v>
                </c:pt>
                <c:pt idx="11">
                  <c:v>663.37</c:v>
                </c:pt>
                <c:pt idx="12">
                  <c:v>276623.07</c:v>
                </c:pt>
                <c:pt idx="13">
                  <c:v>643767.06000000006</c:v>
                </c:pt>
                <c:pt idx="14">
                  <c:v>125131.42</c:v>
                </c:pt>
                <c:pt idx="15">
                  <c:v>153702.78</c:v>
                </c:pt>
                <c:pt idx="16">
                  <c:v>77729.649999999994</c:v>
                </c:pt>
                <c:pt idx="17">
                  <c:v>274321.94</c:v>
                </c:pt>
                <c:pt idx="18">
                  <c:v>302113.40000000002</c:v>
                </c:pt>
                <c:pt idx="19">
                  <c:v>482050.75</c:v>
                </c:pt>
                <c:pt idx="20">
                  <c:v>292973.7</c:v>
                </c:pt>
                <c:pt idx="21">
                  <c:v>409028.99</c:v>
                </c:pt>
                <c:pt idx="22">
                  <c:v>2176.9</c:v>
                </c:pt>
                <c:pt idx="23">
                  <c:v>40567.760000000002</c:v>
                </c:pt>
                <c:pt idx="24">
                  <c:v>103343.92</c:v>
                </c:pt>
                <c:pt idx="25">
                  <c:v>40931.97</c:v>
                </c:pt>
                <c:pt idx="26">
                  <c:v>202763.9</c:v>
                </c:pt>
                <c:pt idx="27">
                  <c:v>12789.41</c:v>
                </c:pt>
                <c:pt idx="28">
                  <c:v>227278.2</c:v>
                </c:pt>
                <c:pt idx="29">
                  <c:v>242456.83</c:v>
                </c:pt>
                <c:pt idx="30">
                  <c:v>326773.74</c:v>
                </c:pt>
                <c:pt idx="31">
                  <c:v>310379.21999999997</c:v>
                </c:pt>
                <c:pt idx="32">
                  <c:v>289814.81</c:v>
                </c:pt>
                <c:pt idx="33">
                  <c:v>137848.43</c:v>
                </c:pt>
                <c:pt idx="34">
                  <c:v>2033.54</c:v>
                </c:pt>
                <c:pt idx="35">
                  <c:v>40410.629999999997</c:v>
                </c:pt>
                <c:pt idx="36">
                  <c:v>85446.6</c:v>
                </c:pt>
                <c:pt idx="37">
                  <c:v>4026003.07</c:v>
                </c:pt>
                <c:pt idx="38">
                  <c:v>352097.82</c:v>
                </c:pt>
                <c:pt idx="39">
                  <c:v>616591.14</c:v>
                </c:pt>
                <c:pt idx="40">
                  <c:v>170043.4</c:v>
                </c:pt>
                <c:pt idx="41">
                  <c:v>3182503.29</c:v>
                </c:pt>
                <c:pt idx="42">
                  <c:v>1035174.78</c:v>
                </c:pt>
                <c:pt idx="43">
                  <c:v>1473543.36</c:v>
                </c:pt>
                <c:pt idx="44">
                  <c:v>2196965.44</c:v>
                </c:pt>
                <c:pt idx="45">
                  <c:v>116349.48</c:v>
                </c:pt>
                <c:pt idx="46">
                  <c:v>2493.63</c:v>
                </c:pt>
                <c:pt idx="47">
                  <c:v>42218.99</c:v>
                </c:pt>
                <c:pt idx="48">
                  <c:v>500515.96</c:v>
                </c:pt>
                <c:pt idx="49">
                  <c:v>2162279.86</c:v>
                </c:pt>
                <c:pt idx="50">
                  <c:v>2287865.54</c:v>
                </c:pt>
                <c:pt idx="51">
                  <c:v>676805.02</c:v>
                </c:pt>
                <c:pt idx="52">
                  <c:v>537524.24</c:v>
                </c:pt>
                <c:pt idx="53">
                  <c:v>16456.669999999998</c:v>
                </c:pt>
                <c:pt idx="54">
                  <c:v>187620.07</c:v>
                </c:pt>
                <c:pt idx="55">
                  <c:v>2354539.5</c:v>
                </c:pt>
                <c:pt idx="56">
                  <c:v>488811.88</c:v>
                </c:pt>
                <c:pt idx="57">
                  <c:v>442528.13</c:v>
                </c:pt>
                <c:pt idx="58">
                  <c:v>4961.03</c:v>
                </c:pt>
                <c:pt idx="59">
                  <c:v>44582.73</c:v>
                </c:pt>
                <c:pt idx="60">
                  <c:v>1708648.57</c:v>
                </c:pt>
                <c:pt idx="61">
                  <c:v>39381.31</c:v>
                </c:pt>
                <c:pt idx="62">
                  <c:v>1497035.86</c:v>
                </c:pt>
                <c:pt idx="63">
                  <c:v>960077.72</c:v>
                </c:pt>
                <c:pt idx="64">
                  <c:v>2508071.89</c:v>
                </c:pt>
                <c:pt idx="65">
                  <c:v>754974.68</c:v>
                </c:pt>
                <c:pt idx="66">
                  <c:v>421290.85</c:v>
                </c:pt>
                <c:pt idx="67">
                  <c:v>1249567.04</c:v>
                </c:pt>
                <c:pt idx="68">
                  <c:v>280772.8</c:v>
                </c:pt>
                <c:pt idx="69">
                  <c:v>113247.48</c:v>
                </c:pt>
                <c:pt idx="70">
                  <c:v>88122.51</c:v>
                </c:pt>
                <c:pt idx="71">
                  <c:v>11765.23</c:v>
                </c:pt>
                <c:pt idx="72">
                  <c:v>142845.1</c:v>
                </c:pt>
                <c:pt idx="73">
                  <c:v>3373.91</c:v>
                </c:pt>
                <c:pt idx="74">
                  <c:v>5081.08</c:v>
                </c:pt>
                <c:pt idx="75">
                  <c:v>44015.09</c:v>
                </c:pt>
                <c:pt idx="76">
                  <c:v>3708582.55</c:v>
                </c:pt>
                <c:pt idx="77">
                  <c:v>31921012.02</c:v>
                </c:pt>
                <c:pt idx="78">
                  <c:v>5404.55</c:v>
                </c:pt>
                <c:pt idx="79">
                  <c:v>3370.53</c:v>
                </c:pt>
                <c:pt idx="80">
                  <c:v>2303.6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E4-4C1D-B222-A958D76B5800}"/>
            </c:ext>
          </c:extLst>
        </c:ser>
        <c:ser>
          <c:idx val="2"/>
          <c:order val="8"/>
          <c:tx>
            <c:v>57 Fe Samples corrected</c:v>
          </c:tx>
          <c:spPr>
            <a:ln w="19050">
              <a:noFill/>
            </a:ln>
          </c:spPr>
          <c:xVal>
            <c:numRef>
              <c:f>ICP_57_Fe_Drift!$E$6:$E$86</c:f>
              <c:numCache>
                <c:formatCode>[$-F400]h:mm:ss\ AM/PM</c:formatCode>
                <c:ptCount val="81"/>
                <c:pt idx="0">
                  <c:v>45246.483634259261</c:v>
                </c:pt>
                <c:pt idx="1">
                  <c:v>45246.484803240739</c:v>
                </c:pt>
                <c:pt idx="2">
                  <c:v>45246.485972222225</c:v>
                </c:pt>
                <c:pt idx="3">
                  <c:v>45246.487187500003</c:v>
                </c:pt>
                <c:pt idx="4">
                  <c:v>45246.488368055558</c:v>
                </c:pt>
                <c:pt idx="5">
                  <c:v>45246.48951388889</c:v>
                </c:pt>
                <c:pt idx="6">
                  <c:v>45246.490717592591</c:v>
                </c:pt>
                <c:pt idx="7">
                  <c:v>45246.491875</c:v>
                </c:pt>
                <c:pt idx="8">
                  <c:v>45246.493032407408</c:v>
                </c:pt>
                <c:pt idx="9">
                  <c:v>45246.494143518517</c:v>
                </c:pt>
                <c:pt idx="10">
                  <c:v>45246.495312500003</c:v>
                </c:pt>
                <c:pt idx="11">
                  <c:v>45246.508993055555</c:v>
                </c:pt>
                <c:pt idx="12">
                  <c:v>45246.510115740741</c:v>
                </c:pt>
                <c:pt idx="13">
                  <c:v>45246.511261574073</c:v>
                </c:pt>
                <c:pt idx="14">
                  <c:v>45246.512361111112</c:v>
                </c:pt>
                <c:pt idx="15">
                  <c:v>45246.513541666667</c:v>
                </c:pt>
                <c:pt idx="16">
                  <c:v>45246.514664351853</c:v>
                </c:pt>
                <c:pt idx="17">
                  <c:v>45246.515787037039</c:v>
                </c:pt>
                <c:pt idx="18">
                  <c:v>45246.516909722224</c:v>
                </c:pt>
                <c:pt idx="19">
                  <c:v>45246.518078703702</c:v>
                </c:pt>
                <c:pt idx="20">
                  <c:v>45246.519201388888</c:v>
                </c:pt>
                <c:pt idx="21">
                  <c:v>45246.520312499997</c:v>
                </c:pt>
                <c:pt idx="22">
                  <c:v>45246.521423611113</c:v>
                </c:pt>
                <c:pt idx="23">
                  <c:v>45246.522592592592</c:v>
                </c:pt>
                <c:pt idx="24">
                  <c:v>45246.5237037037</c:v>
                </c:pt>
                <c:pt idx="25">
                  <c:v>45246.524826388886</c:v>
                </c:pt>
                <c:pt idx="26">
                  <c:v>45246.525949074072</c:v>
                </c:pt>
                <c:pt idx="27">
                  <c:v>45246.527129629627</c:v>
                </c:pt>
                <c:pt idx="28">
                  <c:v>45246.528263888889</c:v>
                </c:pt>
                <c:pt idx="29">
                  <c:v>45246.529386574075</c:v>
                </c:pt>
                <c:pt idx="30">
                  <c:v>45246.530509259261</c:v>
                </c:pt>
                <c:pt idx="31">
                  <c:v>45246.531678240739</c:v>
                </c:pt>
                <c:pt idx="32">
                  <c:v>45246.532812500001</c:v>
                </c:pt>
                <c:pt idx="33">
                  <c:v>45246.542581018519</c:v>
                </c:pt>
                <c:pt idx="34">
                  <c:v>45246.543715277781</c:v>
                </c:pt>
                <c:pt idx="35">
                  <c:v>45246.544849537036</c:v>
                </c:pt>
                <c:pt idx="36">
                  <c:v>45246.545972222222</c:v>
                </c:pt>
                <c:pt idx="37">
                  <c:v>45246.547164351854</c:v>
                </c:pt>
                <c:pt idx="38">
                  <c:v>45246.548414351855</c:v>
                </c:pt>
                <c:pt idx="39">
                  <c:v>45246.54954861111</c:v>
                </c:pt>
                <c:pt idx="40">
                  <c:v>45246.550740740742</c:v>
                </c:pt>
                <c:pt idx="41">
                  <c:v>45246.551874999997</c:v>
                </c:pt>
                <c:pt idx="42">
                  <c:v>45246.552974537037</c:v>
                </c:pt>
                <c:pt idx="43">
                  <c:v>45246.554108796299</c:v>
                </c:pt>
                <c:pt idx="44">
                  <c:v>45246.555289351854</c:v>
                </c:pt>
                <c:pt idx="45">
                  <c:v>45246.556423611109</c:v>
                </c:pt>
                <c:pt idx="46">
                  <c:v>45246.561041666668</c:v>
                </c:pt>
                <c:pt idx="47">
                  <c:v>45246.5621875</c:v>
                </c:pt>
                <c:pt idx="48">
                  <c:v>45246.563321759262</c:v>
                </c:pt>
                <c:pt idx="49">
                  <c:v>45246.564456018517</c:v>
                </c:pt>
                <c:pt idx="50">
                  <c:v>45246.565636574072</c:v>
                </c:pt>
                <c:pt idx="51">
                  <c:v>45246.566770833335</c:v>
                </c:pt>
                <c:pt idx="52">
                  <c:v>45246.56790509259</c:v>
                </c:pt>
                <c:pt idx="53">
                  <c:v>45246.569039351853</c:v>
                </c:pt>
                <c:pt idx="54">
                  <c:v>45246.570231481484</c:v>
                </c:pt>
                <c:pt idx="55">
                  <c:v>45246.57136574074</c:v>
                </c:pt>
                <c:pt idx="56">
                  <c:v>45246.572488425925</c:v>
                </c:pt>
                <c:pt idx="57">
                  <c:v>45246.573611111111</c:v>
                </c:pt>
                <c:pt idx="58">
                  <c:v>45246.574791666666</c:v>
                </c:pt>
                <c:pt idx="59">
                  <c:v>45246.575925925928</c:v>
                </c:pt>
                <c:pt idx="60">
                  <c:v>45246.577060185184</c:v>
                </c:pt>
                <c:pt idx="61">
                  <c:v>45246.578182870369</c:v>
                </c:pt>
                <c:pt idx="62">
                  <c:v>45246.579363425924</c:v>
                </c:pt>
                <c:pt idx="63">
                  <c:v>45246.58048611111</c:v>
                </c:pt>
                <c:pt idx="64">
                  <c:v>45246.581631944442</c:v>
                </c:pt>
                <c:pt idx="65">
                  <c:v>45246.582743055558</c:v>
                </c:pt>
                <c:pt idx="66">
                  <c:v>45246.583923611113</c:v>
                </c:pt>
                <c:pt idx="67">
                  <c:v>45246.585069444445</c:v>
                </c:pt>
                <c:pt idx="68">
                  <c:v>45246.5862037037</c:v>
                </c:pt>
                <c:pt idx="69">
                  <c:v>45246.587337962963</c:v>
                </c:pt>
                <c:pt idx="70">
                  <c:v>45246.588530092595</c:v>
                </c:pt>
                <c:pt idx="71">
                  <c:v>45246.58966435185</c:v>
                </c:pt>
                <c:pt idx="72">
                  <c:v>45246.590798611112</c:v>
                </c:pt>
                <c:pt idx="73">
                  <c:v>45246.591932870368</c:v>
                </c:pt>
                <c:pt idx="74">
                  <c:v>45246.593124999999</c:v>
                </c:pt>
                <c:pt idx="75">
                  <c:v>45246.594259259262</c:v>
                </c:pt>
                <c:pt idx="76">
                  <c:v>45246.595393518517</c:v>
                </c:pt>
                <c:pt idx="77">
                  <c:v>45246.596516203703</c:v>
                </c:pt>
                <c:pt idx="78">
                  <c:v>45246.597719907404</c:v>
                </c:pt>
                <c:pt idx="79">
                  <c:v>45246.598865740743</c:v>
                </c:pt>
                <c:pt idx="80">
                  <c:v>45246.599988425929</c:v>
                </c:pt>
              </c:numCache>
            </c:numRef>
          </c:xVal>
          <c:yVal>
            <c:numRef>
              <c:f>ICP_57_Fe_Drift!$K$6:$K$86</c:f>
              <c:numCache>
                <c:formatCode>0.00</c:formatCode>
                <c:ptCount val="81"/>
                <c:pt idx="0">
                  <c:v>952.71870092272832</c:v>
                </c:pt>
                <c:pt idx="1">
                  <c:v>699.18366346588527</c:v>
                </c:pt>
                <c:pt idx="2">
                  <c:v>815.84862561377508</c:v>
                </c:pt>
                <c:pt idx="3">
                  <c:v>2356.6085369689522</c:v>
                </c:pt>
                <c:pt idx="4">
                  <c:v>4239.7147366162972</c:v>
                </c:pt>
                <c:pt idx="5">
                  <c:v>19647.847224555811</c:v>
                </c:pt>
                <c:pt idx="6">
                  <c:v>38407.785898806796</c:v>
                </c:pt>
                <c:pt idx="7">
                  <c:v>187724.9196238505</c:v>
                </c:pt>
                <c:pt idx="8">
                  <c:v>368036.79334889416</c:v>
                </c:pt>
                <c:pt idx="9">
                  <c:v>-188.24787487411618</c:v>
                </c:pt>
                <c:pt idx="10">
                  <c:v>4002.5270872737733</c:v>
                </c:pt>
                <c:pt idx="11">
                  <c:v>-901.62048165826297</c:v>
                </c:pt>
                <c:pt idx="12">
                  <c:v>274997.0895316776</c:v>
                </c:pt>
                <c:pt idx="13">
                  <c:v>642078.8320196172</c:v>
                </c:pt>
                <c:pt idx="14">
                  <c:v>123383.45955834935</c:v>
                </c:pt>
                <c:pt idx="15">
                  <c:v>151890.68575799669</c:v>
                </c:pt>
                <c:pt idx="16">
                  <c:v>75856.565771332549</c:v>
                </c:pt>
                <c:pt idx="17">
                  <c:v>272387.86578466842</c:v>
                </c:pt>
                <c:pt idx="18">
                  <c:v>300118.33579800435</c:v>
                </c:pt>
                <c:pt idx="19">
                  <c:v>479992.18076054746</c:v>
                </c:pt>
                <c:pt idx="20">
                  <c:v>290854.14077388332</c:v>
                </c:pt>
                <c:pt idx="21">
                  <c:v>406849.06955011497</c:v>
                </c:pt>
                <c:pt idx="22">
                  <c:v>-63.381674048574951</c:v>
                </c:pt>
                <c:pt idx="23">
                  <c:v>38263.973288494584</c:v>
                </c:pt>
                <c:pt idx="24">
                  <c:v>100979.77206472626</c:v>
                </c:pt>
                <c:pt idx="25">
                  <c:v>38506.832078062136</c:v>
                </c:pt>
                <c:pt idx="26">
                  <c:v>200277.77209139799</c:v>
                </c:pt>
                <c:pt idx="27">
                  <c:v>10239.148291045349</c:v>
                </c:pt>
                <c:pt idx="28">
                  <c:v>224666.31954148543</c:v>
                </c:pt>
                <c:pt idx="29">
                  <c:v>239783.95955482125</c:v>
                </c:pt>
                <c:pt idx="30">
                  <c:v>324039.87956815714</c:v>
                </c:pt>
                <c:pt idx="31">
                  <c:v>307581.85453070025</c:v>
                </c:pt>
                <c:pt idx="32">
                  <c:v>286955.82578114036</c:v>
                </c:pt>
                <c:pt idx="33">
                  <c:v>134458.77002118906</c:v>
                </c:pt>
                <c:pt idx="34">
                  <c:v>-1417.7387283708795</c:v>
                </c:pt>
                <c:pt idx="35">
                  <c:v>36897.732522464445</c:v>
                </c:pt>
                <c:pt idx="36">
                  <c:v>81872.712535800325</c:v>
                </c:pt>
                <c:pt idx="37">
                  <c:v>4022364.4199725515</c:v>
                </c:pt>
                <c:pt idx="38">
                  <c:v>348391.26359561487</c:v>
                </c:pt>
                <c:pt idx="39">
                  <c:v>612822.96484645025</c:v>
                </c:pt>
                <c:pt idx="40">
                  <c:v>166210.46228320172</c:v>
                </c:pt>
                <c:pt idx="41">
                  <c:v>3178608.7335340371</c:v>
                </c:pt>
                <c:pt idx="42">
                  <c:v>1031220.4910727693</c:v>
                </c:pt>
                <c:pt idx="43">
                  <c:v>1469527.4523232095</c:v>
                </c:pt>
                <c:pt idx="44">
                  <c:v>2192885.3985228566</c:v>
                </c:pt>
                <c:pt idx="45">
                  <c:v>112207.819773692</c:v>
                </c:pt>
                <c:pt idx="46">
                  <c:v>-1898.9065632373859</c:v>
                </c:pt>
                <c:pt idx="47">
                  <c:v>37764.205924702124</c:v>
                </c:pt>
                <c:pt idx="48">
                  <c:v>495999.55717514222</c:v>
                </c:pt>
                <c:pt idx="49">
                  <c:v>2157701.8384259772</c:v>
                </c:pt>
                <c:pt idx="50">
                  <c:v>2283223.3846256249</c:v>
                </c:pt>
                <c:pt idx="51">
                  <c:v>672101.24587606499</c:v>
                </c:pt>
                <c:pt idx="52">
                  <c:v>532758.84712690022</c:v>
                </c:pt>
                <c:pt idx="53">
                  <c:v>11629.658377340296</c:v>
                </c:pt>
                <c:pt idx="54">
                  <c:v>182728.29581409183</c:v>
                </c:pt>
                <c:pt idx="55">
                  <c:v>2349586.107064927</c:v>
                </c:pt>
                <c:pt idx="56">
                  <c:v>483797.49707826303</c:v>
                </c:pt>
                <c:pt idx="57">
                  <c:v>437452.75709159888</c:v>
                </c:pt>
                <c:pt idx="58">
                  <c:v>-178.47670875375934</c:v>
                </c:pt>
                <c:pt idx="59">
                  <c:v>39381.604541686305</c:v>
                </c:pt>
                <c:pt idx="60">
                  <c:v>1703385.8257925217</c:v>
                </c:pt>
                <c:pt idx="61">
                  <c:v>34057.575805857494</c:v>
                </c:pt>
                <c:pt idx="62">
                  <c:v>1491647.9920055049</c:v>
                </c:pt>
                <c:pt idx="63">
                  <c:v>954628.86201884074</c:v>
                </c:pt>
                <c:pt idx="64">
                  <c:v>2502560.7845067806</c:v>
                </c:pt>
                <c:pt idx="65">
                  <c:v>749403.21328261669</c:v>
                </c:pt>
                <c:pt idx="66">
                  <c:v>415655.24948226399</c:v>
                </c:pt>
                <c:pt idx="67">
                  <c:v>1243869.1919702035</c:v>
                </c:pt>
                <c:pt idx="68">
                  <c:v>275013.3332210388</c:v>
                </c:pt>
                <c:pt idx="69">
                  <c:v>107426.39447147888</c:v>
                </c:pt>
                <c:pt idx="70">
                  <c:v>82236.66190823041</c:v>
                </c:pt>
                <c:pt idx="71">
                  <c:v>5817.7631590657375</c:v>
                </c:pt>
                <c:pt idx="72">
                  <c:v>136836.01440950579</c:v>
                </c:pt>
                <c:pt idx="73">
                  <c:v>-2696.7943396588789</c:v>
                </c:pt>
                <c:pt idx="74">
                  <c:v>-1054.3869029073458</c:v>
                </c:pt>
                <c:pt idx="75">
                  <c:v>37818.004347532711</c:v>
                </c:pt>
                <c:pt idx="76">
                  <c:v>3702323.845598368</c:v>
                </c:pt>
                <c:pt idx="77">
                  <c:v>31914692.325611703</c:v>
                </c:pt>
                <c:pt idx="78">
                  <c:v>-980.5357140451033</c:v>
                </c:pt>
                <c:pt idx="79">
                  <c:v>-3076.8032265008574</c:v>
                </c:pt>
                <c:pt idx="80">
                  <c:v>-4204.7232131649871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E4-4C1D-B222-A958D76B5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in val="45246.484000000011"/>
        </c:scaling>
        <c:delete val="0"/>
        <c:axPos val="b"/>
        <c:title>
          <c:tx>
            <c:rich>
              <a:bodyPr anchorCtr="0"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>
            <c:manualLayout>
              <c:xMode val="edge"/>
              <c:yMode val="edge"/>
              <c:x val="5.0548361262471544E-2"/>
              <c:y val="0.92988349915069457"/>
            </c:manualLayout>
          </c:layout>
          <c:overlay val="0"/>
        </c:title>
        <c:numFmt formatCode="[$-F400]h:mm:ss\ AM/PM" sourceLinked="1"/>
        <c:majorTickMark val="cross"/>
        <c:minorTickMark val="cross"/>
        <c:tickLblPos val="nextTo"/>
        <c:spPr>
          <a:ln>
            <a:solidFill>
              <a:sysClr val="windowText" lastClr="000000"/>
            </a:solidFill>
          </a:ln>
        </c:spPr>
        <c:txPr>
          <a:bodyPr rot="5400000" vert="horz" anchorCtr="0"/>
          <a:lstStyle/>
          <a:p>
            <a:pPr algn="ctr"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At val="-10000000"/>
        <c:crossBetween val="midCat"/>
        <c:majorUnit val="4.000000000000001E-3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Counts per Second</a:t>
                </a:r>
              </a:p>
            </c:rich>
          </c:tx>
          <c:layout>
            <c:manualLayout>
              <c:xMode val="edge"/>
              <c:yMode val="edge"/>
              <c:x val="3.7461667031413702E-2"/>
              <c:y val="0.37600869679017551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003132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356952242814326"/>
          <c:y val="0.17713794556322804"/>
          <c:w val="0.21094694044160475"/>
          <c:h val="0.23584566816562136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  <c:extLst/>
  </c:chart>
  <c:txPr>
    <a:bodyPr rot="5400000" vert="horz"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398320</xdr:colOff>
      <xdr:row>9</xdr:row>
      <xdr:rowOff>0</xdr:rowOff>
    </xdr:from>
    <xdr:to>
      <xdr:col>43</xdr:col>
      <xdr:colOff>207819</xdr:colOff>
      <xdr:row>50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D8551-94C5-457C-8409-EF928DCFE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415638</xdr:colOff>
      <xdr:row>51</xdr:row>
      <xdr:rowOff>0</xdr:rowOff>
    </xdr:from>
    <xdr:to>
      <xdr:col>43</xdr:col>
      <xdr:colOff>251114</xdr:colOff>
      <xdr:row>92</xdr:row>
      <xdr:rowOff>173181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8EC7B9-49F9-4F85-91C4-5572A67F1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571500</xdr:colOff>
      <xdr:row>50</xdr:row>
      <xdr:rowOff>155864</xdr:rowOff>
    </xdr:from>
    <xdr:to>
      <xdr:col>62</xdr:col>
      <xdr:colOff>95249</xdr:colOff>
      <xdr:row>92</xdr:row>
      <xdr:rowOff>138545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993824-25A0-4072-BA79-88E442FA9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467591</xdr:colOff>
      <xdr:row>95</xdr:row>
      <xdr:rowOff>34636</xdr:rowOff>
    </xdr:from>
    <xdr:to>
      <xdr:col>56</xdr:col>
      <xdr:colOff>597476</xdr:colOff>
      <xdr:row>137</xdr:row>
      <xdr:rowOff>17317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3DE2A7-82E8-47B0-B2BB-9D8F6BB67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125187</xdr:colOff>
      <xdr:row>46</xdr:row>
      <xdr:rowOff>3464</xdr:rowOff>
    </xdr:from>
    <xdr:to>
      <xdr:col>61</xdr:col>
      <xdr:colOff>51955</xdr:colOff>
      <xdr:row>81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B0436C-4503-4F15-91D4-FE05B809B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38101</xdr:colOff>
      <xdr:row>85</xdr:row>
      <xdr:rowOff>1</xdr:rowOff>
    </xdr:from>
    <xdr:to>
      <xdr:col>61</xdr:col>
      <xdr:colOff>171450</xdr:colOff>
      <xdr:row>116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9C6AA0-8C52-4349-896A-0D50DA581B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0</xdr:rowOff>
    </xdr:from>
    <xdr:to>
      <xdr:col>20</xdr:col>
      <xdr:colOff>441118</xdr:colOff>
      <xdr:row>126</xdr:row>
      <xdr:rowOff>27214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CC0502-B6B7-4D80-9AE2-E5FFF2521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38</xdr:row>
      <xdr:rowOff>0</xdr:rowOff>
    </xdr:from>
    <xdr:to>
      <xdr:col>44</xdr:col>
      <xdr:colOff>697365</xdr:colOff>
      <xdr:row>78</xdr:row>
      <xdr:rowOff>180294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309E3B-DA6F-4177-8AAE-353CE9330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68037</xdr:colOff>
      <xdr:row>27</xdr:row>
      <xdr:rowOff>3464</xdr:rowOff>
    </xdr:from>
    <xdr:to>
      <xdr:col>60</xdr:col>
      <xdr:colOff>356755</xdr:colOff>
      <xdr:row>62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16614C-8B2E-4119-99DB-A62E8AFA7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114301</xdr:colOff>
      <xdr:row>65</xdr:row>
      <xdr:rowOff>0</xdr:rowOff>
    </xdr:from>
    <xdr:to>
      <xdr:col>62</xdr:col>
      <xdr:colOff>552450</xdr:colOff>
      <xdr:row>98</xdr:row>
      <xdr:rowOff>13607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916DDC-7E03-47EB-B94D-07BF6D73F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0</xdr:rowOff>
    </xdr:from>
    <xdr:to>
      <xdr:col>25</xdr:col>
      <xdr:colOff>306902</xdr:colOff>
      <xdr:row>126</xdr:row>
      <xdr:rowOff>27214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829CF2-2C79-4A18-AFA7-1CB2299D4C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37</xdr:row>
      <xdr:rowOff>0</xdr:rowOff>
    </xdr:from>
    <xdr:to>
      <xdr:col>44</xdr:col>
      <xdr:colOff>673552</xdr:colOff>
      <xdr:row>77</xdr:row>
      <xdr:rowOff>180294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A40408-5892-469F-98FF-A8D8AD680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1325337</xdr:colOff>
      <xdr:row>25</xdr:row>
      <xdr:rowOff>155864</xdr:rowOff>
    </xdr:from>
    <xdr:to>
      <xdr:col>60</xdr:col>
      <xdr:colOff>128155</xdr:colOff>
      <xdr:row>61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C15816-A303-4A33-84EE-3C3793536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1371601</xdr:colOff>
      <xdr:row>63</xdr:row>
      <xdr:rowOff>76200</xdr:rowOff>
    </xdr:from>
    <xdr:to>
      <xdr:col>62</xdr:col>
      <xdr:colOff>323850</xdr:colOff>
      <xdr:row>96</xdr:row>
      <xdr:rowOff>89807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6A7F72-2EC5-4089-A584-8C77534B7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25</xdr:col>
      <xdr:colOff>306902</xdr:colOff>
      <xdr:row>125</xdr:row>
      <xdr:rowOff>27214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12BCD2-9EE2-49AF-8BA5-8653B876DD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38</xdr:row>
      <xdr:rowOff>0</xdr:rowOff>
    </xdr:from>
    <xdr:to>
      <xdr:col>44</xdr:col>
      <xdr:colOff>673552</xdr:colOff>
      <xdr:row>78</xdr:row>
      <xdr:rowOff>180294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1082D2-2775-4B81-AADD-CA2C310D2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1477737</xdr:colOff>
      <xdr:row>27</xdr:row>
      <xdr:rowOff>155864</xdr:rowOff>
    </xdr:from>
    <xdr:to>
      <xdr:col>60</xdr:col>
      <xdr:colOff>280555</xdr:colOff>
      <xdr:row>63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3FCD29-D734-46B9-BE10-D4E0D4CF8F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1371601</xdr:colOff>
      <xdr:row>67</xdr:row>
      <xdr:rowOff>152400</xdr:rowOff>
    </xdr:from>
    <xdr:to>
      <xdr:col>62</xdr:col>
      <xdr:colOff>323850</xdr:colOff>
      <xdr:row>100</xdr:row>
      <xdr:rowOff>166007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96FE22-147D-44A1-9C7D-C1AEC65561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25</xdr:col>
      <xdr:colOff>436170</xdr:colOff>
      <xdr:row>125</xdr:row>
      <xdr:rowOff>27214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265940-2B54-4E15-99FA-B97AE3538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37</xdr:row>
      <xdr:rowOff>0</xdr:rowOff>
    </xdr:from>
    <xdr:to>
      <xdr:col>44</xdr:col>
      <xdr:colOff>673552</xdr:colOff>
      <xdr:row>77</xdr:row>
      <xdr:rowOff>180294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82D3BE-66A2-4EAB-942F-6B72576FE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544287</xdr:colOff>
      <xdr:row>27</xdr:row>
      <xdr:rowOff>155864</xdr:rowOff>
    </xdr:from>
    <xdr:to>
      <xdr:col>65</xdr:col>
      <xdr:colOff>528205</xdr:colOff>
      <xdr:row>63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94C1D-EB3B-4F01-B628-C0E292EC9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476251</xdr:colOff>
      <xdr:row>67</xdr:row>
      <xdr:rowOff>95250</xdr:rowOff>
    </xdr:from>
    <xdr:to>
      <xdr:col>67</xdr:col>
      <xdr:colOff>571500</xdr:colOff>
      <xdr:row>100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341F9F-1F6E-4923-802D-C8CF3A9CD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0</xdr:colOff>
      <xdr:row>39</xdr:row>
      <xdr:rowOff>0</xdr:rowOff>
    </xdr:from>
    <xdr:to>
      <xdr:col>45</xdr:col>
      <xdr:colOff>47624</xdr:colOff>
      <xdr:row>79</xdr:row>
      <xdr:rowOff>180294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17236B-3929-4A71-AF60-832583412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90</xdr:row>
      <xdr:rowOff>0</xdr:rowOff>
    </xdr:from>
    <xdr:to>
      <xdr:col>30</xdr:col>
      <xdr:colOff>613063</xdr:colOff>
      <xdr:row>127</xdr:row>
      <xdr:rowOff>27214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F67C9F-43C8-45EC-988F-4005889E7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CP_MS_Mn_As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CP_MS_FE_AL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ex-Mn_As_data"/>
    </sheetNames>
    <sheetDataSet>
      <sheetData sheetId="0">
        <row r="6">
          <cell r="J6">
            <v>0</v>
          </cell>
          <cell r="P6">
            <v>0</v>
          </cell>
        </row>
        <row r="7">
          <cell r="J7">
            <v>0.48</v>
          </cell>
          <cell r="P7">
            <v>0.498</v>
          </cell>
        </row>
        <row r="8">
          <cell r="J8">
            <v>1.0469999999999999</v>
          </cell>
          <cell r="P8">
            <v>0.999</v>
          </cell>
        </row>
        <row r="9">
          <cell r="J9">
            <v>5.4329999999999998</v>
          </cell>
          <cell r="P9">
            <v>5.0380000000000003</v>
          </cell>
        </row>
        <row r="10">
          <cell r="J10">
            <v>10.731</v>
          </cell>
          <cell r="P10">
            <v>10.054</v>
          </cell>
        </row>
        <row r="11">
          <cell r="J11">
            <v>54.311999999999998</v>
          </cell>
          <cell r="P11">
            <v>50.412999999999997</v>
          </cell>
        </row>
        <row r="12">
          <cell r="J12">
            <v>108.717</v>
          </cell>
          <cell r="P12">
            <v>100.807</v>
          </cell>
        </row>
        <row r="13">
          <cell r="J13">
            <v>514.22699999999998</v>
          </cell>
          <cell r="P13">
            <v>499.97300000000001</v>
          </cell>
        </row>
        <row r="14">
          <cell r="J14">
            <v>991.79</v>
          </cell>
          <cell r="P14">
            <v>999.91099999999994</v>
          </cell>
        </row>
        <row r="15">
          <cell r="J15">
            <v>1121.019</v>
          </cell>
          <cell r="P15">
            <v>10611.155000000001</v>
          </cell>
        </row>
        <row r="17">
          <cell r="P17">
            <v>5.1999999999999998E-2</v>
          </cell>
        </row>
        <row r="18">
          <cell r="J18">
            <v>1.099</v>
          </cell>
          <cell r="P18">
            <v>10</v>
          </cell>
        </row>
        <row r="19">
          <cell r="J19">
            <v>0.17199999999999999</v>
          </cell>
          <cell r="P19" t="str">
            <v>&lt;0.000</v>
          </cell>
        </row>
        <row r="20">
          <cell r="J20">
            <v>78.506</v>
          </cell>
          <cell r="P20">
            <v>1.4390000000000001</v>
          </cell>
        </row>
        <row r="21">
          <cell r="J21">
            <v>212.167</v>
          </cell>
          <cell r="P21">
            <v>3.25</v>
          </cell>
        </row>
        <row r="22">
          <cell r="J22">
            <v>14.523</v>
          </cell>
          <cell r="P22">
            <v>0.376</v>
          </cell>
        </row>
        <row r="23">
          <cell r="J23">
            <v>9.2870000000000008</v>
          </cell>
          <cell r="P23">
            <v>0.59299999999999997</v>
          </cell>
        </row>
        <row r="24">
          <cell r="J24">
            <v>3.8010000000000002</v>
          </cell>
          <cell r="P24">
            <v>0.745</v>
          </cell>
        </row>
        <row r="25">
          <cell r="J25">
            <v>4.4210000000000003</v>
          </cell>
          <cell r="P25">
            <v>1.242</v>
          </cell>
        </row>
        <row r="26">
          <cell r="J26">
            <v>4.4480000000000004</v>
          </cell>
          <cell r="P26">
            <v>1.0229999999999999</v>
          </cell>
        </row>
        <row r="27">
          <cell r="J27">
            <v>74.481999999999999</v>
          </cell>
          <cell r="P27">
            <v>2.125</v>
          </cell>
        </row>
        <row r="28">
          <cell r="J28">
            <v>176.827</v>
          </cell>
          <cell r="P28">
            <v>1.2430000000000001</v>
          </cell>
        </row>
        <row r="29">
          <cell r="J29">
            <v>148.667</v>
          </cell>
          <cell r="P29">
            <v>3.766</v>
          </cell>
        </row>
        <row r="30">
          <cell r="P30">
            <v>2E-3</v>
          </cell>
        </row>
        <row r="31">
          <cell r="J31">
            <v>108.39</v>
          </cell>
          <cell r="P31">
            <v>101.892</v>
          </cell>
        </row>
        <row r="32">
          <cell r="J32">
            <v>8.0109999999999992</v>
          </cell>
          <cell r="P32">
            <v>0.35899999999999999</v>
          </cell>
        </row>
        <row r="33">
          <cell r="J33">
            <v>2.65</v>
          </cell>
          <cell r="P33">
            <v>0.60899999999999999</v>
          </cell>
        </row>
        <row r="34">
          <cell r="J34">
            <v>87.706999999999994</v>
          </cell>
          <cell r="P34">
            <v>0.66100000000000003</v>
          </cell>
        </row>
        <row r="35">
          <cell r="J35">
            <v>2.9510000000000001</v>
          </cell>
          <cell r="P35">
            <v>0.251</v>
          </cell>
        </row>
        <row r="36">
          <cell r="J36">
            <v>122.422</v>
          </cell>
          <cell r="P36">
            <v>2.2200000000000002</v>
          </cell>
        </row>
        <row r="37">
          <cell r="J37">
            <v>26.536000000000001</v>
          </cell>
          <cell r="P37">
            <v>2.0950000000000002</v>
          </cell>
        </row>
        <row r="38">
          <cell r="J38">
            <v>103.81399999999999</v>
          </cell>
          <cell r="P38">
            <v>4.931</v>
          </cell>
        </row>
        <row r="39">
          <cell r="J39">
            <v>109.26600000000001</v>
          </cell>
          <cell r="P39">
            <v>1.472</v>
          </cell>
        </row>
        <row r="40">
          <cell r="J40">
            <v>78.308000000000007</v>
          </cell>
          <cell r="P40">
            <v>3.5230000000000001</v>
          </cell>
        </row>
        <row r="41">
          <cell r="J41">
            <v>39.095999999999997</v>
          </cell>
          <cell r="P41">
            <v>1.1870000000000001</v>
          </cell>
        </row>
        <row r="42">
          <cell r="P42" t="str">
            <v>&lt;0.000</v>
          </cell>
        </row>
        <row r="43">
          <cell r="J43">
            <v>110.05200000000001</v>
          </cell>
          <cell r="P43">
            <v>104.64700000000001</v>
          </cell>
        </row>
        <row r="44">
          <cell r="J44">
            <v>1.1080000000000001</v>
          </cell>
          <cell r="P44">
            <v>0.36099999999999999</v>
          </cell>
        </row>
        <row r="45">
          <cell r="J45">
            <v>143.78800000000001</v>
          </cell>
          <cell r="P45">
            <v>30.81</v>
          </cell>
        </row>
        <row r="46">
          <cell r="J46">
            <v>19.873999999999999</v>
          </cell>
          <cell r="P46">
            <v>3.32</v>
          </cell>
        </row>
        <row r="47">
          <cell r="J47">
            <v>221.5</v>
          </cell>
          <cell r="P47">
            <v>4.5549999999999997</v>
          </cell>
        </row>
        <row r="48">
          <cell r="J48">
            <v>69.78</v>
          </cell>
          <cell r="P48">
            <v>3.81</v>
          </cell>
        </row>
        <row r="49">
          <cell r="J49">
            <v>42.115000000000002</v>
          </cell>
          <cell r="P49">
            <v>3.8740000000000001</v>
          </cell>
        </row>
        <row r="50">
          <cell r="J50">
            <v>292.98899999999998</v>
          </cell>
          <cell r="P50">
            <v>5.5590000000000002</v>
          </cell>
        </row>
        <row r="51">
          <cell r="J51">
            <v>759.05899999999997</v>
          </cell>
          <cell r="P51">
            <v>6.0670000000000002</v>
          </cell>
        </row>
        <row r="52">
          <cell r="J52">
            <v>1365.579</v>
          </cell>
          <cell r="P52">
            <v>14.52</v>
          </cell>
        </row>
        <row r="53">
          <cell r="J53">
            <v>202.726</v>
          </cell>
          <cell r="P53">
            <v>0.67100000000000004</v>
          </cell>
        </row>
        <row r="54">
          <cell r="J54">
            <v>0.14099999999999999</v>
          </cell>
          <cell r="P54">
            <v>1E-3</v>
          </cell>
        </row>
        <row r="55">
          <cell r="J55">
            <v>117.38500000000001</v>
          </cell>
          <cell r="P55">
            <v>108.444</v>
          </cell>
        </row>
        <row r="56">
          <cell r="J56">
            <v>151.61799999999999</v>
          </cell>
          <cell r="P56">
            <v>3.3559999999999999</v>
          </cell>
        </row>
        <row r="57">
          <cell r="J57">
            <v>590.19200000000001</v>
          </cell>
          <cell r="P57">
            <v>17.54</v>
          </cell>
        </row>
        <row r="58">
          <cell r="J58">
            <v>998.65700000000004</v>
          </cell>
          <cell r="P58">
            <v>15.661</v>
          </cell>
        </row>
        <row r="59">
          <cell r="J59">
            <v>450.387</v>
          </cell>
          <cell r="P59">
            <v>4.7679999999999998</v>
          </cell>
        </row>
        <row r="60">
          <cell r="J60">
            <v>288.95</v>
          </cell>
          <cell r="P60">
            <v>3.0920000000000001</v>
          </cell>
        </row>
        <row r="61">
          <cell r="J61">
            <v>128.96299999999999</v>
          </cell>
          <cell r="P61">
            <v>0.14599999999999999</v>
          </cell>
        </row>
        <row r="62">
          <cell r="J62">
            <v>133.45599999999999</v>
          </cell>
          <cell r="P62">
            <v>5.6449999999999996</v>
          </cell>
        </row>
        <row r="63">
          <cell r="J63">
            <v>451.09800000000001</v>
          </cell>
          <cell r="P63">
            <v>14.563000000000001</v>
          </cell>
        </row>
        <row r="64">
          <cell r="J64">
            <v>583.91899999999998</v>
          </cell>
          <cell r="P64">
            <v>2.714</v>
          </cell>
        </row>
        <row r="65">
          <cell r="J65">
            <v>529.49</v>
          </cell>
          <cell r="P65">
            <v>3.1619999999999999</v>
          </cell>
        </row>
        <row r="66">
          <cell r="J66">
            <v>0.64700000000000002</v>
          </cell>
          <cell r="P66">
            <v>1.7000000000000001E-2</v>
          </cell>
        </row>
        <row r="67">
          <cell r="J67">
            <v>118.312</v>
          </cell>
          <cell r="P67">
            <v>108.443</v>
          </cell>
        </row>
        <row r="68">
          <cell r="J68">
            <v>1342.39</v>
          </cell>
          <cell r="P68">
            <v>14.335000000000001</v>
          </cell>
        </row>
        <row r="69">
          <cell r="J69">
            <v>123.76900000000001</v>
          </cell>
          <cell r="P69">
            <v>0.309</v>
          </cell>
        </row>
        <row r="70">
          <cell r="J70">
            <v>2156.9879999999998</v>
          </cell>
          <cell r="P70">
            <v>11.978</v>
          </cell>
        </row>
        <row r="71">
          <cell r="J71">
            <v>316.52999999999997</v>
          </cell>
          <cell r="P71">
            <v>22.053000000000001</v>
          </cell>
        </row>
        <row r="72">
          <cell r="J72">
            <v>207.922</v>
          </cell>
          <cell r="P72">
            <v>45.529000000000003</v>
          </cell>
        </row>
        <row r="73">
          <cell r="J73">
            <v>266.03300000000002</v>
          </cell>
          <cell r="P73">
            <v>4.8090000000000002</v>
          </cell>
        </row>
        <row r="74">
          <cell r="J74">
            <v>138.095</v>
          </cell>
          <cell r="P74">
            <v>2.62</v>
          </cell>
        </row>
        <row r="75">
          <cell r="J75">
            <v>33.758000000000003</v>
          </cell>
          <cell r="P75">
            <v>1.823</v>
          </cell>
        </row>
        <row r="76">
          <cell r="J76">
            <v>50.5</v>
          </cell>
          <cell r="P76">
            <v>7.056</v>
          </cell>
        </row>
        <row r="77">
          <cell r="J77">
            <v>14.336</v>
          </cell>
          <cell r="P77">
            <v>0.94899999999999995</v>
          </cell>
        </row>
        <row r="78">
          <cell r="J78">
            <v>17.245999999999999</v>
          </cell>
          <cell r="P78">
            <v>4.9000000000000004</v>
          </cell>
        </row>
        <row r="79">
          <cell r="J79">
            <v>7.8520000000000003</v>
          </cell>
          <cell r="P79">
            <v>0.33500000000000002</v>
          </cell>
        </row>
        <row r="80">
          <cell r="J80">
            <v>44.515000000000001</v>
          </cell>
          <cell r="P80">
            <v>0.92900000000000005</v>
          </cell>
        </row>
        <row r="81">
          <cell r="J81">
            <v>1.321</v>
          </cell>
          <cell r="P81">
            <v>1.7999999999999999E-2</v>
          </cell>
        </row>
        <row r="82">
          <cell r="J82">
            <v>0.629</v>
          </cell>
          <cell r="P82">
            <v>0.221</v>
          </cell>
        </row>
        <row r="83">
          <cell r="J83">
            <v>115.99299999999999</v>
          </cell>
          <cell r="P83">
            <v>106.301</v>
          </cell>
        </row>
        <row r="84">
          <cell r="J84">
            <v>0.71199999999999997</v>
          </cell>
          <cell r="P84">
            <v>10.087</v>
          </cell>
        </row>
        <row r="85">
          <cell r="J85">
            <v>0.32500000000000001</v>
          </cell>
          <cell r="P85">
            <v>3.7810000000000001</v>
          </cell>
        </row>
        <row r="86">
          <cell r="J86">
            <v>0.13600000000000001</v>
          </cell>
          <cell r="P86">
            <v>2.206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ex_MS_FE_AL_data"/>
    </sheetNames>
    <sheetDataSet>
      <sheetData sheetId="0">
        <row r="6">
          <cell r="H6">
            <v>0</v>
          </cell>
          <cell r="L6">
            <v>0</v>
          </cell>
          <cell r="N6">
            <v>0</v>
          </cell>
        </row>
        <row r="7">
          <cell r="H7" t="str">
            <v>&lt;0.000</v>
          </cell>
          <cell r="L7" t="str">
            <v>&lt;0.000</v>
          </cell>
          <cell r="N7" t="str">
            <v>&lt;0.000</v>
          </cell>
        </row>
        <row r="8">
          <cell r="H8">
            <v>2.9630000000000001</v>
          </cell>
          <cell r="L8" t="str">
            <v>&lt;0.000</v>
          </cell>
          <cell r="N8" t="str">
            <v>&lt;0.000</v>
          </cell>
        </row>
        <row r="9">
          <cell r="H9">
            <v>3.0209999999999999</v>
          </cell>
          <cell r="L9">
            <v>3.9060000000000001</v>
          </cell>
          <cell r="N9">
            <v>4.3079999999999998</v>
          </cell>
        </row>
        <row r="10">
          <cell r="H10">
            <v>51.841000000000001</v>
          </cell>
          <cell r="L10">
            <v>9.4260000000000002</v>
          </cell>
          <cell r="N10">
            <v>9.56</v>
          </cell>
        </row>
        <row r="11">
          <cell r="H11">
            <v>52.448</v>
          </cell>
          <cell r="L11">
            <v>51.116</v>
          </cell>
          <cell r="N11">
            <v>51.29</v>
          </cell>
        </row>
        <row r="12">
          <cell r="H12">
            <v>105.196</v>
          </cell>
          <cell r="L12">
            <v>101.96299999999999</v>
          </cell>
          <cell r="N12">
            <v>102.07</v>
          </cell>
        </row>
        <row r="13">
          <cell r="H13">
            <v>528.28499999999997</v>
          </cell>
          <cell r="L13">
            <v>492.74099999999999</v>
          </cell>
          <cell r="N13">
            <v>505.01299999999998</v>
          </cell>
        </row>
        <row r="14">
          <cell r="H14">
            <v>1036.58</v>
          </cell>
          <cell r="L14">
            <v>969.08299999999997</v>
          </cell>
          <cell r="N14">
            <v>991.56100000000004</v>
          </cell>
        </row>
        <row r="15">
          <cell r="H15">
            <v>1170.8430000000001</v>
          </cell>
          <cell r="L15">
            <v>10003.431</v>
          </cell>
          <cell r="N15">
            <v>10000.566999999999</v>
          </cell>
        </row>
        <row r="16">
          <cell r="H16">
            <v>9994.9290000000001</v>
          </cell>
          <cell r="L16">
            <v>86167.467000000004</v>
          </cell>
          <cell r="N16">
            <v>86101.625</v>
          </cell>
        </row>
        <row r="17">
          <cell r="H17" t="str">
            <v>&lt;0.000</v>
          </cell>
          <cell r="L17" t="str">
            <v>&lt;0.000</v>
          </cell>
          <cell r="N17" t="str">
            <v>&lt;0.000</v>
          </cell>
        </row>
        <row r="18">
          <cell r="H18" t="str">
            <v>&lt;0.000</v>
          </cell>
          <cell r="L18">
            <v>9.2880000000000003</v>
          </cell>
          <cell r="N18">
            <v>9.9380000000000006</v>
          </cell>
        </row>
        <row r="19">
          <cell r="H19" t="str">
            <v>&lt;0.000</v>
          </cell>
          <cell r="L19" t="str">
            <v>&lt;0.000</v>
          </cell>
          <cell r="N19" t="str">
            <v>&lt;0.000</v>
          </cell>
        </row>
        <row r="20">
          <cell r="H20">
            <v>288.51799999999997</v>
          </cell>
          <cell r="L20">
            <v>724.91499999999996</v>
          </cell>
          <cell r="N20">
            <v>743.096</v>
          </cell>
        </row>
        <row r="21">
          <cell r="H21">
            <v>442.00599999999997</v>
          </cell>
          <cell r="L21">
            <v>1694.288</v>
          </cell>
          <cell r="N21">
            <v>1733.441</v>
          </cell>
        </row>
        <row r="22">
          <cell r="H22">
            <v>187.881</v>
          </cell>
          <cell r="L22">
            <v>328.13299999999998</v>
          </cell>
          <cell r="N22">
            <v>334.45800000000003</v>
          </cell>
        </row>
        <row r="23">
          <cell r="H23">
            <v>361.02100000000002</v>
          </cell>
          <cell r="L23">
            <v>403.50400000000002</v>
          </cell>
          <cell r="N23">
            <v>411.52699999999999</v>
          </cell>
        </row>
        <row r="24">
          <cell r="H24">
            <v>245.80500000000001</v>
          </cell>
          <cell r="L24">
            <v>203.036</v>
          </cell>
          <cell r="N24">
            <v>206.595</v>
          </cell>
        </row>
        <row r="25">
          <cell r="H25">
            <v>194.821</v>
          </cell>
          <cell r="L25">
            <v>722.86400000000003</v>
          </cell>
          <cell r="N25">
            <v>736.88900000000001</v>
          </cell>
        </row>
        <row r="26">
          <cell r="H26">
            <v>144.92400000000001</v>
          </cell>
          <cell r="L26">
            <v>794.98599999999999</v>
          </cell>
          <cell r="N26">
            <v>811.85400000000004</v>
          </cell>
        </row>
        <row r="27">
          <cell r="H27">
            <v>563.48500000000001</v>
          </cell>
          <cell r="L27">
            <v>1256.3720000000001</v>
          </cell>
          <cell r="N27">
            <v>1297.223</v>
          </cell>
        </row>
        <row r="28">
          <cell r="H28">
            <v>333.59800000000001</v>
          </cell>
          <cell r="L28">
            <v>767.21400000000006</v>
          </cell>
          <cell r="N28">
            <v>787.20100000000002</v>
          </cell>
        </row>
        <row r="29">
          <cell r="H29">
            <v>1802.5409999999999</v>
          </cell>
          <cell r="L29">
            <v>1066.1880000000001</v>
          </cell>
          <cell r="N29">
            <v>1100.252</v>
          </cell>
        </row>
        <row r="30">
          <cell r="H30">
            <v>2.3809999999999998</v>
          </cell>
          <cell r="L30">
            <v>2.4809999999999999</v>
          </cell>
          <cell r="N30">
            <v>2.7970000000000002</v>
          </cell>
        </row>
        <row r="31">
          <cell r="H31">
            <v>107.961</v>
          </cell>
          <cell r="L31">
            <v>106.40300000000001</v>
          </cell>
          <cell r="N31">
            <v>106.35299999999999</v>
          </cell>
        </row>
        <row r="32">
          <cell r="H32">
            <v>116.01900000000001</v>
          </cell>
          <cell r="L32">
            <v>275.44400000000002</v>
          </cell>
          <cell r="N32">
            <v>275.68799999999999</v>
          </cell>
        </row>
        <row r="33">
          <cell r="H33">
            <v>218.38900000000001</v>
          </cell>
          <cell r="L33">
            <v>106.846</v>
          </cell>
          <cell r="N33">
            <v>107.336</v>
          </cell>
        </row>
        <row r="34">
          <cell r="H34">
            <v>279.27999999999997</v>
          </cell>
          <cell r="L34">
            <v>526.40599999999995</v>
          </cell>
          <cell r="N34">
            <v>543.86599999999999</v>
          </cell>
        </row>
        <row r="35">
          <cell r="H35">
            <v>67.991</v>
          </cell>
          <cell r="L35">
            <v>30.536000000000001</v>
          </cell>
          <cell r="N35">
            <v>31.422999999999998</v>
          </cell>
        </row>
        <row r="36">
          <cell r="H36">
            <v>583.93499999999995</v>
          </cell>
          <cell r="L36">
            <v>595.56299999999999</v>
          </cell>
          <cell r="N36">
            <v>609.99199999999996</v>
          </cell>
        </row>
        <row r="37">
          <cell r="H37">
            <v>509.66500000000002</v>
          </cell>
          <cell r="L37">
            <v>630.54100000000005</v>
          </cell>
          <cell r="N37">
            <v>650.93499999999995</v>
          </cell>
        </row>
        <row r="38">
          <cell r="H38">
            <v>532.92399999999998</v>
          </cell>
          <cell r="L38">
            <v>858.27499999999998</v>
          </cell>
          <cell r="N38">
            <v>878.37400000000002</v>
          </cell>
        </row>
        <row r="39">
          <cell r="H39">
            <v>492.096</v>
          </cell>
          <cell r="L39">
            <v>815.00699999999995</v>
          </cell>
          <cell r="N39">
            <v>834.15099999999995</v>
          </cell>
        </row>
        <row r="40">
          <cell r="H40">
            <v>350.12700000000001</v>
          </cell>
          <cell r="L40">
            <v>764.49800000000005</v>
          </cell>
          <cell r="N40">
            <v>778.68</v>
          </cell>
        </row>
        <row r="41">
          <cell r="H41">
            <v>592.08900000000006</v>
          </cell>
          <cell r="L41">
            <v>355.86700000000002</v>
          </cell>
          <cell r="N41">
            <v>368.76100000000002</v>
          </cell>
        </row>
        <row r="42">
          <cell r="H42">
            <v>1.1639999999999999</v>
          </cell>
          <cell r="L42">
            <v>2.3769999999999998</v>
          </cell>
          <cell r="N42">
            <v>2.41</v>
          </cell>
        </row>
        <row r="43">
          <cell r="H43">
            <v>110.06</v>
          </cell>
          <cell r="L43">
            <v>108.53</v>
          </cell>
          <cell r="N43">
            <v>105.93</v>
          </cell>
        </row>
        <row r="44">
          <cell r="H44">
            <v>320.15499999999997</v>
          </cell>
          <cell r="L44">
            <v>222.68299999999999</v>
          </cell>
          <cell r="N44">
            <v>227.411</v>
          </cell>
        </row>
        <row r="45">
          <cell r="H45">
            <v>2455.5790000000002</v>
          </cell>
          <cell r="L45">
            <v>11125.343999999999</v>
          </cell>
          <cell r="N45">
            <v>10856.787</v>
          </cell>
        </row>
        <row r="46">
          <cell r="H46">
            <v>375.24700000000001</v>
          </cell>
          <cell r="L46">
            <v>925.63900000000001</v>
          </cell>
          <cell r="N46">
            <v>946.68399999999997</v>
          </cell>
        </row>
        <row r="47">
          <cell r="H47">
            <v>675.74699999999996</v>
          </cell>
          <cell r="L47">
            <v>1628.89</v>
          </cell>
          <cell r="N47">
            <v>1660.136</v>
          </cell>
        </row>
        <row r="48">
          <cell r="H48">
            <v>905.10299999999995</v>
          </cell>
          <cell r="L48">
            <v>448.02800000000002</v>
          </cell>
          <cell r="N48">
            <v>455.60500000000002</v>
          </cell>
        </row>
        <row r="49">
          <cell r="H49">
            <v>3231.085</v>
          </cell>
          <cell r="L49">
            <v>8622.1119999999992</v>
          </cell>
          <cell r="N49">
            <v>8581.5049999999992</v>
          </cell>
        </row>
        <row r="50">
          <cell r="H50">
            <v>676.29899999999998</v>
          </cell>
          <cell r="L50">
            <v>2741.3359999999998</v>
          </cell>
          <cell r="N50">
            <v>2789.2359999999999</v>
          </cell>
        </row>
        <row r="51">
          <cell r="H51">
            <v>1070.7950000000001</v>
          </cell>
          <cell r="L51">
            <v>3908.2339999999999</v>
          </cell>
          <cell r="N51">
            <v>3971.7049999999999</v>
          </cell>
        </row>
        <row r="52">
          <cell r="H52">
            <v>1580.835</v>
          </cell>
          <cell r="L52">
            <v>5905.5720000000001</v>
          </cell>
          <cell r="N52">
            <v>5923.085</v>
          </cell>
        </row>
        <row r="53">
          <cell r="H53">
            <v>145.37899999999999</v>
          </cell>
          <cell r="L53">
            <v>305.93</v>
          </cell>
          <cell r="N53">
            <v>310.76900000000001</v>
          </cell>
        </row>
        <row r="54">
          <cell r="H54" t="str">
            <v>&lt;0.000</v>
          </cell>
          <cell r="L54">
            <v>2.649</v>
          </cell>
          <cell r="N54">
            <v>3.6509999999999998</v>
          </cell>
        </row>
        <row r="55">
          <cell r="H55">
            <v>124.73099999999999</v>
          </cell>
          <cell r="L55">
            <v>112.116</v>
          </cell>
          <cell r="N55">
            <v>110.807</v>
          </cell>
        </row>
        <row r="56">
          <cell r="H56">
            <v>522.35199999999998</v>
          </cell>
          <cell r="L56">
            <v>1322.6469999999999</v>
          </cell>
          <cell r="N56">
            <v>1347.0319999999999</v>
          </cell>
        </row>
        <row r="57">
          <cell r="H57">
            <v>1618.259</v>
          </cell>
          <cell r="L57">
            <v>5780.5680000000002</v>
          </cell>
          <cell r="N57">
            <v>5829.5240000000003</v>
          </cell>
        </row>
        <row r="58">
          <cell r="H58">
            <v>765.80200000000002</v>
          </cell>
          <cell r="L58">
            <v>6092.808</v>
          </cell>
          <cell r="N58">
            <v>6168.2820000000002</v>
          </cell>
        </row>
        <row r="59">
          <cell r="H59">
            <v>677.06200000000001</v>
          </cell>
          <cell r="L59">
            <v>1810.0329999999999</v>
          </cell>
          <cell r="N59">
            <v>1822.559</v>
          </cell>
        </row>
        <row r="60">
          <cell r="H60">
            <v>664.43799999999999</v>
          </cell>
          <cell r="L60">
            <v>1433.856</v>
          </cell>
          <cell r="N60">
            <v>1446.8589999999999</v>
          </cell>
        </row>
        <row r="61">
          <cell r="H61">
            <v>33.819000000000003</v>
          </cell>
          <cell r="L61">
            <v>39.186</v>
          </cell>
          <cell r="N61">
            <v>41.314999999999998</v>
          </cell>
        </row>
        <row r="62">
          <cell r="H62">
            <v>560.01499999999999</v>
          </cell>
          <cell r="L62">
            <v>504.68200000000002</v>
          </cell>
          <cell r="N62">
            <v>503.017</v>
          </cell>
        </row>
        <row r="63">
          <cell r="H63">
            <v>585.81100000000004</v>
          </cell>
          <cell r="L63">
            <v>6354.0159999999996</v>
          </cell>
          <cell r="N63">
            <v>6348.1310000000003</v>
          </cell>
        </row>
        <row r="64">
          <cell r="H64">
            <v>385.03899999999999</v>
          </cell>
          <cell r="L64">
            <v>1296.31</v>
          </cell>
          <cell r="N64">
            <v>1315.461</v>
          </cell>
        </row>
        <row r="65">
          <cell r="H65">
            <v>489.47800000000001</v>
          </cell>
          <cell r="L65">
            <v>1182.1659999999999</v>
          </cell>
          <cell r="N65">
            <v>1190.6130000000001</v>
          </cell>
        </row>
        <row r="66">
          <cell r="H66">
            <v>1.4770000000000001</v>
          </cell>
          <cell r="L66">
            <v>9.69</v>
          </cell>
          <cell r="N66">
            <v>10.307</v>
          </cell>
        </row>
        <row r="67">
          <cell r="H67">
            <v>127.307</v>
          </cell>
          <cell r="L67">
            <v>119.08799999999999</v>
          </cell>
          <cell r="N67">
            <v>117.18300000000001</v>
          </cell>
        </row>
        <row r="68">
          <cell r="H68">
            <v>2615.9169999999999</v>
          </cell>
          <cell r="L68">
            <v>4549.0050000000001</v>
          </cell>
          <cell r="N68">
            <v>4605.8850000000002</v>
          </cell>
        </row>
        <row r="69">
          <cell r="H69">
            <v>98.894000000000005</v>
          </cell>
          <cell r="L69">
            <v>103.58</v>
          </cell>
          <cell r="N69">
            <v>103.15300000000001</v>
          </cell>
        </row>
        <row r="70">
          <cell r="H70">
            <v>1072.8050000000001</v>
          </cell>
          <cell r="L70">
            <v>3990.471</v>
          </cell>
          <cell r="N70">
            <v>4035.0740000000001</v>
          </cell>
        </row>
        <row r="71">
          <cell r="H71">
            <v>1096.671</v>
          </cell>
          <cell r="L71">
            <v>2588.2190000000001</v>
          </cell>
          <cell r="N71">
            <v>2586.6669999999999</v>
          </cell>
        </row>
        <row r="72">
          <cell r="H72">
            <v>2736.6379999999999</v>
          </cell>
          <cell r="L72">
            <v>6767.2830000000004</v>
          </cell>
          <cell r="N72">
            <v>6762.2730000000001</v>
          </cell>
        </row>
        <row r="73">
          <cell r="H73">
            <v>619.25300000000004</v>
          </cell>
          <cell r="L73">
            <v>2042.566</v>
          </cell>
          <cell r="N73">
            <v>2033.4159999999999</v>
          </cell>
        </row>
        <row r="74">
          <cell r="H74">
            <v>540.93100000000004</v>
          </cell>
          <cell r="L74">
            <v>1132.194</v>
          </cell>
          <cell r="N74">
            <v>1133.327</v>
          </cell>
        </row>
        <row r="75">
          <cell r="H75">
            <v>1104.94</v>
          </cell>
          <cell r="L75">
            <v>3369.5720000000001</v>
          </cell>
          <cell r="N75">
            <v>3367.5439999999999</v>
          </cell>
        </row>
        <row r="76">
          <cell r="H76">
            <v>618.05499999999995</v>
          </cell>
          <cell r="L76">
            <v>756.07799999999997</v>
          </cell>
          <cell r="N76">
            <v>754.29</v>
          </cell>
        </row>
        <row r="77">
          <cell r="H77">
            <v>365.23200000000003</v>
          </cell>
          <cell r="L77">
            <v>304.75900000000001</v>
          </cell>
          <cell r="N77">
            <v>302.40199999999999</v>
          </cell>
        </row>
        <row r="78">
          <cell r="H78">
            <v>253.22499999999999</v>
          </cell>
          <cell r="L78">
            <v>235.304</v>
          </cell>
          <cell r="N78">
            <v>234.62899999999999</v>
          </cell>
        </row>
        <row r="79">
          <cell r="H79">
            <v>219.39</v>
          </cell>
          <cell r="L79">
            <v>30.280999999999999</v>
          </cell>
          <cell r="N79">
            <v>28.661000000000001</v>
          </cell>
        </row>
        <row r="80">
          <cell r="H80">
            <v>398.20800000000003</v>
          </cell>
          <cell r="L80">
            <v>383.99599999999998</v>
          </cell>
          <cell r="N80">
            <v>382.23899999999998</v>
          </cell>
        </row>
        <row r="81">
          <cell r="H81" t="str">
            <v>&lt;0.000</v>
          </cell>
          <cell r="L81">
            <v>4.4690000000000003</v>
          </cell>
          <cell r="N81">
            <v>6.0259999999999998</v>
          </cell>
        </row>
        <row r="82">
          <cell r="H82">
            <v>4.7119999999999997</v>
          </cell>
          <cell r="L82">
            <v>10.048</v>
          </cell>
          <cell r="N82">
            <v>10.631</v>
          </cell>
        </row>
        <row r="83">
          <cell r="H83">
            <v>126.7</v>
          </cell>
          <cell r="L83">
            <v>116.724</v>
          </cell>
          <cell r="N83">
            <v>115.652</v>
          </cell>
        </row>
        <row r="84">
          <cell r="H84" t="str">
            <v>&lt;0.000</v>
          </cell>
          <cell r="L84">
            <v>10.765000000000001</v>
          </cell>
          <cell r="N84">
            <v>11.503</v>
          </cell>
        </row>
        <row r="85">
          <cell r="H85" t="str">
            <v>&lt;0.000</v>
          </cell>
          <cell r="L85">
            <v>5.2649999999999997</v>
          </cell>
          <cell r="N85">
            <v>6.016</v>
          </cell>
        </row>
        <row r="86">
          <cell r="H86" t="str">
            <v>&lt;0.000</v>
          </cell>
          <cell r="L86">
            <v>3.226</v>
          </cell>
          <cell r="N86">
            <v>3.1379999999999999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"/>
  <sheetViews>
    <sheetView topLeftCell="J1" workbookViewId="0"/>
  </sheetViews>
  <sheetFormatPr defaultRowHeight="15" x14ac:dyDescent="0.25"/>
  <cols>
    <col min="1" max="1" width="9.140625" style="24"/>
    <col min="2" max="2" width="57.85546875" customWidth="1"/>
    <col min="5" max="5" width="16.42578125" style="1" customWidth="1"/>
    <col min="8" max="8" width="21.85546875" customWidth="1"/>
    <col min="9" max="9" width="14.28515625" bestFit="1" customWidth="1"/>
    <col min="10" max="10" width="9.28515625" bestFit="1" customWidth="1"/>
    <col min="11" max="11" width="15.42578125" bestFit="1" customWidth="1"/>
    <col min="12" max="12" width="9.28515625" bestFit="1" customWidth="1"/>
    <col min="13" max="13" width="17.7109375" bestFit="1" customWidth="1"/>
    <col min="14" max="14" width="9.28515625" bestFit="1" customWidth="1"/>
    <col min="15" max="15" width="14.28515625" bestFit="1" customWidth="1"/>
    <col min="16" max="16" width="9.28515625" bestFit="1" customWidth="1"/>
    <col min="17" max="17" width="16.85546875" bestFit="1" customWidth="1"/>
    <col min="18" max="18" width="9.28515625" bestFit="1" customWidth="1"/>
    <col min="19" max="19" width="13" bestFit="1" customWidth="1"/>
    <col min="20" max="20" width="9.28515625" bestFit="1" customWidth="1"/>
    <col min="21" max="21" width="13.85546875" bestFit="1" customWidth="1"/>
    <col min="22" max="22" width="9.28515625" bestFit="1" customWidth="1"/>
    <col min="23" max="23" width="11.42578125" bestFit="1" customWidth="1"/>
    <col min="24" max="24" width="9.28515625" bestFit="1" customWidth="1"/>
  </cols>
  <sheetData>
    <row r="1" spans="1:24" x14ac:dyDescent="0.25">
      <c r="A1" s="22"/>
      <c r="B1" s="7" t="s">
        <v>0</v>
      </c>
      <c r="C1" s="7"/>
      <c r="D1" s="7"/>
      <c r="E1" s="10"/>
      <c r="F1" s="7"/>
      <c r="G1" s="7"/>
      <c r="H1" s="7"/>
      <c r="I1" s="12" t="s">
        <v>1</v>
      </c>
      <c r="J1" s="12"/>
      <c r="K1" s="13" t="s">
        <v>2</v>
      </c>
      <c r="L1" s="13"/>
      <c r="M1" s="14" t="s">
        <v>3</v>
      </c>
      <c r="N1" s="14"/>
      <c r="O1" s="15" t="s">
        <v>4</v>
      </c>
      <c r="P1" s="15"/>
      <c r="Q1" s="16" t="s">
        <v>5</v>
      </c>
      <c r="R1" s="16"/>
      <c r="S1" s="4" t="s">
        <v>6</v>
      </c>
      <c r="T1" s="4"/>
      <c r="U1" s="5" t="s">
        <v>7</v>
      </c>
      <c r="V1" s="5"/>
      <c r="W1" s="6" t="s">
        <v>8</v>
      </c>
      <c r="X1" s="6"/>
    </row>
    <row r="2" spans="1:24" x14ac:dyDescent="0.25">
      <c r="A2" s="22" t="s">
        <v>252</v>
      </c>
      <c r="B2" s="7"/>
      <c r="C2" s="7" t="s">
        <v>9</v>
      </c>
      <c r="D2" s="7" t="s">
        <v>10</v>
      </c>
      <c r="E2" s="10" t="s">
        <v>11</v>
      </c>
      <c r="F2" s="7" t="s">
        <v>12</v>
      </c>
      <c r="G2" s="7" t="s">
        <v>13</v>
      </c>
      <c r="H2" s="7" t="s">
        <v>14</v>
      </c>
      <c r="I2" s="12" t="s">
        <v>15</v>
      </c>
      <c r="J2" s="12" t="s">
        <v>16</v>
      </c>
      <c r="K2" s="13" t="s">
        <v>15</v>
      </c>
      <c r="L2" s="13" t="s">
        <v>16</v>
      </c>
      <c r="M2" s="14" t="s">
        <v>15</v>
      </c>
      <c r="N2" s="14" t="s">
        <v>16</v>
      </c>
      <c r="O2" s="15" t="s">
        <v>15</v>
      </c>
      <c r="P2" s="15" t="s">
        <v>16</v>
      </c>
      <c r="Q2" s="16" t="s">
        <v>15</v>
      </c>
      <c r="R2" s="16" t="s">
        <v>16</v>
      </c>
      <c r="S2" s="4" t="s">
        <v>15</v>
      </c>
      <c r="T2" s="4" t="s">
        <v>16</v>
      </c>
      <c r="U2" s="5" t="s">
        <v>15</v>
      </c>
      <c r="V2" s="5" t="s">
        <v>16</v>
      </c>
      <c r="W2" s="6" t="s">
        <v>15</v>
      </c>
      <c r="X2" s="6" t="s">
        <v>16</v>
      </c>
    </row>
    <row r="3" spans="1:24" x14ac:dyDescent="0.25">
      <c r="A3" s="23">
        <v>0</v>
      </c>
      <c r="B3" s="8"/>
      <c r="C3" s="8" t="b">
        <v>0</v>
      </c>
      <c r="D3" s="8" t="s">
        <v>17</v>
      </c>
      <c r="E3" s="11">
        <v>45246.480185185188</v>
      </c>
      <c r="F3" s="8" t="s">
        <v>0</v>
      </c>
      <c r="G3" s="8"/>
      <c r="H3" s="8" t="s">
        <v>18</v>
      </c>
      <c r="I3" s="17">
        <v>590.48</v>
      </c>
      <c r="J3" s="17">
        <v>32.700000000000003</v>
      </c>
      <c r="K3" s="17">
        <v>1360.11</v>
      </c>
      <c r="L3" s="17">
        <v>3.2</v>
      </c>
      <c r="M3" s="17">
        <v>17354.310000000001</v>
      </c>
      <c r="N3" s="17">
        <v>1</v>
      </c>
      <c r="O3" s="17">
        <v>823.48</v>
      </c>
      <c r="P3" s="17">
        <v>12.8</v>
      </c>
      <c r="Q3" s="17">
        <v>13</v>
      </c>
      <c r="R3" s="17">
        <v>23.1</v>
      </c>
      <c r="S3" s="17">
        <v>33.33</v>
      </c>
      <c r="T3" s="17">
        <v>69.3</v>
      </c>
      <c r="U3" s="17">
        <v>110.01</v>
      </c>
      <c r="V3" s="17">
        <v>0</v>
      </c>
      <c r="W3" s="17">
        <v>590.03</v>
      </c>
      <c r="X3" s="17">
        <v>12.8</v>
      </c>
    </row>
    <row r="4" spans="1:24" x14ac:dyDescent="0.25">
      <c r="A4" s="23">
        <f>(E4-$E$3)</f>
        <v>1.1458333319751546E-3</v>
      </c>
      <c r="B4" s="8" t="s">
        <v>19</v>
      </c>
      <c r="C4" s="8" t="b">
        <v>0</v>
      </c>
      <c r="D4" s="8" t="s">
        <v>20</v>
      </c>
      <c r="E4" s="11">
        <v>45246.48133101852</v>
      </c>
      <c r="F4" s="8" t="s">
        <v>0</v>
      </c>
      <c r="G4" s="8"/>
      <c r="H4" s="8" t="s">
        <v>18</v>
      </c>
      <c r="I4" s="17">
        <v>464.68</v>
      </c>
      <c r="J4" s="17">
        <v>2.5</v>
      </c>
      <c r="K4" s="17">
        <v>690.04</v>
      </c>
      <c r="L4" s="17">
        <v>20.399999999999999</v>
      </c>
      <c r="M4" s="17">
        <v>19800.71</v>
      </c>
      <c r="N4" s="17">
        <v>5</v>
      </c>
      <c r="O4" s="17">
        <v>920.06</v>
      </c>
      <c r="P4" s="17">
        <v>12.3</v>
      </c>
      <c r="Q4" s="17">
        <v>15.67</v>
      </c>
      <c r="R4" s="17">
        <v>35.200000000000003</v>
      </c>
      <c r="S4" s="17">
        <v>46.67</v>
      </c>
      <c r="T4" s="17">
        <v>53.9</v>
      </c>
      <c r="U4" s="17">
        <v>140</v>
      </c>
      <c r="V4" s="17">
        <v>21.4</v>
      </c>
      <c r="W4" s="17">
        <v>600.04</v>
      </c>
      <c r="X4" s="17">
        <v>10.1</v>
      </c>
    </row>
    <row r="5" spans="1:24" x14ac:dyDescent="0.25">
      <c r="A5" s="23">
        <f>(E5-$E$3)</f>
        <v>2.3263888870133087E-3</v>
      </c>
      <c r="B5" s="8"/>
      <c r="C5" s="8" t="b">
        <v>0</v>
      </c>
      <c r="D5" s="8" t="s">
        <v>21</v>
      </c>
      <c r="E5" s="11">
        <v>45246.482511574075</v>
      </c>
      <c r="F5" s="8" t="s">
        <v>0</v>
      </c>
      <c r="G5" s="8"/>
      <c r="H5" s="8" t="s">
        <v>18</v>
      </c>
      <c r="I5" s="17">
        <v>396.34</v>
      </c>
      <c r="J5" s="17">
        <v>1.7</v>
      </c>
      <c r="K5" s="17">
        <v>383.36</v>
      </c>
      <c r="L5" s="17">
        <v>15.9</v>
      </c>
      <c r="M5" s="17">
        <v>16036.1</v>
      </c>
      <c r="N5" s="17">
        <v>1.6</v>
      </c>
      <c r="O5" s="17">
        <v>636.71</v>
      </c>
      <c r="P5" s="17">
        <v>17.3</v>
      </c>
      <c r="Q5" s="17">
        <v>8.67</v>
      </c>
      <c r="R5" s="17">
        <v>6.7</v>
      </c>
      <c r="S5" s="17">
        <v>6288.22</v>
      </c>
      <c r="T5" s="17">
        <v>3.6</v>
      </c>
      <c r="U5" s="17">
        <v>54600.29</v>
      </c>
      <c r="V5" s="17">
        <v>0.4</v>
      </c>
      <c r="W5" s="17">
        <v>1123.42</v>
      </c>
      <c r="X5" s="17">
        <v>3.1</v>
      </c>
    </row>
    <row r="6" spans="1:24" x14ac:dyDescent="0.25">
      <c r="A6" s="23">
        <f t="shared" ref="A6:A69" si="0">(E6-$E$3)</f>
        <v>3.4490740727051161E-3</v>
      </c>
      <c r="B6" s="8"/>
      <c r="C6" s="8" t="b">
        <v>0</v>
      </c>
      <c r="D6" s="8" t="s">
        <v>22</v>
      </c>
      <c r="E6" s="11">
        <v>45246.483634259261</v>
      </c>
      <c r="F6" s="8" t="s">
        <v>23</v>
      </c>
      <c r="G6" s="8">
        <v>1</v>
      </c>
      <c r="H6" s="8" t="s">
        <v>24</v>
      </c>
      <c r="I6" s="17">
        <v>1582.6</v>
      </c>
      <c r="J6" s="17">
        <v>17.100000000000001</v>
      </c>
      <c r="K6" s="17">
        <v>1416.78</v>
      </c>
      <c r="L6" s="17">
        <v>12.4</v>
      </c>
      <c r="M6" s="17">
        <v>37050.129999999997</v>
      </c>
      <c r="N6" s="17">
        <v>2.8</v>
      </c>
      <c r="O6" s="17">
        <v>1140.0899999999999</v>
      </c>
      <c r="P6" s="17">
        <v>15.9</v>
      </c>
      <c r="Q6" s="17">
        <v>32.33</v>
      </c>
      <c r="R6" s="17">
        <v>26.3</v>
      </c>
      <c r="S6" s="17">
        <v>2707.03</v>
      </c>
      <c r="T6" s="17">
        <v>9</v>
      </c>
      <c r="U6" s="17">
        <v>22608.86</v>
      </c>
      <c r="V6" s="17">
        <v>3.4</v>
      </c>
      <c r="W6" s="17">
        <v>763.38</v>
      </c>
      <c r="X6" s="17">
        <v>9.5</v>
      </c>
    </row>
    <row r="7" spans="1:24" x14ac:dyDescent="0.25">
      <c r="A7" s="23">
        <f t="shared" si="0"/>
        <v>4.6180555509636179E-3</v>
      </c>
      <c r="B7" s="8"/>
      <c r="C7" s="8" t="b">
        <v>0</v>
      </c>
      <c r="D7" s="8" t="s">
        <v>25</v>
      </c>
      <c r="E7" s="11">
        <v>45246.484803240739</v>
      </c>
      <c r="F7" s="8" t="s">
        <v>26</v>
      </c>
      <c r="G7" s="8">
        <v>2</v>
      </c>
      <c r="H7" s="8" t="s">
        <v>27</v>
      </c>
      <c r="I7" s="17">
        <v>838.36</v>
      </c>
      <c r="J7" s="17">
        <v>3.9</v>
      </c>
      <c r="K7" s="17">
        <v>5757.99</v>
      </c>
      <c r="L7" s="17">
        <v>4.5</v>
      </c>
      <c r="M7" s="17">
        <v>25336.75</v>
      </c>
      <c r="N7" s="17">
        <v>2.8</v>
      </c>
      <c r="O7" s="17">
        <v>950.06</v>
      </c>
      <c r="P7" s="17">
        <v>9.1999999999999993</v>
      </c>
      <c r="Q7" s="17">
        <v>1315.4</v>
      </c>
      <c r="R7" s="17">
        <v>5.6</v>
      </c>
      <c r="S7" s="17">
        <v>2790.38</v>
      </c>
      <c r="T7" s="17">
        <v>1.9</v>
      </c>
      <c r="U7" s="17">
        <v>26562.51</v>
      </c>
      <c r="V7" s="17">
        <v>1.3</v>
      </c>
      <c r="W7" s="17">
        <v>773.39</v>
      </c>
      <c r="X7" s="17">
        <v>7.9</v>
      </c>
    </row>
    <row r="8" spans="1:24" x14ac:dyDescent="0.25">
      <c r="A8" s="23">
        <f t="shared" si="0"/>
        <v>5.7870370364980772E-3</v>
      </c>
      <c r="B8" s="8" t="s">
        <v>28</v>
      </c>
      <c r="C8" s="8" t="b">
        <v>0</v>
      </c>
      <c r="D8" s="8" t="s">
        <v>29</v>
      </c>
      <c r="E8" s="11">
        <v>45246.485972222225</v>
      </c>
      <c r="F8" s="8" t="s">
        <v>26</v>
      </c>
      <c r="G8" s="8">
        <v>3</v>
      </c>
      <c r="H8" s="8" t="s">
        <v>30</v>
      </c>
      <c r="I8" s="17">
        <v>2843.62</v>
      </c>
      <c r="J8" s="17">
        <v>1.6</v>
      </c>
      <c r="K8" s="17">
        <v>10894.51</v>
      </c>
      <c r="L8" s="17">
        <v>2.6</v>
      </c>
      <c r="M8" s="17">
        <v>34793.449999999997</v>
      </c>
      <c r="N8" s="17">
        <v>2.6</v>
      </c>
      <c r="O8" s="17">
        <v>1130.23</v>
      </c>
      <c r="P8" s="17">
        <v>20</v>
      </c>
      <c r="Q8" s="17">
        <v>2604.2399999999998</v>
      </c>
      <c r="R8" s="17">
        <v>3.4</v>
      </c>
      <c r="S8" s="17">
        <v>3660.59</v>
      </c>
      <c r="T8" s="17">
        <v>9.5</v>
      </c>
      <c r="U8" s="17">
        <v>30998.35</v>
      </c>
      <c r="V8" s="17">
        <v>3.4</v>
      </c>
      <c r="W8" s="17">
        <v>760.05</v>
      </c>
      <c r="X8" s="17">
        <v>29.7</v>
      </c>
    </row>
    <row r="9" spans="1:24" x14ac:dyDescent="0.25">
      <c r="A9" s="23">
        <f t="shared" si="0"/>
        <v>7.0023148145992309E-3</v>
      </c>
      <c r="B9" s="8" t="s">
        <v>31</v>
      </c>
      <c r="C9" s="8" t="b">
        <v>0</v>
      </c>
      <c r="D9" s="8" t="s">
        <v>32</v>
      </c>
      <c r="E9" s="11">
        <v>45246.487187500003</v>
      </c>
      <c r="F9" s="8" t="s">
        <v>26</v>
      </c>
      <c r="G9" s="8">
        <v>4</v>
      </c>
      <c r="H9" s="8" t="s">
        <v>33</v>
      </c>
      <c r="I9" s="17">
        <v>2868.62</v>
      </c>
      <c r="J9" s="17">
        <v>1.8</v>
      </c>
      <c r="K9" s="17">
        <v>50599.4</v>
      </c>
      <c r="L9" s="17">
        <v>2.6</v>
      </c>
      <c r="M9" s="17">
        <v>94460.08</v>
      </c>
      <c r="N9" s="17">
        <v>1.6</v>
      </c>
      <c r="O9" s="17">
        <v>2737.01</v>
      </c>
      <c r="P9" s="17">
        <v>2.2000000000000002</v>
      </c>
      <c r="Q9" s="17">
        <v>13001.57</v>
      </c>
      <c r="R9" s="17">
        <v>0.9</v>
      </c>
      <c r="S9" s="17">
        <v>4290.7700000000004</v>
      </c>
      <c r="T9" s="17">
        <v>0.8</v>
      </c>
      <c r="U9" s="17">
        <v>37624.870000000003</v>
      </c>
      <c r="V9" s="17">
        <v>1.9</v>
      </c>
      <c r="W9" s="17">
        <v>796.73</v>
      </c>
      <c r="X9" s="17">
        <v>3.8</v>
      </c>
    </row>
    <row r="10" spans="1:24" x14ac:dyDescent="0.25">
      <c r="A10" s="23">
        <f t="shared" si="0"/>
        <v>8.182870369637385E-3</v>
      </c>
      <c r="B10" s="8" t="s">
        <v>34</v>
      </c>
      <c r="C10" s="8" t="b">
        <v>0</v>
      </c>
      <c r="D10" s="8" t="s">
        <v>35</v>
      </c>
      <c r="E10" s="11">
        <v>45246.488368055558</v>
      </c>
      <c r="F10" s="8" t="s">
        <v>26</v>
      </c>
      <c r="G10" s="8">
        <v>5</v>
      </c>
      <c r="H10" s="8" t="s">
        <v>36</v>
      </c>
      <c r="I10" s="17">
        <v>23647.48</v>
      </c>
      <c r="J10" s="17">
        <v>2.4</v>
      </c>
      <c r="K10" s="17">
        <v>98558.31</v>
      </c>
      <c r="L10" s="17">
        <v>2.5</v>
      </c>
      <c r="M10" s="17">
        <v>175602.19</v>
      </c>
      <c r="N10" s="17">
        <v>1.7</v>
      </c>
      <c r="O10" s="17">
        <v>4684.25</v>
      </c>
      <c r="P10" s="17">
        <v>7.4</v>
      </c>
      <c r="Q10" s="17">
        <v>25914.34</v>
      </c>
      <c r="R10" s="17">
        <v>2</v>
      </c>
      <c r="S10" s="17">
        <v>5181.09</v>
      </c>
      <c r="T10" s="17">
        <v>4.7</v>
      </c>
      <c r="U10" s="17">
        <v>45672.01</v>
      </c>
      <c r="V10" s="17">
        <v>1.6</v>
      </c>
      <c r="W10" s="17">
        <v>800.06</v>
      </c>
      <c r="X10" s="17">
        <v>12.1</v>
      </c>
    </row>
    <row r="11" spans="1:24" x14ac:dyDescent="0.25">
      <c r="A11" s="23">
        <f t="shared" si="0"/>
        <v>9.3287037016125396E-3</v>
      </c>
      <c r="B11" s="8" t="s">
        <v>37</v>
      </c>
      <c r="C11" s="8" t="b">
        <v>0</v>
      </c>
      <c r="D11" s="8" t="s">
        <v>38</v>
      </c>
      <c r="E11" s="11">
        <v>45246.48951388889</v>
      </c>
      <c r="F11" s="8" t="s">
        <v>26</v>
      </c>
      <c r="G11" s="8">
        <v>6</v>
      </c>
      <c r="H11" s="8" t="s">
        <v>39</v>
      </c>
      <c r="I11" s="17">
        <v>23905.89</v>
      </c>
      <c r="J11" s="17">
        <v>2.1</v>
      </c>
      <c r="K11" s="17">
        <v>493088.85</v>
      </c>
      <c r="L11" s="17">
        <v>1.9</v>
      </c>
      <c r="M11" s="17">
        <v>788426.84</v>
      </c>
      <c r="N11" s="17">
        <v>1.2</v>
      </c>
      <c r="O11" s="17">
        <v>20154.63</v>
      </c>
      <c r="P11" s="17">
        <v>1</v>
      </c>
      <c r="Q11" s="17">
        <v>129814.73</v>
      </c>
      <c r="R11" s="17">
        <v>1.4</v>
      </c>
      <c r="S11" s="17">
        <v>6138.16</v>
      </c>
      <c r="T11" s="17">
        <v>4.0999999999999996</v>
      </c>
      <c r="U11" s="17">
        <v>55741.53</v>
      </c>
      <c r="V11" s="17">
        <v>3.2</v>
      </c>
      <c r="W11" s="17">
        <v>750.05</v>
      </c>
      <c r="X11" s="17">
        <v>10.1</v>
      </c>
    </row>
    <row r="12" spans="1:24" x14ac:dyDescent="0.25">
      <c r="A12" s="23">
        <f t="shared" si="0"/>
        <v>1.0532407402934041E-2</v>
      </c>
      <c r="B12" s="8" t="s">
        <v>40</v>
      </c>
      <c r="C12" s="8" t="b">
        <v>0</v>
      </c>
      <c r="D12" s="8" t="s">
        <v>41</v>
      </c>
      <c r="E12" s="11">
        <v>45246.490717592591</v>
      </c>
      <c r="F12" s="8" t="s">
        <v>26</v>
      </c>
      <c r="G12" s="8">
        <v>7</v>
      </c>
      <c r="H12" s="8" t="s">
        <v>42</v>
      </c>
      <c r="I12" s="17">
        <v>46356.71</v>
      </c>
      <c r="J12" s="17">
        <v>1.7</v>
      </c>
      <c r="K12" s="17">
        <v>985597.82</v>
      </c>
      <c r="L12" s="17">
        <v>1.3</v>
      </c>
      <c r="M12" s="17">
        <v>1535866.96</v>
      </c>
      <c r="N12" s="17">
        <v>1.4</v>
      </c>
      <c r="O12" s="17">
        <v>38979.96</v>
      </c>
      <c r="P12" s="17">
        <v>4.0999999999999996</v>
      </c>
      <c r="Q12" s="17">
        <v>259551.1</v>
      </c>
      <c r="R12" s="17">
        <v>1.4</v>
      </c>
      <c r="S12" s="17">
        <v>7962.46</v>
      </c>
      <c r="T12" s="17">
        <v>4.3</v>
      </c>
      <c r="U12" s="17">
        <v>69284.83</v>
      </c>
      <c r="V12" s="17">
        <v>3.1</v>
      </c>
      <c r="W12" s="17">
        <v>886.73</v>
      </c>
      <c r="X12" s="17">
        <v>16.2</v>
      </c>
    </row>
    <row r="13" spans="1:24" x14ac:dyDescent="0.25">
      <c r="A13" s="23">
        <f t="shared" si="0"/>
        <v>1.1689814811688848E-2</v>
      </c>
      <c r="B13" s="8" t="s">
        <v>43</v>
      </c>
      <c r="C13" s="8" t="b">
        <v>0</v>
      </c>
      <c r="D13" s="8" t="s">
        <v>44</v>
      </c>
      <c r="E13" s="11">
        <v>45246.491875</v>
      </c>
      <c r="F13" s="8" t="s">
        <v>26</v>
      </c>
      <c r="G13" s="8">
        <v>8</v>
      </c>
      <c r="H13" s="8" t="s">
        <v>45</v>
      </c>
      <c r="I13" s="17">
        <v>226433.95</v>
      </c>
      <c r="J13" s="17">
        <v>1.2</v>
      </c>
      <c r="K13" s="17">
        <v>4656554.62</v>
      </c>
      <c r="L13" s="17">
        <v>1.1000000000000001</v>
      </c>
      <c r="M13" s="17">
        <v>7280120.9400000004</v>
      </c>
      <c r="N13" s="17">
        <v>1</v>
      </c>
      <c r="O13" s="17">
        <v>188359.97</v>
      </c>
      <c r="P13" s="17">
        <v>1.1000000000000001</v>
      </c>
      <c r="Q13" s="17">
        <v>1287165.08</v>
      </c>
      <c r="R13" s="17">
        <v>0.9</v>
      </c>
      <c r="S13" s="17">
        <v>10464.120000000001</v>
      </c>
      <c r="T13" s="17">
        <v>6.6</v>
      </c>
      <c r="U13" s="17">
        <v>91541.18</v>
      </c>
      <c r="V13" s="17">
        <v>3.1</v>
      </c>
      <c r="W13" s="17">
        <v>1060.08</v>
      </c>
      <c r="X13" s="17">
        <v>12.3</v>
      </c>
    </row>
    <row r="14" spans="1:24" x14ac:dyDescent="0.25">
      <c r="A14" s="23">
        <f t="shared" si="0"/>
        <v>1.2847222220443655E-2</v>
      </c>
      <c r="B14" s="8" t="s">
        <v>46</v>
      </c>
      <c r="C14" s="8" t="b">
        <v>0</v>
      </c>
      <c r="D14" s="8" t="s">
        <v>47</v>
      </c>
      <c r="E14" s="11">
        <v>45246.493032407408</v>
      </c>
      <c r="F14" s="8" t="s">
        <v>26</v>
      </c>
      <c r="G14" s="8">
        <v>9</v>
      </c>
      <c r="H14" s="8" t="s">
        <v>48</v>
      </c>
      <c r="I14" s="17">
        <v>442776.91</v>
      </c>
      <c r="J14" s="17">
        <v>1.8</v>
      </c>
      <c r="K14" s="17">
        <v>8979786.3200000003</v>
      </c>
      <c r="L14" s="17">
        <v>2.2000000000000002</v>
      </c>
      <c r="M14" s="17">
        <v>14282137.699999999</v>
      </c>
      <c r="N14" s="17">
        <v>2.2999999999999998</v>
      </c>
      <c r="O14" s="17">
        <v>368734.71999999997</v>
      </c>
      <c r="P14" s="17">
        <v>2.4</v>
      </c>
      <c r="Q14" s="17">
        <v>2574207.08</v>
      </c>
      <c r="R14" s="17">
        <v>1.8</v>
      </c>
      <c r="S14" s="17">
        <v>12502.48</v>
      </c>
      <c r="T14" s="17">
        <v>3.9</v>
      </c>
      <c r="U14" s="17">
        <v>114602.58</v>
      </c>
      <c r="V14" s="17">
        <v>3.1</v>
      </c>
      <c r="W14" s="17">
        <v>1190.0999999999999</v>
      </c>
      <c r="X14" s="17">
        <v>8.1</v>
      </c>
    </row>
    <row r="15" spans="1:24" x14ac:dyDescent="0.25">
      <c r="A15" s="23">
        <f t="shared" si="0"/>
        <v>1.395833332935581E-2</v>
      </c>
      <c r="B15" s="8" t="s">
        <v>55</v>
      </c>
      <c r="C15" s="8" t="b">
        <v>0</v>
      </c>
      <c r="D15" s="8" t="s">
        <v>56</v>
      </c>
      <c r="E15" s="11">
        <v>45246.494143518517</v>
      </c>
      <c r="F15" s="8" t="s">
        <v>0</v>
      </c>
      <c r="G15" s="8"/>
      <c r="H15" s="8" t="s">
        <v>18</v>
      </c>
      <c r="I15" s="17">
        <v>358.67</v>
      </c>
      <c r="J15" s="17">
        <v>9.8000000000000007</v>
      </c>
      <c r="K15" s="17">
        <v>850.06</v>
      </c>
      <c r="L15" s="17">
        <v>18.899999999999999</v>
      </c>
      <c r="M15" s="17">
        <v>12582.58</v>
      </c>
      <c r="N15" s="17">
        <v>3.9</v>
      </c>
      <c r="O15" s="17">
        <v>570.04</v>
      </c>
      <c r="P15" s="17">
        <v>23.2</v>
      </c>
      <c r="Q15" s="17">
        <v>167</v>
      </c>
      <c r="R15" s="17">
        <v>2.6</v>
      </c>
      <c r="S15" s="17">
        <v>15228.45</v>
      </c>
      <c r="T15" s="17">
        <v>4.8</v>
      </c>
      <c r="U15" s="17">
        <v>132257.44</v>
      </c>
      <c r="V15" s="17">
        <v>5.0999999999999996</v>
      </c>
      <c r="W15" s="17">
        <v>1216.77</v>
      </c>
      <c r="X15" s="17">
        <v>2.5</v>
      </c>
    </row>
    <row r="16" spans="1:24" x14ac:dyDescent="0.25">
      <c r="A16" s="23">
        <f t="shared" si="0"/>
        <v>1.5127314814890269E-2</v>
      </c>
      <c r="B16" s="8" t="s">
        <v>57</v>
      </c>
      <c r="C16" s="8" t="b">
        <v>0</v>
      </c>
      <c r="D16" s="8" t="s">
        <v>58</v>
      </c>
      <c r="E16" s="11">
        <v>45246.495312500003</v>
      </c>
      <c r="F16" s="8" t="s">
        <v>0</v>
      </c>
      <c r="G16" s="8"/>
      <c r="H16" s="8" t="s">
        <v>59</v>
      </c>
      <c r="I16" s="17">
        <v>1474.78</v>
      </c>
      <c r="J16" s="17">
        <v>3</v>
      </c>
      <c r="K16" s="17">
        <v>11368.11</v>
      </c>
      <c r="L16" s="17">
        <v>4.8</v>
      </c>
      <c r="M16" s="17">
        <v>173578.07</v>
      </c>
      <c r="N16" s="17">
        <v>1.3</v>
      </c>
      <c r="O16" s="17">
        <v>4824.32</v>
      </c>
      <c r="P16" s="17">
        <v>3.3</v>
      </c>
      <c r="Q16" s="17">
        <v>25775.4</v>
      </c>
      <c r="R16" s="17">
        <v>1.6</v>
      </c>
      <c r="S16" s="17">
        <v>17013.830000000002</v>
      </c>
      <c r="T16" s="17">
        <v>7.7</v>
      </c>
      <c r="U16" s="17">
        <v>151788.79999999999</v>
      </c>
      <c r="V16" s="17">
        <v>5.3</v>
      </c>
      <c r="W16" s="17">
        <v>1343.46</v>
      </c>
      <c r="X16" s="17">
        <v>2.2999999999999998</v>
      </c>
    </row>
    <row r="17" spans="1:24" x14ac:dyDescent="0.25">
      <c r="A17" s="23">
        <f t="shared" si="0"/>
        <v>2.880787036701804E-2</v>
      </c>
      <c r="B17" s="8" t="s">
        <v>60</v>
      </c>
      <c r="C17" s="8" t="b">
        <v>0</v>
      </c>
      <c r="D17" s="8" t="s">
        <v>61</v>
      </c>
      <c r="E17" s="11">
        <v>45246.508993055555</v>
      </c>
      <c r="F17" s="8" t="s">
        <v>0</v>
      </c>
      <c r="G17" s="8"/>
      <c r="H17" s="8" t="s">
        <v>18</v>
      </c>
      <c r="I17" s="17">
        <v>365.34</v>
      </c>
      <c r="J17" s="17">
        <v>5.4</v>
      </c>
      <c r="K17" s="17">
        <v>2974.82</v>
      </c>
      <c r="L17" s="17">
        <v>157.19999999999999</v>
      </c>
      <c r="M17" s="17">
        <v>13316.49</v>
      </c>
      <c r="N17" s="17">
        <v>1.5</v>
      </c>
      <c r="O17" s="17">
        <v>663.37</v>
      </c>
      <c r="P17" s="17">
        <v>22</v>
      </c>
      <c r="Q17" s="17">
        <v>16.670000000000002</v>
      </c>
      <c r="R17" s="17">
        <v>30.2</v>
      </c>
      <c r="S17" s="17">
        <v>44512.22</v>
      </c>
      <c r="T17" s="17">
        <v>2.8</v>
      </c>
      <c r="U17" s="17">
        <v>386224.16</v>
      </c>
      <c r="V17" s="17">
        <v>2.7</v>
      </c>
      <c r="W17" s="17">
        <v>2543.67</v>
      </c>
      <c r="X17" s="17">
        <v>7</v>
      </c>
    </row>
    <row r="18" spans="1:24" x14ac:dyDescent="0.25">
      <c r="A18" s="23">
        <f t="shared" si="0"/>
        <v>2.9930555552709848E-2</v>
      </c>
      <c r="B18" s="8" t="s">
        <v>62</v>
      </c>
      <c r="C18" s="8" t="b">
        <v>0</v>
      </c>
      <c r="D18" s="8" t="s">
        <v>63</v>
      </c>
      <c r="E18" s="11">
        <v>45246.510115740741</v>
      </c>
      <c r="F18" s="8" t="s">
        <v>0</v>
      </c>
      <c r="G18" s="8"/>
      <c r="H18" s="8" t="s">
        <v>64</v>
      </c>
      <c r="I18" s="17">
        <v>124383.24</v>
      </c>
      <c r="J18" s="17">
        <v>0.3</v>
      </c>
      <c r="K18" s="17">
        <v>712110.22</v>
      </c>
      <c r="L18" s="17">
        <v>2.4</v>
      </c>
      <c r="M18" s="17">
        <v>10692970.26</v>
      </c>
      <c r="N18" s="17">
        <v>0.4</v>
      </c>
      <c r="O18" s="17">
        <v>276623.07</v>
      </c>
      <c r="P18" s="17">
        <v>1.4</v>
      </c>
      <c r="Q18" s="17">
        <v>3737.17</v>
      </c>
      <c r="R18" s="17">
        <v>1.4</v>
      </c>
      <c r="S18" s="17">
        <v>49009.82</v>
      </c>
      <c r="T18" s="17">
        <v>3.1</v>
      </c>
      <c r="U18" s="17">
        <v>426554.58</v>
      </c>
      <c r="V18" s="17">
        <v>2.9</v>
      </c>
      <c r="W18" s="17">
        <v>3533.95</v>
      </c>
      <c r="X18" s="17">
        <v>3.3</v>
      </c>
    </row>
    <row r="19" spans="1:24" x14ac:dyDescent="0.25">
      <c r="A19" s="23">
        <f t="shared" si="0"/>
        <v>3.1076388884685002E-2</v>
      </c>
      <c r="B19" s="8" t="s">
        <v>65</v>
      </c>
      <c r="C19" s="8" t="b">
        <v>0</v>
      </c>
      <c r="D19" s="8" t="s">
        <v>66</v>
      </c>
      <c r="E19" s="11">
        <v>45246.511261574073</v>
      </c>
      <c r="F19" s="8" t="s">
        <v>0</v>
      </c>
      <c r="G19" s="8"/>
      <c r="H19" s="8" t="s">
        <v>67</v>
      </c>
      <c r="I19" s="17">
        <v>189711.42</v>
      </c>
      <c r="J19" s="17">
        <v>1.5</v>
      </c>
      <c r="K19" s="17">
        <v>1922096.74</v>
      </c>
      <c r="L19" s="17">
        <v>1.2</v>
      </c>
      <c r="M19" s="17">
        <v>24942317.129999999</v>
      </c>
      <c r="N19" s="17">
        <v>2.2000000000000002</v>
      </c>
      <c r="O19" s="17">
        <v>643767.06000000006</v>
      </c>
      <c r="P19" s="17">
        <v>1.7</v>
      </c>
      <c r="Q19" s="17">
        <v>8398.14</v>
      </c>
      <c r="R19" s="17">
        <v>2.4</v>
      </c>
      <c r="S19" s="17">
        <v>51819.63</v>
      </c>
      <c r="T19" s="17">
        <v>2.8</v>
      </c>
      <c r="U19" s="17">
        <v>450635.99</v>
      </c>
      <c r="V19" s="17">
        <v>2.8</v>
      </c>
      <c r="W19" s="17">
        <v>3774.06</v>
      </c>
      <c r="X19" s="17">
        <v>7.2</v>
      </c>
    </row>
    <row r="20" spans="1:24" x14ac:dyDescent="0.25">
      <c r="A20" s="23">
        <f t="shared" si="0"/>
        <v>3.2175925924093463E-2</v>
      </c>
      <c r="B20" s="8" t="s">
        <v>68</v>
      </c>
      <c r="C20" s="8" t="b">
        <v>0</v>
      </c>
      <c r="D20" s="8" t="s">
        <v>69</v>
      </c>
      <c r="E20" s="11">
        <v>45246.512361111112</v>
      </c>
      <c r="F20" s="8" t="s">
        <v>0</v>
      </c>
      <c r="G20" s="8"/>
      <c r="H20" s="8" t="s">
        <v>70</v>
      </c>
      <c r="I20" s="17">
        <v>81549.64</v>
      </c>
      <c r="J20" s="17">
        <v>1.1000000000000001</v>
      </c>
      <c r="K20" s="17">
        <v>132889.63</v>
      </c>
      <c r="L20" s="17">
        <v>2.7</v>
      </c>
      <c r="M20" s="17">
        <v>4860461.91</v>
      </c>
      <c r="N20" s="17">
        <v>1.4</v>
      </c>
      <c r="O20" s="17">
        <v>125131.42</v>
      </c>
      <c r="P20" s="17">
        <v>1.5</v>
      </c>
      <c r="Q20" s="17">
        <v>1000.37</v>
      </c>
      <c r="R20" s="17">
        <v>4.0999999999999996</v>
      </c>
      <c r="S20" s="17">
        <v>55028.08</v>
      </c>
      <c r="T20" s="17">
        <v>2.8</v>
      </c>
      <c r="U20" s="17">
        <v>472463.03</v>
      </c>
      <c r="V20" s="17">
        <v>4</v>
      </c>
      <c r="W20" s="17">
        <v>3693.99</v>
      </c>
      <c r="X20" s="17">
        <v>5.2</v>
      </c>
    </row>
    <row r="21" spans="1:24" x14ac:dyDescent="0.25">
      <c r="A21" s="23">
        <f t="shared" si="0"/>
        <v>3.3356481479131617E-2</v>
      </c>
      <c r="B21" s="8" t="s">
        <v>71</v>
      </c>
      <c r="C21" s="8" t="b">
        <v>0</v>
      </c>
      <c r="D21" s="8" t="s">
        <v>72</v>
      </c>
      <c r="E21" s="11">
        <v>45246.513541666667</v>
      </c>
      <c r="F21" s="8" t="s">
        <v>0</v>
      </c>
      <c r="G21" s="8"/>
      <c r="H21" s="8" t="s">
        <v>73</v>
      </c>
      <c r="I21" s="17">
        <v>155242.21</v>
      </c>
      <c r="J21" s="17">
        <v>0.5</v>
      </c>
      <c r="K21" s="17">
        <v>85485.96</v>
      </c>
      <c r="L21" s="17">
        <v>5.0999999999999996</v>
      </c>
      <c r="M21" s="17">
        <v>5968376.1600000001</v>
      </c>
      <c r="N21" s="17">
        <v>0.7</v>
      </c>
      <c r="O21" s="17">
        <v>153702.78</v>
      </c>
      <c r="P21" s="17">
        <v>1.2</v>
      </c>
      <c r="Q21" s="17">
        <v>1559.76</v>
      </c>
      <c r="R21" s="17">
        <v>1.4</v>
      </c>
      <c r="S21" s="17">
        <v>55576.77</v>
      </c>
      <c r="T21" s="17">
        <v>2.7</v>
      </c>
      <c r="U21" s="17">
        <v>485245.67</v>
      </c>
      <c r="V21" s="17">
        <v>2.7</v>
      </c>
      <c r="W21" s="17">
        <v>3844.04</v>
      </c>
      <c r="X21" s="17">
        <v>7</v>
      </c>
    </row>
    <row r="22" spans="1:24" x14ac:dyDescent="0.25">
      <c r="A22" s="23">
        <f t="shared" si="0"/>
        <v>3.4479166664823424E-2</v>
      </c>
      <c r="B22" s="8" t="s">
        <v>74</v>
      </c>
      <c r="C22" s="8" t="b">
        <v>0</v>
      </c>
      <c r="D22" s="8" t="s">
        <v>75</v>
      </c>
      <c r="E22" s="11">
        <v>45246.514664351853</v>
      </c>
      <c r="F22" s="8" t="s">
        <v>0</v>
      </c>
      <c r="G22" s="8"/>
      <c r="H22" s="8" t="s">
        <v>76</v>
      </c>
      <c r="I22" s="17">
        <v>106203.48</v>
      </c>
      <c r="J22" s="17">
        <v>1.1000000000000001</v>
      </c>
      <c r="K22" s="17">
        <v>35828.400000000001</v>
      </c>
      <c r="L22" s="17">
        <v>3</v>
      </c>
      <c r="M22" s="17">
        <v>3021591.83</v>
      </c>
      <c r="N22" s="17">
        <v>2.7</v>
      </c>
      <c r="O22" s="17">
        <v>77729.649999999994</v>
      </c>
      <c r="P22" s="17">
        <v>2.9</v>
      </c>
      <c r="Q22" s="17">
        <v>1950.47</v>
      </c>
      <c r="R22" s="17">
        <v>1.5</v>
      </c>
      <c r="S22" s="17">
        <v>60626.77</v>
      </c>
      <c r="T22" s="17">
        <v>2.2999999999999998</v>
      </c>
      <c r="U22" s="17">
        <v>522091.83</v>
      </c>
      <c r="V22" s="17">
        <v>1.3</v>
      </c>
      <c r="W22" s="17">
        <v>4367.57</v>
      </c>
      <c r="X22" s="17">
        <v>5.7</v>
      </c>
    </row>
    <row r="23" spans="1:24" x14ac:dyDescent="0.25">
      <c r="A23" s="23">
        <f t="shared" si="0"/>
        <v>3.5601851850515231E-2</v>
      </c>
      <c r="B23" s="8" t="s">
        <v>77</v>
      </c>
      <c r="C23" s="8" t="b">
        <v>0</v>
      </c>
      <c r="D23" s="8" t="s">
        <v>78</v>
      </c>
      <c r="E23" s="11">
        <v>45246.515787037039</v>
      </c>
      <c r="F23" s="8" t="s">
        <v>0</v>
      </c>
      <c r="G23" s="8"/>
      <c r="H23" s="8" t="s">
        <v>79</v>
      </c>
      <c r="I23" s="17">
        <v>84503.32</v>
      </c>
      <c r="J23" s="17">
        <v>1.3</v>
      </c>
      <c r="K23" s="17">
        <v>41437.019999999997</v>
      </c>
      <c r="L23" s="17">
        <v>4.9000000000000004</v>
      </c>
      <c r="M23" s="17">
        <v>10662821.09</v>
      </c>
      <c r="N23" s="17">
        <v>0.8</v>
      </c>
      <c r="O23" s="17">
        <v>274321.94</v>
      </c>
      <c r="P23" s="17">
        <v>0.3</v>
      </c>
      <c r="Q23" s="17">
        <v>3229.7</v>
      </c>
      <c r="R23" s="17">
        <v>4</v>
      </c>
      <c r="S23" s="17">
        <v>63097.18</v>
      </c>
      <c r="T23" s="17">
        <v>3.6</v>
      </c>
      <c r="U23" s="17">
        <v>544848.32999999996</v>
      </c>
      <c r="V23" s="17">
        <v>1.4</v>
      </c>
      <c r="W23" s="17">
        <v>4310.87</v>
      </c>
      <c r="X23" s="17">
        <v>3</v>
      </c>
    </row>
    <row r="24" spans="1:24" x14ac:dyDescent="0.25">
      <c r="A24" s="23">
        <f t="shared" si="0"/>
        <v>3.6724537036207039E-2</v>
      </c>
      <c r="B24" s="8" t="s">
        <v>80</v>
      </c>
      <c r="C24" s="8" t="b">
        <v>0</v>
      </c>
      <c r="D24" s="8" t="s">
        <v>81</v>
      </c>
      <c r="E24" s="11">
        <v>45246.516909722224</v>
      </c>
      <c r="F24" s="8" t="s">
        <v>0</v>
      </c>
      <c r="G24" s="8"/>
      <c r="H24" s="8" t="s">
        <v>82</v>
      </c>
      <c r="I24" s="17">
        <v>63265.78</v>
      </c>
      <c r="J24" s="17">
        <v>0.7</v>
      </c>
      <c r="K24" s="17">
        <v>41684.29</v>
      </c>
      <c r="L24" s="17">
        <v>2.2000000000000002</v>
      </c>
      <c r="M24" s="17">
        <v>11722978.99</v>
      </c>
      <c r="N24" s="17">
        <v>0.5</v>
      </c>
      <c r="O24" s="17">
        <v>302113.40000000002</v>
      </c>
      <c r="P24" s="17">
        <v>1.1000000000000001</v>
      </c>
      <c r="Q24" s="17">
        <v>2666.93</v>
      </c>
      <c r="R24" s="17">
        <v>2.9</v>
      </c>
      <c r="S24" s="17">
        <v>65655.210000000006</v>
      </c>
      <c r="T24" s="17">
        <v>3.6</v>
      </c>
      <c r="U24" s="17">
        <v>568173.23</v>
      </c>
      <c r="V24" s="17">
        <v>2.8</v>
      </c>
      <c r="W24" s="17">
        <v>4367.54</v>
      </c>
      <c r="X24" s="17">
        <v>5.7</v>
      </c>
    </row>
    <row r="25" spans="1:24" x14ac:dyDescent="0.25">
      <c r="A25" s="23">
        <f t="shared" si="0"/>
        <v>3.7893518514465541E-2</v>
      </c>
      <c r="B25" s="8" t="s">
        <v>83</v>
      </c>
      <c r="C25" s="8" t="b">
        <v>0</v>
      </c>
      <c r="D25" s="8" t="s">
        <v>84</v>
      </c>
      <c r="E25" s="11">
        <v>45246.518078703702</v>
      </c>
      <c r="F25" s="8" t="s">
        <v>0</v>
      </c>
      <c r="G25" s="8"/>
      <c r="H25" s="8" t="s">
        <v>85</v>
      </c>
      <c r="I25" s="17">
        <v>241415.81</v>
      </c>
      <c r="J25" s="17">
        <v>1.7</v>
      </c>
      <c r="K25" s="17">
        <v>675683.27</v>
      </c>
      <c r="L25" s="17">
        <v>2.4</v>
      </c>
      <c r="M25" s="17">
        <v>18505157.640000001</v>
      </c>
      <c r="N25" s="17">
        <v>1.3</v>
      </c>
      <c r="O25" s="17">
        <v>482050.75</v>
      </c>
      <c r="P25" s="17">
        <v>2.2000000000000002</v>
      </c>
      <c r="Q25" s="17">
        <v>5504.07</v>
      </c>
      <c r="R25" s="17">
        <v>2.4</v>
      </c>
      <c r="S25" s="17">
        <v>69623.44</v>
      </c>
      <c r="T25" s="17">
        <v>0.9</v>
      </c>
      <c r="U25" s="17">
        <v>599584.25</v>
      </c>
      <c r="V25" s="17">
        <v>2.1</v>
      </c>
      <c r="W25" s="17">
        <v>4874.45</v>
      </c>
      <c r="X25" s="17">
        <v>4.9000000000000004</v>
      </c>
    </row>
    <row r="26" spans="1:24" x14ac:dyDescent="0.25">
      <c r="A26" s="23">
        <f t="shared" si="0"/>
        <v>3.9016203700157348E-2</v>
      </c>
      <c r="B26" s="8" t="s">
        <v>86</v>
      </c>
      <c r="C26" s="8" t="b">
        <v>0</v>
      </c>
      <c r="D26" s="8" t="s">
        <v>87</v>
      </c>
      <c r="E26" s="11">
        <v>45246.519201388888</v>
      </c>
      <c r="F26" s="8" t="s">
        <v>0</v>
      </c>
      <c r="G26" s="8"/>
      <c r="H26" s="8" t="s">
        <v>88</v>
      </c>
      <c r="I26" s="17">
        <v>143570.18</v>
      </c>
      <c r="J26" s="17">
        <v>0.9</v>
      </c>
      <c r="K26" s="17">
        <v>1602179.87</v>
      </c>
      <c r="L26" s="17">
        <v>2</v>
      </c>
      <c r="M26" s="17">
        <v>11314747.33</v>
      </c>
      <c r="N26" s="17">
        <v>1.2</v>
      </c>
      <c r="O26" s="17">
        <v>292973.7</v>
      </c>
      <c r="P26" s="17">
        <v>1</v>
      </c>
      <c r="Q26" s="17">
        <v>3232.04</v>
      </c>
      <c r="R26" s="17">
        <v>1.6</v>
      </c>
      <c r="S26" s="17">
        <v>72926.19</v>
      </c>
      <c r="T26" s="17">
        <v>1.5</v>
      </c>
      <c r="U26" s="17">
        <v>630367.96</v>
      </c>
      <c r="V26" s="17">
        <v>1.2</v>
      </c>
      <c r="W26" s="17">
        <v>4757.67</v>
      </c>
      <c r="X26" s="17">
        <v>10.1</v>
      </c>
    </row>
    <row r="27" spans="1:24" x14ac:dyDescent="0.25">
      <c r="A27" s="23">
        <f t="shared" si="0"/>
        <v>4.0127314809069503E-2</v>
      </c>
      <c r="B27" s="8" t="s">
        <v>89</v>
      </c>
      <c r="C27" s="8" t="b">
        <v>0</v>
      </c>
      <c r="D27" s="8" t="s">
        <v>90</v>
      </c>
      <c r="E27" s="11">
        <v>45246.520312499997</v>
      </c>
      <c r="F27" s="8" t="s">
        <v>0</v>
      </c>
      <c r="G27" s="8"/>
      <c r="H27" s="8" t="s">
        <v>91</v>
      </c>
      <c r="I27" s="17">
        <v>768789.44</v>
      </c>
      <c r="J27" s="17">
        <v>0.7</v>
      </c>
      <c r="K27" s="17">
        <v>1347252.22</v>
      </c>
      <c r="L27" s="17">
        <v>1.9</v>
      </c>
      <c r="M27" s="17">
        <v>15709529.77</v>
      </c>
      <c r="N27" s="17">
        <v>1.1000000000000001</v>
      </c>
      <c r="O27" s="17">
        <v>409028.99</v>
      </c>
      <c r="P27" s="17">
        <v>1.1000000000000001</v>
      </c>
      <c r="Q27" s="17">
        <v>9727.64</v>
      </c>
      <c r="R27" s="17">
        <v>2</v>
      </c>
      <c r="S27" s="17">
        <v>77818.2</v>
      </c>
      <c r="T27" s="17">
        <v>2</v>
      </c>
      <c r="U27" s="17">
        <v>664066.34</v>
      </c>
      <c r="V27" s="17">
        <v>0.9</v>
      </c>
      <c r="W27" s="17">
        <v>4941.3</v>
      </c>
      <c r="X27" s="17">
        <v>9.4</v>
      </c>
    </row>
    <row r="28" spans="1:24" x14ac:dyDescent="0.25">
      <c r="A28" s="23">
        <f t="shared" si="0"/>
        <v>4.1238425925257616E-2</v>
      </c>
      <c r="B28" s="8" t="s">
        <v>92</v>
      </c>
      <c r="C28" s="8" t="b">
        <v>0</v>
      </c>
      <c r="D28" s="8" t="s">
        <v>93</v>
      </c>
      <c r="E28" s="11">
        <v>45246.521423611113</v>
      </c>
      <c r="F28" s="8" t="s">
        <v>0</v>
      </c>
      <c r="G28" s="8"/>
      <c r="H28" s="8" t="s">
        <v>94</v>
      </c>
      <c r="I28" s="17">
        <v>2595.9</v>
      </c>
      <c r="J28" s="17">
        <v>2.2999999999999998</v>
      </c>
      <c r="K28" s="17">
        <v>910.06</v>
      </c>
      <c r="L28" s="17">
        <v>7.2</v>
      </c>
      <c r="M28" s="17">
        <v>73514.63</v>
      </c>
      <c r="N28" s="17">
        <v>2.8</v>
      </c>
      <c r="O28" s="17">
        <v>2176.9</v>
      </c>
      <c r="P28" s="17">
        <v>1.4</v>
      </c>
      <c r="Q28" s="17">
        <v>37.67</v>
      </c>
      <c r="R28" s="17">
        <v>10.7</v>
      </c>
      <c r="S28" s="17">
        <v>78029.210000000006</v>
      </c>
      <c r="T28" s="17">
        <v>3.8</v>
      </c>
      <c r="U28" s="17">
        <v>671680.2</v>
      </c>
      <c r="V28" s="17">
        <v>4.2</v>
      </c>
      <c r="W28" s="17">
        <v>4561.59</v>
      </c>
      <c r="X28" s="17">
        <v>7.4</v>
      </c>
    </row>
    <row r="29" spans="1:24" x14ac:dyDescent="0.25">
      <c r="A29" s="23">
        <f t="shared" si="0"/>
        <v>4.2407407403516117E-2</v>
      </c>
      <c r="B29" s="8" t="s">
        <v>95</v>
      </c>
      <c r="C29" s="8" t="b">
        <v>0</v>
      </c>
      <c r="D29" s="8" t="s">
        <v>96</v>
      </c>
      <c r="E29" s="11">
        <v>45246.522592592592</v>
      </c>
      <c r="F29" s="8" t="s">
        <v>0</v>
      </c>
      <c r="G29" s="8"/>
      <c r="H29" s="8" t="s">
        <v>97</v>
      </c>
      <c r="I29" s="17">
        <v>47533.62</v>
      </c>
      <c r="J29" s="17">
        <v>1.3</v>
      </c>
      <c r="K29" s="17">
        <v>982640.22</v>
      </c>
      <c r="L29" s="17">
        <v>1.3</v>
      </c>
      <c r="M29" s="17">
        <v>1601132.48</v>
      </c>
      <c r="N29" s="17">
        <v>2.1</v>
      </c>
      <c r="O29" s="17">
        <v>40567.760000000002</v>
      </c>
      <c r="P29" s="17">
        <v>1.9</v>
      </c>
      <c r="Q29" s="17">
        <v>262344.45</v>
      </c>
      <c r="R29" s="17">
        <v>1.5</v>
      </c>
      <c r="S29" s="17">
        <v>81843.399999999994</v>
      </c>
      <c r="T29" s="17">
        <v>3.7</v>
      </c>
      <c r="U29" s="17">
        <v>703381.97</v>
      </c>
      <c r="V29" s="17">
        <v>1.3</v>
      </c>
      <c r="W29" s="17">
        <v>4517.6099999999997</v>
      </c>
      <c r="X29" s="17">
        <v>2.8</v>
      </c>
    </row>
    <row r="30" spans="1:24" x14ac:dyDescent="0.25">
      <c r="A30" s="23">
        <f t="shared" si="0"/>
        <v>4.3518518512428273E-2</v>
      </c>
      <c r="B30" s="8" t="s">
        <v>98</v>
      </c>
      <c r="C30" s="8" t="b">
        <v>0</v>
      </c>
      <c r="D30" s="8" t="s">
        <v>99</v>
      </c>
      <c r="E30" s="11">
        <v>45246.5237037037</v>
      </c>
      <c r="F30" s="8" t="s">
        <v>0</v>
      </c>
      <c r="G30" s="8"/>
      <c r="H30" s="8" t="s">
        <v>100</v>
      </c>
      <c r="I30" s="17">
        <v>50963.11</v>
      </c>
      <c r="J30" s="17">
        <v>0.2</v>
      </c>
      <c r="K30" s="17">
        <v>73942.179999999993</v>
      </c>
      <c r="L30" s="17">
        <v>3.4</v>
      </c>
      <c r="M30" s="17">
        <v>4085948.06</v>
      </c>
      <c r="N30" s="17">
        <v>0.5</v>
      </c>
      <c r="O30" s="17">
        <v>103343.92</v>
      </c>
      <c r="P30" s="17">
        <v>1.4</v>
      </c>
      <c r="Q30" s="17">
        <v>956.04</v>
      </c>
      <c r="R30" s="17">
        <v>2.4</v>
      </c>
      <c r="S30" s="17">
        <v>85628.41</v>
      </c>
      <c r="T30" s="17">
        <v>1.9</v>
      </c>
      <c r="U30" s="17">
        <v>741157.72</v>
      </c>
      <c r="V30" s="17">
        <v>2.1</v>
      </c>
      <c r="W30" s="17">
        <v>6147.5</v>
      </c>
      <c r="X30" s="17">
        <v>16.2</v>
      </c>
    </row>
    <row r="31" spans="1:24" x14ac:dyDescent="0.25">
      <c r="A31" s="23">
        <f t="shared" si="0"/>
        <v>4.464120369812008E-2</v>
      </c>
      <c r="B31" s="8" t="s">
        <v>101</v>
      </c>
      <c r="C31" s="8" t="b">
        <v>0</v>
      </c>
      <c r="D31" s="8" t="s">
        <v>102</v>
      </c>
      <c r="E31" s="11">
        <v>45246.524826388886</v>
      </c>
      <c r="F31" s="8" t="s">
        <v>0</v>
      </c>
      <c r="G31" s="8"/>
      <c r="H31" s="8" t="s">
        <v>103</v>
      </c>
      <c r="I31" s="17">
        <v>94534.26</v>
      </c>
      <c r="J31" s="17">
        <v>0.3</v>
      </c>
      <c r="K31" s="17">
        <v>25406.39</v>
      </c>
      <c r="L31" s="17">
        <v>6.2</v>
      </c>
      <c r="M31" s="17">
        <v>1607634.56</v>
      </c>
      <c r="N31" s="17">
        <v>0.4</v>
      </c>
      <c r="O31" s="17">
        <v>40931.97</v>
      </c>
      <c r="P31" s="17">
        <v>1.3</v>
      </c>
      <c r="Q31" s="17">
        <v>1599.1</v>
      </c>
      <c r="R31" s="17">
        <v>1.8</v>
      </c>
      <c r="S31" s="17">
        <v>89397.19</v>
      </c>
      <c r="T31" s="17">
        <v>3</v>
      </c>
      <c r="U31" s="17">
        <v>768011.5</v>
      </c>
      <c r="V31" s="17">
        <v>2.6</v>
      </c>
      <c r="W31" s="17">
        <v>5354.66</v>
      </c>
      <c r="X31" s="17">
        <v>1.1000000000000001</v>
      </c>
    </row>
    <row r="32" spans="1:24" x14ac:dyDescent="0.25">
      <c r="A32" s="23">
        <f t="shared" si="0"/>
        <v>4.5763888883811887E-2</v>
      </c>
      <c r="B32" s="8" t="s">
        <v>104</v>
      </c>
      <c r="C32" s="8" t="b">
        <v>0</v>
      </c>
      <c r="D32" s="8" t="s">
        <v>105</v>
      </c>
      <c r="E32" s="11">
        <v>45246.525949074072</v>
      </c>
      <c r="F32" s="8" t="s">
        <v>0</v>
      </c>
      <c r="G32" s="8"/>
      <c r="H32" s="8" t="s">
        <v>106</v>
      </c>
      <c r="I32" s="17">
        <v>120450.97</v>
      </c>
      <c r="J32" s="17">
        <v>1</v>
      </c>
      <c r="K32" s="17">
        <v>795398.92</v>
      </c>
      <c r="L32" s="17">
        <v>3.3</v>
      </c>
      <c r="M32" s="17">
        <v>7774978.8399999999</v>
      </c>
      <c r="N32" s="17">
        <v>0.5</v>
      </c>
      <c r="O32" s="17">
        <v>202763.9</v>
      </c>
      <c r="P32" s="17">
        <v>0.5</v>
      </c>
      <c r="Q32" s="17">
        <v>1733.11</v>
      </c>
      <c r="R32" s="17">
        <v>1.4</v>
      </c>
      <c r="S32" s="17">
        <v>93241.1</v>
      </c>
      <c r="T32" s="17">
        <v>2.6</v>
      </c>
      <c r="U32" s="17">
        <v>809082.57</v>
      </c>
      <c r="V32" s="17">
        <v>3.4</v>
      </c>
      <c r="W32" s="17">
        <v>5744.76</v>
      </c>
      <c r="X32" s="17">
        <v>6.2</v>
      </c>
    </row>
    <row r="33" spans="1:24" x14ac:dyDescent="0.25">
      <c r="A33" s="23">
        <f t="shared" si="0"/>
        <v>4.6944444438850041E-2</v>
      </c>
      <c r="B33" s="8" t="s">
        <v>107</v>
      </c>
      <c r="C33" s="8" t="b">
        <v>0</v>
      </c>
      <c r="D33" s="8" t="s">
        <v>108</v>
      </c>
      <c r="E33" s="11">
        <v>45246.527129629627</v>
      </c>
      <c r="F33" s="8" t="s">
        <v>0</v>
      </c>
      <c r="G33" s="8"/>
      <c r="H33" s="8" t="s">
        <v>109</v>
      </c>
      <c r="I33" s="17">
        <v>30521.31</v>
      </c>
      <c r="J33" s="17">
        <v>1.6</v>
      </c>
      <c r="K33" s="17">
        <v>28131.54</v>
      </c>
      <c r="L33" s="17">
        <v>3.2</v>
      </c>
      <c r="M33" s="17">
        <v>485914.6</v>
      </c>
      <c r="N33" s="17">
        <v>3.9</v>
      </c>
      <c r="O33" s="17">
        <v>12789.41</v>
      </c>
      <c r="P33" s="17">
        <v>3.4</v>
      </c>
      <c r="Q33" s="17">
        <v>679.35</v>
      </c>
      <c r="R33" s="17">
        <v>4.0999999999999996</v>
      </c>
      <c r="S33" s="17">
        <v>92600.92</v>
      </c>
      <c r="T33" s="17">
        <v>2.2000000000000002</v>
      </c>
      <c r="U33" s="17">
        <v>822596.97</v>
      </c>
      <c r="V33" s="17">
        <v>2.2000000000000002</v>
      </c>
      <c r="W33" s="17">
        <v>5508.05</v>
      </c>
      <c r="X33" s="17">
        <v>5.7</v>
      </c>
    </row>
    <row r="34" spans="1:24" x14ac:dyDescent="0.25">
      <c r="A34" s="23">
        <f t="shared" si="0"/>
        <v>4.8078703701321501E-2</v>
      </c>
      <c r="B34" s="8" t="s">
        <v>110</v>
      </c>
      <c r="C34" s="8" t="b">
        <v>0</v>
      </c>
      <c r="D34" s="8" t="s">
        <v>111</v>
      </c>
      <c r="E34" s="11">
        <v>45246.528263888889</v>
      </c>
      <c r="F34" s="8" t="s">
        <v>0</v>
      </c>
      <c r="G34" s="8"/>
      <c r="H34" s="8" t="s">
        <v>112</v>
      </c>
      <c r="I34" s="17">
        <v>250119.96</v>
      </c>
      <c r="J34" s="17">
        <v>1.4</v>
      </c>
      <c r="K34" s="17">
        <v>1109670.17</v>
      </c>
      <c r="L34" s="17">
        <v>1.9</v>
      </c>
      <c r="M34" s="17">
        <v>8791549.8699999992</v>
      </c>
      <c r="N34" s="17">
        <v>1.4</v>
      </c>
      <c r="O34" s="17">
        <v>227278.2</v>
      </c>
      <c r="P34" s="17">
        <v>2.2999999999999998</v>
      </c>
      <c r="Q34" s="17">
        <v>5747.16</v>
      </c>
      <c r="R34" s="17">
        <v>0.7</v>
      </c>
      <c r="S34" s="17">
        <v>100370.84</v>
      </c>
      <c r="T34" s="17">
        <v>2.6</v>
      </c>
      <c r="U34" s="17">
        <v>859080.14</v>
      </c>
      <c r="V34" s="17">
        <v>3.1</v>
      </c>
      <c r="W34" s="17">
        <v>5974.95</v>
      </c>
      <c r="X34" s="17">
        <v>4.2</v>
      </c>
    </row>
    <row r="35" spans="1:24" x14ac:dyDescent="0.25">
      <c r="A35" s="23">
        <f t="shared" si="0"/>
        <v>4.9201388887013309E-2</v>
      </c>
      <c r="B35" s="8" t="s">
        <v>113</v>
      </c>
      <c r="C35" s="8" t="b">
        <v>0</v>
      </c>
      <c r="D35" s="8" t="s">
        <v>114</v>
      </c>
      <c r="E35" s="11">
        <v>45246.529386574075</v>
      </c>
      <c r="F35" s="8" t="s">
        <v>0</v>
      </c>
      <c r="G35" s="8"/>
      <c r="H35" s="8" t="s">
        <v>115</v>
      </c>
      <c r="I35" s="17">
        <v>218508.67</v>
      </c>
      <c r="J35" s="17">
        <v>0.3</v>
      </c>
      <c r="K35" s="17">
        <v>241642.72</v>
      </c>
      <c r="L35" s="17">
        <v>3.1</v>
      </c>
      <c r="M35" s="17">
        <v>9305723.8200000003</v>
      </c>
      <c r="N35" s="17">
        <v>1.1000000000000001</v>
      </c>
      <c r="O35" s="17">
        <v>242456.83</v>
      </c>
      <c r="P35" s="17">
        <v>0.9</v>
      </c>
      <c r="Q35" s="17">
        <v>5426.04</v>
      </c>
      <c r="R35" s="17">
        <v>0.4</v>
      </c>
      <c r="S35" s="17">
        <v>104308.38</v>
      </c>
      <c r="T35" s="17">
        <v>4.2</v>
      </c>
      <c r="U35" s="17">
        <v>895850.9</v>
      </c>
      <c r="V35" s="17">
        <v>3</v>
      </c>
      <c r="W35" s="17">
        <v>6645.27</v>
      </c>
      <c r="X35" s="17">
        <v>5.4</v>
      </c>
    </row>
    <row r="36" spans="1:24" x14ac:dyDescent="0.25">
      <c r="A36" s="23">
        <f t="shared" si="0"/>
        <v>5.0324074072705116E-2</v>
      </c>
      <c r="B36" s="8" t="s">
        <v>116</v>
      </c>
      <c r="C36" s="8" t="b">
        <v>0</v>
      </c>
      <c r="D36" s="8" t="s">
        <v>117</v>
      </c>
      <c r="E36" s="11">
        <v>45246.530509259261</v>
      </c>
      <c r="F36" s="8" t="s">
        <v>0</v>
      </c>
      <c r="G36" s="8"/>
      <c r="H36" s="8" t="s">
        <v>118</v>
      </c>
      <c r="I36" s="17">
        <v>228408.43</v>
      </c>
      <c r="J36" s="17">
        <v>0.8</v>
      </c>
      <c r="K36" s="17">
        <v>941214.41</v>
      </c>
      <c r="L36" s="17">
        <v>3</v>
      </c>
      <c r="M36" s="17">
        <v>12653300.23</v>
      </c>
      <c r="N36" s="17">
        <v>0.5</v>
      </c>
      <c r="O36" s="17">
        <v>326773.74</v>
      </c>
      <c r="P36" s="17">
        <v>0.8</v>
      </c>
      <c r="Q36" s="17">
        <v>12727.99</v>
      </c>
      <c r="R36" s="17">
        <v>1.4</v>
      </c>
      <c r="S36" s="17">
        <v>109050.73</v>
      </c>
      <c r="T36" s="17">
        <v>2.8</v>
      </c>
      <c r="U36" s="17">
        <v>940440.27</v>
      </c>
      <c r="V36" s="17">
        <v>3.5</v>
      </c>
      <c r="W36" s="17">
        <v>6935.45</v>
      </c>
      <c r="X36" s="17">
        <v>3.7</v>
      </c>
    </row>
    <row r="37" spans="1:24" x14ac:dyDescent="0.25">
      <c r="A37" s="23">
        <f t="shared" si="0"/>
        <v>5.1493055550963618E-2</v>
      </c>
      <c r="B37" s="8" t="s">
        <v>119</v>
      </c>
      <c r="C37" s="8" t="b">
        <v>0</v>
      </c>
      <c r="D37" s="8" t="s">
        <v>120</v>
      </c>
      <c r="E37" s="11">
        <v>45246.531678240739</v>
      </c>
      <c r="F37" s="8" t="s">
        <v>0</v>
      </c>
      <c r="G37" s="8"/>
      <c r="H37" s="8" t="s">
        <v>121</v>
      </c>
      <c r="I37" s="17">
        <v>211030.94</v>
      </c>
      <c r="J37" s="17">
        <v>0.3</v>
      </c>
      <c r="K37" s="17">
        <v>990565.4</v>
      </c>
      <c r="L37" s="17">
        <v>1.8</v>
      </c>
      <c r="M37" s="17">
        <v>12017286.07</v>
      </c>
      <c r="N37" s="17">
        <v>0.8</v>
      </c>
      <c r="O37" s="17">
        <v>310379.21999999997</v>
      </c>
      <c r="P37" s="17">
        <v>0.5</v>
      </c>
      <c r="Q37" s="17">
        <v>3822.18</v>
      </c>
      <c r="R37" s="17">
        <v>1.3</v>
      </c>
      <c r="S37" s="17">
        <v>112226.79</v>
      </c>
      <c r="T37" s="17">
        <v>2.5</v>
      </c>
      <c r="U37" s="17">
        <v>967091.39</v>
      </c>
      <c r="V37" s="17">
        <v>3.5</v>
      </c>
      <c r="W37" s="17">
        <v>6695.25</v>
      </c>
      <c r="X37" s="17">
        <v>3.8</v>
      </c>
    </row>
    <row r="38" spans="1:24" x14ac:dyDescent="0.25">
      <c r="A38" s="23">
        <f t="shared" si="0"/>
        <v>5.2627314813435078E-2</v>
      </c>
      <c r="B38" s="8" t="s">
        <v>122</v>
      </c>
      <c r="C38" s="8" t="b">
        <v>0</v>
      </c>
      <c r="D38" s="8" t="s">
        <v>123</v>
      </c>
      <c r="E38" s="11">
        <v>45246.532812500001</v>
      </c>
      <c r="F38" s="8" t="s">
        <v>0</v>
      </c>
      <c r="G38" s="8"/>
      <c r="H38" s="8" t="s">
        <v>124</v>
      </c>
      <c r="I38" s="17">
        <v>150605.29999999999</v>
      </c>
      <c r="J38" s="17">
        <v>0.3</v>
      </c>
      <c r="K38" s="17">
        <v>710318.66</v>
      </c>
      <c r="L38" s="17">
        <v>2.2999999999999998</v>
      </c>
      <c r="M38" s="17">
        <v>11274821.08</v>
      </c>
      <c r="N38" s="17">
        <v>0.2</v>
      </c>
      <c r="O38" s="17">
        <v>289814.81</v>
      </c>
      <c r="P38" s="17">
        <v>0.6</v>
      </c>
      <c r="Q38" s="17">
        <v>9102.23</v>
      </c>
      <c r="R38" s="17">
        <v>0.6</v>
      </c>
      <c r="S38" s="17">
        <v>114154.89</v>
      </c>
      <c r="T38" s="17">
        <v>4.2</v>
      </c>
      <c r="U38" s="17">
        <v>970176.49</v>
      </c>
      <c r="V38" s="17">
        <v>3.4</v>
      </c>
      <c r="W38" s="17">
        <v>6558.62</v>
      </c>
      <c r="X38" s="17">
        <v>6.4</v>
      </c>
    </row>
    <row r="39" spans="1:24" x14ac:dyDescent="0.25">
      <c r="A39" s="23">
        <f t="shared" si="0"/>
        <v>6.2395833330811001E-2</v>
      </c>
      <c r="B39" s="8" t="s">
        <v>125</v>
      </c>
      <c r="C39" s="8" t="b">
        <v>0</v>
      </c>
      <c r="D39" s="8" t="s">
        <v>126</v>
      </c>
      <c r="E39" s="11">
        <v>45246.542581018519</v>
      </c>
      <c r="F39" s="8" t="s">
        <v>0</v>
      </c>
      <c r="G39" s="8"/>
      <c r="H39" s="8" t="s">
        <v>127</v>
      </c>
      <c r="I39" s="17">
        <v>253590.49</v>
      </c>
      <c r="J39" s="17">
        <v>1.3</v>
      </c>
      <c r="K39" s="17">
        <v>355340.85</v>
      </c>
      <c r="L39" s="17">
        <v>2.8</v>
      </c>
      <c r="M39" s="17">
        <v>5268141.4800000004</v>
      </c>
      <c r="N39" s="17">
        <v>1.1000000000000001</v>
      </c>
      <c r="O39" s="17">
        <v>137848.43</v>
      </c>
      <c r="P39" s="17">
        <v>1.9</v>
      </c>
      <c r="Q39" s="17">
        <v>3088.67</v>
      </c>
      <c r="R39" s="17">
        <v>2.2999999999999998</v>
      </c>
      <c r="S39" s="17">
        <v>133009.35</v>
      </c>
      <c r="T39" s="17">
        <v>3.4</v>
      </c>
      <c r="U39" s="17">
        <v>1152294.72</v>
      </c>
      <c r="V39" s="17">
        <v>3.1</v>
      </c>
      <c r="W39" s="17">
        <v>8070.27</v>
      </c>
      <c r="X39" s="17">
        <v>11.9</v>
      </c>
    </row>
    <row r="40" spans="1:24" x14ac:dyDescent="0.25">
      <c r="A40" s="23">
        <f t="shared" si="0"/>
        <v>6.3530092593282461E-2</v>
      </c>
      <c r="B40" s="8" t="s">
        <v>128</v>
      </c>
      <c r="C40" s="8" t="b">
        <v>0</v>
      </c>
      <c r="D40" s="8" t="s">
        <v>129</v>
      </c>
      <c r="E40" s="11">
        <v>45246.543715277781</v>
      </c>
      <c r="F40" s="8" t="s">
        <v>0</v>
      </c>
      <c r="G40" s="8"/>
      <c r="H40" s="8" t="s">
        <v>94</v>
      </c>
      <c r="I40" s="17">
        <v>2078.15</v>
      </c>
      <c r="J40" s="17">
        <v>5.8</v>
      </c>
      <c r="K40" s="17">
        <v>1013.4</v>
      </c>
      <c r="L40" s="17">
        <v>10.6</v>
      </c>
      <c r="M40" s="17">
        <v>71993.009999999995</v>
      </c>
      <c r="N40" s="17">
        <v>2.8</v>
      </c>
      <c r="O40" s="17">
        <v>2033.54</v>
      </c>
      <c r="P40" s="17">
        <v>6.6</v>
      </c>
      <c r="Q40" s="17">
        <v>26</v>
      </c>
      <c r="R40" s="17">
        <v>3.8</v>
      </c>
      <c r="S40" s="17">
        <v>132885.17000000001</v>
      </c>
      <c r="T40" s="17">
        <v>4.0999999999999996</v>
      </c>
      <c r="U40" s="17">
        <v>1158292.53</v>
      </c>
      <c r="V40" s="17">
        <v>3.7</v>
      </c>
      <c r="W40" s="17">
        <v>9804.85</v>
      </c>
      <c r="X40" s="17">
        <v>39.799999999999997</v>
      </c>
    </row>
    <row r="41" spans="1:24" x14ac:dyDescent="0.25">
      <c r="A41" s="23">
        <f t="shared" si="0"/>
        <v>6.4664351848477963E-2</v>
      </c>
      <c r="B41" s="8" t="s">
        <v>130</v>
      </c>
      <c r="C41" s="8" t="b">
        <v>0</v>
      </c>
      <c r="D41" s="8" t="s">
        <v>131</v>
      </c>
      <c r="E41" s="11">
        <v>45246.544849537036</v>
      </c>
      <c r="F41" s="8" t="s">
        <v>0</v>
      </c>
      <c r="G41" s="8"/>
      <c r="H41" s="8" t="s">
        <v>97</v>
      </c>
      <c r="I41" s="17">
        <v>48426.69</v>
      </c>
      <c r="J41" s="17">
        <v>2.6</v>
      </c>
      <c r="K41" s="17">
        <v>997681.26</v>
      </c>
      <c r="L41" s="17">
        <v>1.8</v>
      </c>
      <c r="M41" s="17">
        <v>1632384.77</v>
      </c>
      <c r="N41" s="17">
        <v>2.5</v>
      </c>
      <c r="O41" s="17">
        <v>40410.629999999997</v>
      </c>
      <c r="P41" s="17">
        <v>3.5</v>
      </c>
      <c r="Q41" s="17">
        <v>269436.15999999997</v>
      </c>
      <c r="R41" s="17">
        <v>2.1</v>
      </c>
      <c r="S41" s="17">
        <v>136107.75</v>
      </c>
      <c r="T41" s="17">
        <v>3</v>
      </c>
      <c r="U41" s="17">
        <v>1184898.99</v>
      </c>
      <c r="V41" s="17">
        <v>2.6</v>
      </c>
      <c r="W41" s="17">
        <v>7755.96</v>
      </c>
      <c r="X41" s="17">
        <v>6.4</v>
      </c>
    </row>
    <row r="42" spans="1:24" x14ac:dyDescent="0.25">
      <c r="A42" s="23">
        <f t="shared" si="0"/>
        <v>6.5787037034169771E-2</v>
      </c>
      <c r="B42" s="8" t="s">
        <v>132</v>
      </c>
      <c r="C42" s="8" t="b">
        <v>0</v>
      </c>
      <c r="D42" s="8" t="s">
        <v>133</v>
      </c>
      <c r="E42" s="11">
        <v>45246.545972222222</v>
      </c>
      <c r="F42" s="8" t="s">
        <v>0</v>
      </c>
      <c r="G42" s="8"/>
      <c r="H42" s="8" t="s">
        <v>134</v>
      </c>
      <c r="I42" s="17">
        <v>137848.79999999999</v>
      </c>
      <c r="J42" s="17">
        <v>0.5</v>
      </c>
      <c r="K42" s="17">
        <v>11448.25</v>
      </c>
      <c r="L42" s="17">
        <v>4.5</v>
      </c>
      <c r="M42" s="17">
        <v>3310391.72</v>
      </c>
      <c r="N42" s="17">
        <v>1.2</v>
      </c>
      <c r="O42" s="17">
        <v>85446.6</v>
      </c>
      <c r="P42" s="17">
        <v>0.3</v>
      </c>
      <c r="Q42" s="17">
        <v>962.04</v>
      </c>
      <c r="R42" s="17">
        <v>2.8</v>
      </c>
      <c r="S42" s="17">
        <v>141805.26999999999</v>
      </c>
      <c r="T42" s="17">
        <v>2.9</v>
      </c>
      <c r="U42" s="17">
        <v>1228359.3600000001</v>
      </c>
      <c r="V42" s="17">
        <v>2.2999999999999998</v>
      </c>
      <c r="W42" s="17">
        <v>8466.39</v>
      </c>
      <c r="X42" s="17">
        <v>4.5999999999999996</v>
      </c>
    </row>
    <row r="43" spans="1:24" x14ac:dyDescent="0.25">
      <c r="A43" s="23">
        <f t="shared" si="0"/>
        <v>6.6979166665987577E-2</v>
      </c>
      <c r="B43" s="8" t="s">
        <v>135</v>
      </c>
      <c r="C43" s="8" t="b">
        <v>0</v>
      </c>
      <c r="D43" s="8" t="s">
        <v>136</v>
      </c>
      <c r="E43" s="11">
        <v>45246.547164351854</v>
      </c>
      <c r="F43" s="8" t="s">
        <v>0</v>
      </c>
      <c r="G43" s="8"/>
      <c r="H43" s="8" t="s">
        <v>137</v>
      </c>
      <c r="I43" s="17">
        <v>1046738.79</v>
      </c>
      <c r="J43" s="17">
        <v>3</v>
      </c>
      <c r="K43" s="17">
        <v>1303082.0900000001</v>
      </c>
      <c r="L43" s="17">
        <v>1.6</v>
      </c>
      <c r="M43" s="17">
        <v>163574574.22999999</v>
      </c>
      <c r="N43" s="17">
        <v>2.5</v>
      </c>
      <c r="O43" s="17">
        <v>4026003.07</v>
      </c>
      <c r="P43" s="17">
        <v>3</v>
      </c>
      <c r="Q43" s="17">
        <v>79350.570000000007</v>
      </c>
      <c r="R43" s="17">
        <v>3.4</v>
      </c>
      <c r="S43" s="17">
        <v>144151.39000000001</v>
      </c>
      <c r="T43" s="17">
        <v>1.9</v>
      </c>
      <c r="U43" s="17">
        <v>1242497.5900000001</v>
      </c>
      <c r="V43" s="17">
        <v>2</v>
      </c>
      <c r="W43" s="17">
        <v>8666.91</v>
      </c>
      <c r="X43" s="17">
        <v>6.9</v>
      </c>
    </row>
    <row r="44" spans="1:24" x14ac:dyDescent="0.25">
      <c r="A44" s="23">
        <f t="shared" si="0"/>
        <v>6.8229166667151731E-2</v>
      </c>
      <c r="B44" s="8" t="s">
        <v>138</v>
      </c>
      <c r="C44" s="8" t="b">
        <v>0</v>
      </c>
      <c r="D44" s="8" t="s">
        <v>139</v>
      </c>
      <c r="E44" s="11">
        <v>45246.548414351855</v>
      </c>
      <c r="F44" s="8" t="s">
        <v>0</v>
      </c>
      <c r="G44" s="8"/>
      <c r="H44" s="8" t="s">
        <v>140</v>
      </c>
      <c r="I44" s="17">
        <v>161297.22</v>
      </c>
      <c r="J44" s="17">
        <v>0.4</v>
      </c>
      <c r="K44" s="17">
        <v>181331.42</v>
      </c>
      <c r="L44" s="17">
        <v>2.2000000000000002</v>
      </c>
      <c r="M44" s="17">
        <v>13643520.630000001</v>
      </c>
      <c r="N44" s="17">
        <v>1.2</v>
      </c>
      <c r="O44" s="17">
        <v>352097.82</v>
      </c>
      <c r="P44" s="17">
        <v>0.7</v>
      </c>
      <c r="Q44" s="17">
        <v>8579.91</v>
      </c>
      <c r="R44" s="17">
        <v>2</v>
      </c>
      <c r="S44" s="17">
        <v>143744.62</v>
      </c>
      <c r="T44" s="17">
        <v>2.2999999999999998</v>
      </c>
      <c r="U44" s="17">
        <v>1254960.92</v>
      </c>
      <c r="V44" s="17">
        <v>2.6</v>
      </c>
      <c r="W44" s="17">
        <v>8796.77</v>
      </c>
      <c r="X44" s="17">
        <v>3</v>
      </c>
    </row>
    <row r="45" spans="1:24" x14ac:dyDescent="0.25">
      <c r="A45" s="23">
        <f t="shared" si="0"/>
        <v>6.9363425922347233E-2</v>
      </c>
      <c r="B45" s="8" t="s">
        <v>141</v>
      </c>
      <c r="C45" s="8" t="b">
        <v>0</v>
      </c>
      <c r="D45" s="8" t="s">
        <v>142</v>
      </c>
      <c r="E45" s="11">
        <v>45246.54954861111</v>
      </c>
      <c r="F45" s="8" t="s">
        <v>0</v>
      </c>
      <c r="G45" s="8"/>
      <c r="H45" s="8" t="s">
        <v>143</v>
      </c>
      <c r="I45" s="17">
        <v>289197.51</v>
      </c>
      <c r="J45" s="17">
        <v>17.600000000000001</v>
      </c>
      <c r="K45" s="17">
        <v>2006588.36</v>
      </c>
      <c r="L45" s="17">
        <v>3.9</v>
      </c>
      <c r="M45" s="17">
        <v>23980995.059999999</v>
      </c>
      <c r="N45" s="17">
        <v>19.100000000000001</v>
      </c>
      <c r="O45" s="17">
        <v>616591.14</v>
      </c>
      <c r="P45" s="17">
        <v>19.600000000000001</v>
      </c>
      <c r="Q45" s="17">
        <v>11757.64</v>
      </c>
      <c r="R45" s="17">
        <v>19.600000000000001</v>
      </c>
      <c r="S45" s="17">
        <v>161647.97</v>
      </c>
      <c r="T45" s="17">
        <v>47.9</v>
      </c>
      <c r="U45" s="17">
        <v>1389508.76</v>
      </c>
      <c r="V45" s="17">
        <v>49</v>
      </c>
      <c r="W45" s="17">
        <v>10121.76</v>
      </c>
      <c r="X45" s="17">
        <v>44.9</v>
      </c>
    </row>
    <row r="46" spans="1:24" x14ac:dyDescent="0.25">
      <c r="A46" s="23">
        <f t="shared" si="0"/>
        <v>7.0555555554165039E-2</v>
      </c>
      <c r="B46" s="8" t="s">
        <v>144</v>
      </c>
      <c r="C46" s="8" t="b">
        <v>0</v>
      </c>
      <c r="D46" s="8" t="s">
        <v>145</v>
      </c>
      <c r="E46" s="11">
        <v>45246.550740740742</v>
      </c>
      <c r="F46" s="8" t="s">
        <v>0</v>
      </c>
      <c r="G46" s="8"/>
      <c r="H46" s="8" t="s">
        <v>146</v>
      </c>
      <c r="I46" s="17">
        <v>386817</v>
      </c>
      <c r="J46" s="17">
        <v>0.8</v>
      </c>
      <c r="K46" s="17">
        <v>633111.06000000006</v>
      </c>
      <c r="L46" s="17">
        <v>3.3</v>
      </c>
      <c r="M46" s="17">
        <v>6622863.4500000002</v>
      </c>
      <c r="N46" s="17">
        <v>0.5</v>
      </c>
      <c r="O46" s="17">
        <v>170043.4</v>
      </c>
      <c r="P46" s="17">
        <v>0.7</v>
      </c>
      <c r="Q46" s="17">
        <v>9841.39</v>
      </c>
      <c r="R46" s="17">
        <v>1.6</v>
      </c>
      <c r="S46" s="17">
        <v>147123.74</v>
      </c>
      <c r="T46" s="17">
        <v>3.7</v>
      </c>
      <c r="U46" s="17">
        <v>1058476.3600000001</v>
      </c>
      <c r="V46" s="17">
        <v>3.1</v>
      </c>
      <c r="W46" s="17">
        <v>6695.35</v>
      </c>
      <c r="X46" s="17">
        <v>3.9</v>
      </c>
    </row>
    <row r="47" spans="1:24" x14ac:dyDescent="0.25">
      <c r="A47" s="23">
        <f t="shared" si="0"/>
        <v>7.1689814809360541E-2</v>
      </c>
      <c r="B47" s="8" t="s">
        <v>147</v>
      </c>
      <c r="C47" s="8" t="b">
        <v>0</v>
      </c>
      <c r="D47" s="8" t="s">
        <v>148</v>
      </c>
      <c r="E47" s="11">
        <v>45246.551874999997</v>
      </c>
      <c r="F47" s="8" t="s">
        <v>0</v>
      </c>
      <c r="G47" s="8"/>
      <c r="H47" s="8" t="s">
        <v>149</v>
      </c>
      <c r="I47" s="17">
        <v>1376813.71</v>
      </c>
      <c r="J47" s="17">
        <v>1</v>
      </c>
      <c r="K47" s="17">
        <v>382672.59</v>
      </c>
      <c r="L47" s="17">
        <v>1.4</v>
      </c>
      <c r="M47" s="17">
        <v>126778201.44</v>
      </c>
      <c r="N47" s="17">
        <v>0.6</v>
      </c>
      <c r="O47" s="17">
        <v>3182503.29</v>
      </c>
      <c r="P47" s="17">
        <v>0.9</v>
      </c>
      <c r="Q47" s="17">
        <v>10004.5</v>
      </c>
      <c r="R47" s="17">
        <v>0.8</v>
      </c>
      <c r="S47" s="17">
        <v>167609.71</v>
      </c>
      <c r="T47" s="17">
        <v>2.2000000000000002</v>
      </c>
      <c r="U47" s="17">
        <v>1311511.23</v>
      </c>
      <c r="V47" s="17">
        <v>2.1</v>
      </c>
      <c r="W47" s="17">
        <v>8853.4699999999993</v>
      </c>
      <c r="X47" s="17">
        <v>6.3</v>
      </c>
    </row>
    <row r="48" spans="1:24" x14ac:dyDescent="0.25">
      <c r="A48" s="23">
        <f t="shared" si="0"/>
        <v>7.2789351848769002E-2</v>
      </c>
      <c r="B48" s="8" t="s">
        <v>150</v>
      </c>
      <c r="C48" s="8" t="b">
        <v>0</v>
      </c>
      <c r="D48" s="8" t="s">
        <v>151</v>
      </c>
      <c r="E48" s="11">
        <v>45246.552974537037</v>
      </c>
      <c r="F48" s="8" t="s">
        <v>0</v>
      </c>
      <c r="G48" s="8"/>
      <c r="H48" s="8" t="s">
        <v>152</v>
      </c>
      <c r="I48" s="17">
        <v>289432.62</v>
      </c>
      <c r="J48" s="17">
        <v>1.2</v>
      </c>
      <c r="K48" s="17">
        <v>2653753.87</v>
      </c>
      <c r="L48" s="17">
        <v>1.7</v>
      </c>
      <c r="M48" s="17">
        <v>40333449.399999999</v>
      </c>
      <c r="N48" s="17">
        <v>1</v>
      </c>
      <c r="O48" s="17">
        <v>1035174.78</v>
      </c>
      <c r="P48" s="17">
        <v>0.8</v>
      </c>
      <c r="Q48" s="17">
        <v>14344.51</v>
      </c>
      <c r="R48" s="17">
        <v>0.4</v>
      </c>
      <c r="S48" s="17">
        <v>168802.42</v>
      </c>
      <c r="T48" s="17">
        <v>3.5</v>
      </c>
      <c r="U48" s="17">
        <v>1339476.1299999999</v>
      </c>
      <c r="V48" s="17">
        <v>3</v>
      </c>
      <c r="W48" s="17">
        <v>8516.5300000000007</v>
      </c>
      <c r="X48" s="17">
        <v>4.4000000000000004</v>
      </c>
    </row>
    <row r="49" spans="1:24" x14ac:dyDescent="0.25">
      <c r="A49" s="23">
        <f t="shared" si="0"/>
        <v>7.3923611111240461E-2</v>
      </c>
      <c r="B49" s="8" t="s">
        <v>153</v>
      </c>
      <c r="C49" s="8" t="b">
        <v>0</v>
      </c>
      <c r="D49" s="8" t="s">
        <v>154</v>
      </c>
      <c r="E49" s="11">
        <v>45246.554108796299</v>
      </c>
      <c r="F49" s="8" t="s">
        <v>0</v>
      </c>
      <c r="G49" s="8"/>
      <c r="H49" s="8" t="s">
        <v>155</v>
      </c>
      <c r="I49" s="17">
        <v>457339.98</v>
      </c>
      <c r="J49" s="17">
        <v>1.6</v>
      </c>
      <c r="K49" s="17">
        <v>6872950.1100000003</v>
      </c>
      <c r="L49" s="17">
        <v>3.6</v>
      </c>
      <c r="M49" s="17">
        <v>57486320.810000002</v>
      </c>
      <c r="N49" s="17">
        <v>1.9</v>
      </c>
      <c r="O49" s="17">
        <v>1473543.36</v>
      </c>
      <c r="P49" s="17">
        <v>1.3</v>
      </c>
      <c r="Q49" s="17">
        <v>15652.21</v>
      </c>
      <c r="R49" s="17">
        <v>1.7</v>
      </c>
      <c r="S49" s="17">
        <v>154247.57999999999</v>
      </c>
      <c r="T49" s="17">
        <v>11.3</v>
      </c>
      <c r="U49" s="17">
        <v>1257332.06</v>
      </c>
      <c r="V49" s="17">
        <v>10.8</v>
      </c>
      <c r="W49" s="17">
        <v>14980.13</v>
      </c>
      <c r="X49" s="17">
        <v>79.8</v>
      </c>
    </row>
    <row r="50" spans="1:24" x14ac:dyDescent="0.25">
      <c r="A50" s="23">
        <f t="shared" si="0"/>
        <v>7.5104166666278616E-2</v>
      </c>
      <c r="B50" s="8" t="s">
        <v>156</v>
      </c>
      <c r="C50" s="8" t="b">
        <v>0</v>
      </c>
      <c r="D50" s="8" t="s">
        <v>157</v>
      </c>
      <c r="E50" s="11">
        <v>45246.555289351854</v>
      </c>
      <c r="F50" s="8" t="s">
        <v>0</v>
      </c>
      <c r="G50" s="8"/>
      <c r="H50" s="8" t="s">
        <v>158</v>
      </c>
      <c r="I50" s="17">
        <v>674425.63</v>
      </c>
      <c r="J50" s="17">
        <v>0.5</v>
      </c>
      <c r="K50" s="17">
        <v>12363584.82</v>
      </c>
      <c r="L50" s="17">
        <v>1</v>
      </c>
      <c r="M50" s="17">
        <v>86846285.370000005</v>
      </c>
      <c r="N50" s="17">
        <v>0.3</v>
      </c>
      <c r="O50" s="17">
        <v>2196965.44</v>
      </c>
      <c r="P50" s="17">
        <v>0.7</v>
      </c>
      <c r="Q50" s="17">
        <v>37412.18</v>
      </c>
      <c r="R50" s="17">
        <v>1.6</v>
      </c>
      <c r="S50" s="17">
        <v>170707.37</v>
      </c>
      <c r="T50" s="17">
        <v>1.5</v>
      </c>
      <c r="U50" s="17">
        <v>1362452.43</v>
      </c>
      <c r="V50" s="17">
        <v>2.6</v>
      </c>
      <c r="W50" s="17">
        <v>8930.02</v>
      </c>
      <c r="X50" s="17">
        <v>3.5</v>
      </c>
    </row>
    <row r="51" spans="1:24" x14ac:dyDescent="0.25">
      <c r="A51" s="23">
        <f t="shared" si="0"/>
        <v>7.6238425921474118E-2</v>
      </c>
      <c r="B51" s="8" t="s">
        <v>159</v>
      </c>
      <c r="C51" s="8" t="b">
        <v>0</v>
      </c>
      <c r="D51" s="8" t="s">
        <v>160</v>
      </c>
      <c r="E51" s="11">
        <v>45246.556423611109</v>
      </c>
      <c r="F51" s="8" t="s">
        <v>0</v>
      </c>
      <c r="G51" s="8"/>
      <c r="H51" s="8" t="s">
        <v>161</v>
      </c>
      <c r="I51" s="17">
        <v>63459.59</v>
      </c>
      <c r="J51" s="17">
        <v>0.8</v>
      </c>
      <c r="K51" s="17">
        <v>1836635.13</v>
      </c>
      <c r="L51" s="17">
        <v>3</v>
      </c>
      <c r="M51" s="17">
        <v>4534087.0199999996</v>
      </c>
      <c r="N51" s="17">
        <v>0.5</v>
      </c>
      <c r="O51" s="17">
        <v>116349.48</v>
      </c>
      <c r="P51" s="17">
        <v>0.6</v>
      </c>
      <c r="Q51" s="17">
        <v>1759.11</v>
      </c>
      <c r="R51" s="17">
        <v>0.9</v>
      </c>
      <c r="S51" s="17">
        <v>170938.9</v>
      </c>
      <c r="T51" s="17">
        <v>2.5</v>
      </c>
      <c r="U51" s="17">
        <v>1374854.82</v>
      </c>
      <c r="V51" s="17">
        <v>2.2999999999999998</v>
      </c>
      <c r="W51" s="17">
        <v>8756.6</v>
      </c>
      <c r="X51" s="17">
        <v>5.6</v>
      </c>
    </row>
    <row r="52" spans="1:24" x14ac:dyDescent="0.25">
      <c r="A52" s="23">
        <f t="shared" si="0"/>
        <v>8.0856481479713693E-2</v>
      </c>
      <c r="B52" s="8" t="s">
        <v>162</v>
      </c>
      <c r="C52" s="8" t="b">
        <v>0</v>
      </c>
      <c r="D52" s="8" t="s">
        <v>163</v>
      </c>
      <c r="E52" s="11">
        <v>45246.561041666668</v>
      </c>
      <c r="F52" s="8" t="s">
        <v>0</v>
      </c>
      <c r="G52" s="8"/>
      <c r="H52" s="8" t="s">
        <v>94</v>
      </c>
      <c r="I52" s="17">
        <v>1202.3900000000001</v>
      </c>
      <c r="J52" s="17">
        <v>5.4</v>
      </c>
      <c r="K52" s="17">
        <v>2690.35</v>
      </c>
      <c r="L52" s="17">
        <v>5.9</v>
      </c>
      <c r="M52" s="17">
        <v>75993.05</v>
      </c>
      <c r="N52" s="17">
        <v>6.1</v>
      </c>
      <c r="O52" s="17">
        <v>2493.63</v>
      </c>
      <c r="P52" s="17">
        <v>8.1999999999999993</v>
      </c>
      <c r="Q52" s="17">
        <v>35</v>
      </c>
      <c r="R52" s="17">
        <v>20.6</v>
      </c>
      <c r="S52" s="17">
        <v>170221.05</v>
      </c>
      <c r="T52" s="17">
        <v>2.6</v>
      </c>
      <c r="U52" s="17">
        <v>1370174.62</v>
      </c>
      <c r="V52" s="17">
        <v>3</v>
      </c>
      <c r="W52" s="17">
        <v>8429.8700000000008</v>
      </c>
      <c r="X52" s="17">
        <v>4.7</v>
      </c>
    </row>
    <row r="53" spans="1:24" x14ac:dyDescent="0.25">
      <c r="A53" s="23">
        <f t="shared" si="0"/>
        <v>8.2002314811688848E-2</v>
      </c>
      <c r="B53" s="8" t="s">
        <v>164</v>
      </c>
      <c r="C53" s="8" t="b">
        <v>0</v>
      </c>
      <c r="D53" s="8" t="s">
        <v>165</v>
      </c>
      <c r="E53" s="11">
        <v>45246.5621875</v>
      </c>
      <c r="F53" s="8" t="s">
        <v>0</v>
      </c>
      <c r="G53" s="8"/>
      <c r="H53" s="8" t="s">
        <v>97</v>
      </c>
      <c r="I53" s="17">
        <v>54671.18</v>
      </c>
      <c r="J53" s="17">
        <v>1.7</v>
      </c>
      <c r="K53" s="17">
        <v>1064070.8700000001</v>
      </c>
      <c r="L53" s="17">
        <v>1.2</v>
      </c>
      <c r="M53" s="17">
        <v>1685107.79</v>
      </c>
      <c r="N53" s="17">
        <v>1.4</v>
      </c>
      <c r="O53" s="17">
        <v>42218.99</v>
      </c>
      <c r="P53" s="17">
        <v>2.5</v>
      </c>
      <c r="Q53" s="17">
        <v>279209.90999999997</v>
      </c>
      <c r="R53" s="17">
        <v>1.3</v>
      </c>
      <c r="S53" s="17">
        <v>171745.36</v>
      </c>
      <c r="T53" s="17">
        <v>2.9</v>
      </c>
      <c r="U53" s="17">
        <v>1387237.32</v>
      </c>
      <c r="V53" s="17">
        <v>2</v>
      </c>
      <c r="W53" s="17">
        <v>8437.18</v>
      </c>
      <c r="X53" s="17">
        <v>3.3</v>
      </c>
    </row>
    <row r="54" spans="1:24" x14ac:dyDescent="0.25">
      <c r="A54" s="23">
        <f t="shared" si="0"/>
        <v>8.3136574074160308E-2</v>
      </c>
      <c r="B54" s="8" t="s">
        <v>166</v>
      </c>
      <c r="C54" s="8" t="b">
        <v>0</v>
      </c>
      <c r="D54" s="8" t="s">
        <v>167</v>
      </c>
      <c r="E54" s="11">
        <v>45246.563321759262</v>
      </c>
      <c r="F54" s="8" t="s">
        <v>0</v>
      </c>
      <c r="G54" s="8"/>
      <c r="H54" s="8" t="s">
        <v>168</v>
      </c>
      <c r="I54" s="17">
        <v>223908.57</v>
      </c>
      <c r="J54" s="17">
        <v>0.7</v>
      </c>
      <c r="K54" s="17">
        <v>1373970.76</v>
      </c>
      <c r="L54" s="17">
        <v>3.2</v>
      </c>
      <c r="M54" s="17">
        <v>19479370.129999999</v>
      </c>
      <c r="N54" s="17">
        <v>1.2</v>
      </c>
      <c r="O54" s="17">
        <v>500515.96</v>
      </c>
      <c r="P54" s="17">
        <v>1.1000000000000001</v>
      </c>
      <c r="Q54" s="17">
        <v>8672.6299999999992</v>
      </c>
      <c r="R54" s="17">
        <v>1</v>
      </c>
      <c r="S54" s="17">
        <v>176810.27</v>
      </c>
      <c r="T54" s="17">
        <v>3.6</v>
      </c>
      <c r="U54" s="17">
        <v>1458086.75</v>
      </c>
      <c r="V54" s="17">
        <v>6.1</v>
      </c>
      <c r="W54" s="17">
        <v>9497.34</v>
      </c>
      <c r="X54" s="17">
        <v>2.4</v>
      </c>
    </row>
    <row r="55" spans="1:24" x14ac:dyDescent="0.25">
      <c r="A55" s="23">
        <f t="shared" si="0"/>
        <v>8.427083332935581E-2</v>
      </c>
      <c r="B55" s="8" t="s">
        <v>169</v>
      </c>
      <c r="C55" s="8" t="b">
        <v>0</v>
      </c>
      <c r="D55" s="8" t="s">
        <v>170</v>
      </c>
      <c r="E55" s="11">
        <v>45246.564456018517</v>
      </c>
      <c r="F55" s="8" t="s">
        <v>0</v>
      </c>
      <c r="G55" s="8"/>
      <c r="H55" s="8" t="s">
        <v>171</v>
      </c>
      <c r="I55" s="17">
        <v>690354.27</v>
      </c>
      <c r="J55" s="17">
        <v>1</v>
      </c>
      <c r="K55" s="17">
        <v>5344242.5199999996</v>
      </c>
      <c r="L55" s="17">
        <v>1.7</v>
      </c>
      <c r="M55" s="17">
        <v>85008788.730000004</v>
      </c>
      <c r="N55" s="17">
        <v>1.1000000000000001</v>
      </c>
      <c r="O55" s="17">
        <v>2162279.86</v>
      </c>
      <c r="P55" s="17">
        <v>0.2</v>
      </c>
      <c r="Q55" s="17">
        <v>45186.41</v>
      </c>
      <c r="R55" s="17">
        <v>0.8</v>
      </c>
      <c r="S55" s="17">
        <v>180948.75</v>
      </c>
      <c r="T55" s="17">
        <v>3.2</v>
      </c>
      <c r="U55" s="17">
        <v>1555817.11</v>
      </c>
      <c r="V55" s="17">
        <v>2.6</v>
      </c>
      <c r="W55" s="17">
        <v>9253.69</v>
      </c>
      <c r="X55" s="17">
        <v>2</v>
      </c>
    </row>
    <row r="56" spans="1:24" x14ac:dyDescent="0.25">
      <c r="A56" s="23">
        <f t="shared" si="0"/>
        <v>8.5451388884393964E-2</v>
      </c>
      <c r="B56" s="8" t="s">
        <v>172</v>
      </c>
      <c r="C56" s="8" t="b">
        <v>0</v>
      </c>
      <c r="D56" s="8" t="s">
        <v>173</v>
      </c>
      <c r="E56" s="11">
        <v>45246.565636574072</v>
      </c>
      <c r="F56" s="8" t="s">
        <v>0</v>
      </c>
      <c r="G56" s="8"/>
      <c r="H56" s="8" t="s">
        <v>174</v>
      </c>
      <c r="I56" s="17">
        <v>327527.3</v>
      </c>
      <c r="J56" s="17">
        <v>1.3</v>
      </c>
      <c r="K56" s="17">
        <v>9041950.9100000001</v>
      </c>
      <c r="L56" s="17">
        <v>1.5</v>
      </c>
      <c r="M56" s="17">
        <v>89598578.659999996</v>
      </c>
      <c r="N56" s="17">
        <v>0.9</v>
      </c>
      <c r="O56" s="17">
        <v>2287865.54</v>
      </c>
      <c r="P56" s="17">
        <v>0.2</v>
      </c>
      <c r="Q56" s="17">
        <v>40350.76</v>
      </c>
      <c r="R56" s="17">
        <v>0.2</v>
      </c>
      <c r="S56" s="17">
        <v>181637.13</v>
      </c>
      <c r="T56" s="17">
        <v>4</v>
      </c>
      <c r="U56" s="17">
        <v>1491518.67</v>
      </c>
      <c r="V56" s="17">
        <v>7.5</v>
      </c>
      <c r="W56" s="17">
        <v>9677.5499999999993</v>
      </c>
      <c r="X56" s="17">
        <v>5.4</v>
      </c>
    </row>
    <row r="57" spans="1:24" x14ac:dyDescent="0.25">
      <c r="A57" s="23">
        <f t="shared" si="0"/>
        <v>8.6585648146865424E-2</v>
      </c>
      <c r="B57" s="8" t="s">
        <v>175</v>
      </c>
      <c r="C57" s="8" t="b">
        <v>0</v>
      </c>
      <c r="D57" s="8" t="s">
        <v>176</v>
      </c>
      <c r="E57" s="11">
        <v>45246.566770833335</v>
      </c>
      <c r="F57" s="8" t="s">
        <v>0</v>
      </c>
      <c r="G57" s="8"/>
      <c r="H57" s="8" t="s">
        <v>177</v>
      </c>
      <c r="I57" s="17">
        <v>289757.2</v>
      </c>
      <c r="J57" s="17">
        <v>2.1</v>
      </c>
      <c r="K57" s="17">
        <v>4078635.35</v>
      </c>
      <c r="L57" s="17">
        <v>3.6</v>
      </c>
      <c r="M57" s="17">
        <v>26643724.600000001</v>
      </c>
      <c r="N57" s="17">
        <v>1.8</v>
      </c>
      <c r="O57" s="17">
        <v>676805.02</v>
      </c>
      <c r="P57" s="17">
        <v>1.3</v>
      </c>
      <c r="Q57" s="17">
        <v>12307.29</v>
      </c>
      <c r="R57" s="17">
        <v>1.3</v>
      </c>
      <c r="S57" s="17">
        <v>179742.8</v>
      </c>
      <c r="T57" s="17">
        <v>4.4000000000000004</v>
      </c>
      <c r="U57" s="17">
        <v>1508387.89</v>
      </c>
      <c r="V57" s="17">
        <v>8.3000000000000007</v>
      </c>
      <c r="W57" s="17">
        <v>9814.06</v>
      </c>
      <c r="X57" s="17">
        <v>1.4</v>
      </c>
    </row>
    <row r="58" spans="1:24" x14ac:dyDescent="0.25">
      <c r="A58" s="23">
        <f t="shared" si="0"/>
        <v>8.7719907402060926E-2</v>
      </c>
      <c r="B58" s="8" t="s">
        <v>178</v>
      </c>
      <c r="C58" s="8" t="b">
        <v>0</v>
      </c>
      <c r="D58" s="8" t="s">
        <v>179</v>
      </c>
      <c r="E58" s="11">
        <v>45246.56790509259</v>
      </c>
      <c r="F58" s="8" t="s">
        <v>0</v>
      </c>
      <c r="G58" s="8"/>
      <c r="H58" s="8" t="s">
        <v>180</v>
      </c>
      <c r="I58" s="17">
        <v>284383.96000000002</v>
      </c>
      <c r="J58" s="17">
        <v>0.6</v>
      </c>
      <c r="K58" s="17">
        <v>2617190.59</v>
      </c>
      <c r="L58" s="17">
        <v>1</v>
      </c>
      <c r="M58" s="17">
        <v>21114091.350000001</v>
      </c>
      <c r="N58" s="17">
        <v>0.5</v>
      </c>
      <c r="O58" s="17">
        <v>537524.24</v>
      </c>
      <c r="P58" s="17">
        <v>1</v>
      </c>
      <c r="Q58" s="17">
        <v>7992.58</v>
      </c>
      <c r="R58" s="17">
        <v>1.6</v>
      </c>
      <c r="S58" s="17">
        <v>184066.88</v>
      </c>
      <c r="T58" s="17">
        <v>3.9</v>
      </c>
      <c r="U58" s="17">
        <v>1584405.6</v>
      </c>
      <c r="V58" s="17">
        <v>3.7</v>
      </c>
      <c r="W58" s="17">
        <v>9413.7199999999993</v>
      </c>
      <c r="X58" s="17">
        <v>4.7</v>
      </c>
    </row>
    <row r="59" spans="1:24" x14ac:dyDescent="0.25">
      <c r="A59" s="23">
        <f t="shared" si="0"/>
        <v>8.8854166664532386E-2</v>
      </c>
      <c r="B59" s="8" t="s">
        <v>181</v>
      </c>
      <c r="C59" s="8" t="b">
        <v>0</v>
      </c>
      <c r="D59" s="8" t="s">
        <v>182</v>
      </c>
      <c r="E59" s="11">
        <v>45246.569039351853</v>
      </c>
      <c r="F59" s="8" t="s">
        <v>0</v>
      </c>
      <c r="G59" s="8"/>
      <c r="H59" s="8" t="s">
        <v>183</v>
      </c>
      <c r="I59" s="17">
        <v>15976.62</v>
      </c>
      <c r="J59" s="17">
        <v>1.8</v>
      </c>
      <c r="K59" s="17">
        <v>1168880.42</v>
      </c>
      <c r="L59" s="17">
        <v>0.8</v>
      </c>
      <c r="M59" s="17">
        <v>613065.92000000004</v>
      </c>
      <c r="N59" s="17">
        <v>2.8</v>
      </c>
      <c r="O59" s="17">
        <v>16456.669999999998</v>
      </c>
      <c r="P59" s="17">
        <v>3.5</v>
      </c>
      <c r="Q59" s="17">
        <v>409.01</v>
      </c>
      <c r="R59" s="17">
        <v>2.6</v>
      </c>
      <c r="S59" s="17">
        <v>190906.8</v>
      </c>
      <c r="T59" s="17">
        <v>2.4</v>
      </c>
      <c r="U59" s="17">
        <v>1548428.73</v>
      </c>
      <c r="V59" s="17">
        <v>4.5</v>
      </c>
      <c r="W59" s="17">
        <v>8349.65</v>
      </c>
      <c r="X59" s="17">
        <v>3.3</v>
      </c>
    </row>
    <row r="60" spans="1:24" x14ac:dyDescent="0.25">
      <c r="A60" s="23">
        <f t="shared" si="0"/>
        <v>9.0046296296350192E-2</v>
      </c>
      <c r="B60" s="8" t="s">
        <v>184</v>
      </c>
      <c r="C60" s="8" t="b">
        <v>0</v>
      </c>
      <c r="D60" s="8" t="s">
        <v>185</v>
      </c>
      <c r="E60" s="11">
        <v>45246.570231481484</v>
      </c>
      <c r="F60" s="8" t="s">
        <v>0</v>
      </c>
      <c r="G60" s="8"/>
      <c r="H60" s="8" t="s">
        <v>186</v>
      </c>
      <c r="I60" s="17">
        <v>239938.97</v>
      </c>
      <c r="J60" s="17">
        <v>0.5</v>
      </c>
      <c r="K60" s="17">
        <v>1209550.71</v>
      </c>
      <c r="L60" s="17">
        <v>1.9</v>
      </c>
      <c r="M60" s="17">
        <v>7455653.4299999997</v>
      </c>
      <c r="N60" s="17">
        <v>0.5</v>
      </c>
      <c r="O60" s="17">
        <v>187620.07</v>
      </c>
      <c r="P60" s="17">
        <v>0.9</v>
      </c>
      <c r="Q60" s="17">
        <v>14564.4</v>
      </c>
      <c r="R60" s="17">
        <v>1.4</v>
      </c>
      <c r="S60" s="17">
        <v>190653.1</v>
      </c>
      <c r="T60" s="17">
        <v>2.8</v>
      </c>
      <c r="U60" s="17">
        <v>1647582.68</v>
      </c>
      <c r="V60" s="17">
        <v>1.6</v>
      </c>
      <c r="W60" s="17">
        <v>9773.94</v>
      </c>
      <c r="X60" s="17">
        <v>6.4</v>
      </c>
    </row>
    <row r="61" spans="1:24" x14ac:dyDescent="0.25">
      <c r="A61" s="23">
        <f t="shared" si="0"/>
        <v>9.1180555551545694E-2</v>
      </c>
      <c r="B61" s="8" t="s">
        <v>187</v>
      </c>
      <c r="C61" s="8" t="b">
        <v>0</v>
      </c>
      <c r="D61" s="8" t="s">
        <v>188</v>
      </c>
      <c r="E61" s="11">
        <v>45246.57136574074</v>
      </c>
      <c r="F61" s="8" t="s">
        <v>0</v>
      </c>
      <c r="G61" s="8"/>
      <c r="H61" s="8" t="s">
        <v>189</v>
      </c>
      <c r="I61" s="17">
        <v>250918.46</v>
      </c>
      <c r="J61" s="17">
        <v>1.8</v>
      </c>
      <c r="K61" s="17">
        <v>4085069.31</v>
      </c>
      <c r="L61" s="17">
        <v>1.2</v>
      </c>
      <c r="M61" s="17">
        <v>93438208.609999999</v>
      </c>
      <c r="N61" s="17">
        <v>1.4</v>
      </c>
      <c r="O61" s="17">
        <v>2354539.5</v>
      </c>
      <c r="P61" s="17">
        <v>3</v>
      </c>
      <c r="Q61" s="17">
        <v>37522.51</v>
      </c>
      <c r="R61" s="17">
        <v>2.4</v>
      </c>
      <c r="S61" s="17">
        <v>192020.93</v>
      </c>
      <c r="T61" s="17">
        <v>1.3</v>
      </c>
      <c r="U61" s="17">
        <v>1670914.14</v>
      </c>
      <c r="V61" s="17">
        <v>0.6</v>
      </c>
      <c r="W61" s="17">
        <v>9827.4500000000007</v>
      </c>
      <c r="X61" s="17">
        <v>3.8</v>
      </c>
    </row>
    <row r="62" spans="1:24" x14ac:dyDescent="0.25">
      <c r="A62" s="23">
        <f t="shared" si="0"/>
        <v>9.2303240737237502E-2</v>
      </c>
      <c r="B62" s="8" t="s">
        <v>190</v>
      </c>
      <c r="C62" s="8" t="b">
        <v>0</v>
      </c>
      <c r="D62" s="8" t="s">
        <v>191</v>
      </c>
      <c r="E62" s="11">
        <v>45246.572488425925</v>
      </c>
      <c r="F62" s="8" t="s">
        <v>0</v>
      </c>
      <c r="G62" s="8"/>
      <c r="H62" s="8" t="s">
        <v>192</v>
      </c>
      <c r="I62" s="17">
        <v>165465.04999999999</v>
      </c>
      <c r="J62" s="17">
        <v>0.3</v>
      </c>
      <c r="K62" s="17">
        <v>5287458.67</v>
      </c>
      <c r="L62" s="17">
        <v>1</v>
      </c>
      <c r="M62" s="17">
        <v>19092215.550000001</v>
      </c>
      <c r="N62" s="17">
        <v>0.4</v>
      </c>
      <c r="O62" s="17">
        <v>488811.88</v>
      </c>
      <c r="P62" s="17">
        <v>0.4</v>
      </c>
      <c r="Q62" s="17">
        <v>7019.4</v>
      </c>
      <c r="R62" s="17">
        <v>0.9</v>
      </c>
      <c r="S62" s="17">
        <v>192551.42</v>
      </c>
      <c r="T62" s="17">
        <v>2.2000000000000002</v>
      </c>
      <c r="U62" s="17">
        <v>1658047.94</v>
      </c>
      <c r="V62" s="17">
        <v>2.9</v>
      </c>
      <c r="W62" s="17">
        <v>10411.76</v>
      </c>
      <c r="X62" s="17">
        <v>4.8</v>
      </c>
    </row>
    <row r="63" spans="1:24" x14ac:dyDescent="0.25">
      <c r="A63" s="23">
        <f t="shared" si="0"/>
        <v>9.3425925922929309E-2</v>
      </c>
      <c r="B63" s="8" t="s">
        <v>193</v>
      </c>
      <c r="C63" s="8" t="b">
        <v>0</v>
      </c>
      <c r="D63" s="8" t="s">
        <v>194</v>
      </c>
      <c r="E63" s="11">
        <v>45246.573611111111</v>
      </c>
      <c r="F63" s="8" t="s">
        <v>0</v>
      </c>
      <c r="G63" s="8"/>
      <c r="H63" s="8" t="s">
        <v>195</v>
      </c>
      <c r="I63" s="17">
        <v>209916.93</v>
      </c>
      <c r="J63" s="17">
        <v>1.2</v>
      </c>
      <c r="K63" s="17">
        <v>4794726.8</v>
      </c>
      <c r="L63" s="17">
        <v>3.6</v>
      </c>
      <c r="M63" s="17">
        <v>17414355.16</v>
      </c>
      <c r="N63" s="17">
        <v>1.4</v>
      </c>
      <c r="O63" s="17">
        <v>442528.13</v>
      </c>
      <c r="P63" s="17">
        <v>1.2</v>
      </c>
      <c r="Q63" s="17">
        <v>8171.34</v>
      </c>
      <c r="R63" s="17">
        <v>1.5</v>
      </c>
      <c r="S63" s="17">
        <v>196048.52</v>
      </c>
      <c r="T63" s="17">
        <v>2.1</v>
      </c>
      <c r="U63" s="17">
        <v>1691485.24</v>
      </c>
      <c r="V63" s="17">
        <v>2.6</v>
      </c>
      <c r="W63" s="17">
        <v>10301.36</v>
      </c>
      <c r="X63" s="17">
        <v>3.5</v>
      </c>
    </row>
    <row r="64" spans="1:24" x14ac:dyDescent="0.25">
      <c r="A64" s="23">
        <f t="shared" si="0"/>
        <v>9.4606481477967463E-2</v>
      </c>
      <c r="B64" s="8" t="s">
        <v>196</v>
      </c>
      <c r="C64" s="8" t="b">
        <v>0</v>
      </c>
      <c r="D64" s="8" t="s">
        <v>197</v>
      </c>
      <c r="E64" s="11">
        <v>45246.574791666666</v>
      </c>
      <c r="F64" s="8" t="s">
        <v>0</v>
      </c>
      <c r="G64" s="8"/>
      <c r="H64" s="8" t="s">
        <v>94</v>
      </c>
      <c r="I64" s="17">
        <v>2211.17</v>
      </c>
      <c r="J64" s="17">
        <v>6.7</v>
      </c>
      <c r="K64" s="17">
        <v>7272.23</v>
      </c>
      <c r="L64" s="17">
        <v>6.8</v>
      </c>
      <c r="M64" s="17">
        <v>179488.82</v>
      </c>
      <c r="N64" s="17">
        <v>1.5</v>
      </c>
      <c r="O64" s="17">
        <v>4961.03</v>
      </c>
      <c r="P64" s="17">
        <v>8.4</v>
      </c>
      <c r="Q64" s="17">
        <v>76.67</v>
      </c>
      <c r="R64" s="17">
        <v>7.6</v>
      </c>
      <c r="S64" s="17">
        <v>188001.7</v>
      </c>
      <c r="T64" s="17">
        <v>3.8</v>
      </c>
      <c r="U64" s="17">
        <v>1646761.64</v>
      </c>
      <c r="V64" s="17">
        <v>4.2</v>
      </c>
      <c r="W64" s="17">
        <v>9607.42</v>
      </c>
      <c r="X64" s="17">
        <v>4.0999999999999996</v>
      </c>
    </row>
    <row r="65" spans="1:24" x14ac:dyDescent="0.25">
      <c r="A65" s="23">
        <f t="shared" si="0"/>
        <v>9.5740740740438923E-2</v>
      </c>
      <c r="B65" s="8" t="s">
        <v>198</v>
      </c>
      <c r="C65" s="8" t="b">
        <v>0</v>
      </c>
      <c r="D65" s="8" t="s">
        <v>199</v>
      </c>
      <c r="E65" s="11">
        <v>45246.575925925928</v>
      </c>
      <c r="F65" s="8" t="s">
        <v>0</v>
      </c>
      <c r="G65" s="8"/>
      <c r="H65" s="8" t="s">
        <v>97</v>
      </c>
      <c r="I65" s="17">
        <v>55767.7</v>
      </c>
      <c r="J65" s="17">
        <v>4.7</v>
      </c>
      <c r="K65" s="17">
        <v>1072462.33</v>
      </c>
      <c r="L65" s="17">
        <v>4.7</v>
      </c>
      <c r="M65" s="17">
        <v>1787597.01</v>
      </c>
      <c r="N65" s="17">
        <v>4.2</v>
      </c>
      <c r="O65" s="17">
        <v>44582.73</v>
      </c>
      <c r="P65" s="17">
        <v>4.3</v>
      </c>
      <c r="Q65" s="17">
        <v>279207.51</v>
      </c>
      <c r="R65" s="17">
        <v>4.5</v>
      </c>
      <c r="S65" s="17">
        <v>191833.94</v>
      </c>
      <c r="T65" s="17">
        <v>28.1</v>
      </c>
      <c r="U65" s="17">
        <v>1642997.11</v>
      </c>
      <c r="V65" s="17">
        <v>32</v>
      </c>
      <c r="W65" s="17">
        <v>9347.14</v>
      </c>
      <c r="X65" s="17">
        <v>21.7</v>
      </c>
    </row>
    <row r="66" spans="1:24" x14ac:dyDescent="0.25">
      <c r="A66" s="23">
        <f t="shared" si="0"/>
        <v>9.6874999995634425E-2</v>
      </c>
      <c r="B66" s="8" t="s">
        <v>200</v>
      </c>
      <c r="C66" s="8" t="b">
        <v>0</v>
      </c>
      <c r="D66" s="8" t="s">
        <v>201</v>
      </c>
      <c r="E66" s="11">
        <v>45246.577060185184</v>
      </c>
      <c r="F66" s="8" t="s">
        <v>0</v>
      </c>
      <c r="G66" s="8"/>
      <c r="H66" s="8" t="s">
        <v>202</v>
      </c>
      <c r="I66" s="17">
        <v>1114982.54</v>
      </c>
      <c r="J66" s="17">
        <v>1.4</v>
      </c>
      <c r="K66" s="17">
        <v>12153659.82</v>
      </c>
      <c r="L66" s="17">
        <v>2</v>
      </c>
      <c r="M66" s="17">
        <v>66905372.329999998</v>
      </c>
      <c r="N66" s="17">
        <v>1.1000000000000001</v>
      </c>
      <c r="O66" s="17">
        <v>1708648.57</v>
      </c>
      <c r="P66" s="17">
        <v>1.3</v>
      </c>
      <c r="Q66" s="17">
        <v>36935.300000000003</v>
      </c>
      <c r="R66" s="17">
        <v>1.5</v>
      </c>
      <c r="S66" s="17">
        <v>199047.63</v>
      </c>
      <c r="T66" s="17">
        <v>2.2000000000000002</v>
      </c>
      <c r="U66" s="17">
        <v>1711979.04</v>
      </c>
      <c r="V66" s="17">
        <v>2.2000000000000002</v>
      </c>
      <c r="W66" s="17">
        <v>10494.6</v>
      </c>
      <c r="X66" s="17">
        <v>2.2000000000000002</v>
      </c>
    </row>
    <row r="67" spans="1:24" x14ac:dyDescent="0.25">
      <c r="A67" s="23">
        <f t="shared" si="0"/>
        <v>9.7997685181326233E-2</v>
      </c>
      <c r="B67" s="8" t="s">
        <v>203</v>
      </c>
      <c r="C67" s="8" t="b">
        <v>0</v>
      </c>
      <c r="D67" s="8" t="s">
        <v>204</v>
      </c>
      <c r="E67" s="11">
        <v>45246.578182870369</v>
      </c>
      <c r="F67" s="8" t="s">
        <v>0</v>
      </c>
      <c r="G67" s="8"/>
      <c r="H67" s="8" t="s">
        <v>205</v>
      </c>
      <c r="I67" s="17">
        <v>43674.400000000001</v>
      </c>
      <c r="J67" s="17">
        <v>2.8</v>
      </c>
      <c r="K67" s="17">
        <v>1121863.6799999999</v>
      </c>
      <c r="L67" s="17">
        <v>1.6</v>
      </c>
      <c r="M67" s="17">
        <v>1559635.29</v>
      </c>
      <c r="N67" s="17">
        <v>1</v>
      </c>
      <c r="O67" s="17">
        <v>39381.31</v>
      </c>
      <c r="P67" s="17">
        <v>1.7</v>
      </c>
      <c r="Q67" s="17">
        <v>828.36</v>
      </c>
      <c r="R67" s="17">
        <v>1.5</v>
      </c>
      <c r="S67" s="17">
        <v>196743.36</v>
      </c>
      <c r="T67" s="17">
        <v>3.6</v>
      </c>
      <c r="U67" s="17">
        <v>1703670.96</v>
      </c>
      <c r="V67" s="17">
        <v>2.2999999999999998</v>
      </c>
      <c r="W67" s="17">
        <v>9590.4699999999993</v>
      </c>
      <c r="X67" s="17">
        <v>2.1</v>
      </c>
    </row>
    <row r="68" spans="1:24" x14ac:dyDescent="0.25">
      <c r="A68" s="23">
        <f t="shared" si="0"/>
        <v>9.9178240736364387E-2</v>
      </c>
      <c r="B68" s="8" t="s">
        <v>206</v>
      </c>
      <c r="C68" s="8" t="b">
        <v>0</v>
      </c>
      <c r="D68" s="8" t="s">
        <v>207</v>
      </c>
      <c r="E68" s="11">
        <v>45246.579363425924</v>
      </c>
      <c r="F68" s="8" t="s">
        <v>0</v>
      </c>
      <c r="G68" s="8"/>
      <c r="H68" s="8" t="s">
        <v>208</v>
      </c>
      <c r="I68" s="17">
        <v>458195.19</v>
      </c>
      <c r="J68" s="17">
        <v>1.4</v>
      </c>
      <c r="K68" s="17">
        <v>19527969.289999999</v>
      </c>
      <c r="L68" s="17">
        <v>1.6</v>
      </c>
      <c r="M68" s="17">
        <v>58695175.789999999</v>
      </c>
      <c r="N68" s="17">
        <v>1.1000000000000001</v>
      </c>
      <c r="O68" s="17">
        <v>1497035.86</v>
      </c>
      <c r="P68" s="17">
        <v>1.5</v>
      </c>
      <c r="Q68" s="17">
        <v>30868.39</v>
      </c>
      <c r="R68" s="17">
        <v>0.7</v>
      </c>
      <c r="S68" s="17">
        <v>197496.38</v>
      </c>
      <c r="T68" s="17">
        <v>2.7</v>
      </c>
      <c r="U68" s="17">
        <v>1733122.58</v>
      </c>
      <c r="V68" s="17">
        <v>2.2999999999999998</v>
      </c>
      <c r="W68" s="17">
        <v>10461.31</v>
      </c>
      <c r="X68" s="17">
        <v>3.8</v>
      </c>
    </row>
    <row r="69" spans="1:24" x14ac:dyDescent="0.25">
      <c r="A69" s="23">
        <f t="shared" si="0"/>
        <v>0.10030092592205619</v>
      </c>
      <c r="B69" s="8" t="s">
        <v>209</v>
      </c>
      <c r="C69" s="8" t="b">
        <v>0</v>
      </c>
      <c r="D69" s="8" t="s">
        <v>210</v>
      </c>
      <c r="E69" s="11">
        <v>45246.58048611111</v>
      </c>
      <c r="F69" s="8" t="s">
        <v>0</v>
      </c>
      <c r="G69" s="8"/>
      <c r="H69" s="8" t="s">
        <v>211</v>
      </c>
      <c r="I69" s="17">
        <v>468353.4</v>
      </c>
      <c r="J69" s="17">
        <v>1.3</v>
      </c>
      <c r="K69" s="17">
        <v>2866866.31</v>
      </c>
      <c r="L69" s="17">
        <v>3.4</v>
      </c>
      <c r="M69" s="17">
        <v>38082702.770000003</v>
      </c>
      <c r="N69" s="17">
        <v>1</v>
      </c>
      <c r="O69" s="17">
        <v>960077.72</v>
      </c>
      <c r="P69" s="17">
        <v>1.5</v>
      </c>
      <c r="Q69" s="17">
        <v>56806.76</v>
      </c>
      <c r="R69" s="17">
        <v>1.1000000000000001</v>
      </c>
      <c r="S69" s="17">
        <v>201018.26</v>
      </c>
      <c r="T69" s="17">
        <v>2.1</v>
      </c>
      <c r="U69" s="17">
        <v>1742151.74</v>
      </c>
      <c r="V69" s="17">
        <v>2.2999999999999998</v>
      </c>
      <c r="W69" s="17">
        <v>10401.209999999999</v>
      </c>
      <c r="X69" s="17">
        <v>3.6</v>
      </c>
    </row>
    <row r="70" spans="1:24" x14ac:dyDescent="0.25">
      <c r="A70" s="23">
        <f t="shared" ref="A70:A86" si="1">(E70-$E$3)</f>
        <v>0.10144675925403135</v>
      </c>
      <c r="B70" s="8" t="s">
        <v>212</v>
      </c>
      <c r="C70" s="8" t="b">
        <v>0</v>
      </c>
      <c r="D70" s="8" t="s">
        <v>213</v>
      </c>
      <c r="E70" s="11">
        <v>45246.581631944442</v>
      </c>
      <c r="F70" s="8" t="s">
        <v>0</v>
      </c>
      <c r="G70" s="8"/>
      <c r="H70" s="8" t="s">
        <v>214</v>
      </c>
      <c r="I70" s="17">
        <v>1166364.42</v>
      </c>
      <c r="J70" s="17">
        <v>0.9</v>
      </c>
      <c r="K70" s="17">
        <v>1883667.26</v>
      </c>
      <c r="L70" s="17">
        <v>1.8</v>
      </c>
      <c r="M70" s="17">
        <v>99513045.180000007</v>
      </c>
      <c r="N70" s="17">
        <v>1.2</v>
      </c>
      <c r="O70" s="17">
        <v>2508071.89</v>
      </c>
      <c r="P70" s="17">
        <v>0.8</v>
      </c>
      <c r="Q70" s="17">
        <v>117241.79</v>
      </c>
      <c r="R70" s="17">
        <v>0.9</v>
      </c>
      <c r="S70" s="17">
        <v>201285.28</v>
      </c>
      <c r="T70" s="17">
        <v>3</v>
      </c>
      <c r="U70" s="17">
        <v>1746084.45</v>
      </c>
      <c r="V70" s="17">
        <v>2.7</v>
      </c>
      <c r="W70" s="17">
        <v>10454.51</v>
      </c>
      <c r="X70" s="17">
        <v>4.0999999999999996</v>
      </c>
    </row>
    <row r="71" spans="1:24" x14ac:dyDescent="0.25">
      <c r="A71" s="23">
        <f t="shared" si="1"/>
        <v>0.10255787037021946</v>
      </c>
      <c r="B71" s="8" t="s">
        <v>215</v>
      </c>
      <c r="C71" s="8" t="b">
        <v>0</v>
      </c>
      <c r="D71" s="8" t="s">
        <v>216</v>
      </c>
      <c r="E71" s="11">
        <v>45246.582743055558</v>
      </c>
      <c r="F71" s="8" t="s">
        <v>0</v>
      </c>
      <c r="G71" s="8"/>
      <c r="H71" s="8" t="s">
        <v>217</v>
      </c>
      <c r="I71" s="17">
        <v>265152.28000000003</v>
      </c>
      <c r="J71" s="17">
        <v>1.3</v>
      </c>
      <c r="K71" s="17">
        <v>2409732.83</v>
      </c>
      <c r="L71" s="17">
        <v>2.6</v>
      </c>
      <c r="M71" s="17">
        <v>30061852.890000001</v>
      </c>
      <c r="N71" s="17">
        <v>1.2</v>
      </c>
      <c r="O71" s="17">
        <v>754974.68</v>
      </c>
      <c r="P71" s="17">
        <v>1.2</v>
      </c>
      <c r="Q71" s="17">
        <v>12412.71</v>
      </c>
      <c r="R71" s="17">
        <v>2</v>
      </c>
      <c r="S71" s="17">
        <v>201933.85</v>
      </c>
      <c r="T71" s="17">
        <v>4.3</v>
      </c>
      <c r="U71" s="17">
        <v>1754612.01</v>
      </c>
      <c r="V71" s="17">
        <v>3.5</v>
      </c>
      <c r="W71" s="17">
        <v>10594.9</v>
      </c>
      <c r="X71" s="17">
        <v>2</v>
      </c>
    </row>
    <row r="72" spans="1:24" x14ac:dyDescent="0.25">
      <c r="A72" s="23">
        <f t="shared" si="1"/>
        <v>0.10373842592525762</v>
      </c>
      <c r="B72" s="8" t="s">
        <v>218</v>
      </c>
      <c r="C72" s="8" t="b">
        <v>0</v>
      </c>
      <c r="D72" s="8" t="s">
        <v>219</v>
      </c>
      <c r="E72" s="11">
        <v>45246.583923611113</v>
      </c>
      <c r="F72" s="8" t="s">
        <v>0</v>
      </c>
      <c r="G72" s="8"/>
      <c r="H72" s="8" t="s">
        <v>220</v>
      </c>
      <c r="I72" s="17">
        <v>231816.43</v>
      </c>
      <c r="J72" s="17">
        <v>1.3</v>
      </c>
      <c r="K72" s="17">
        <v>1251545.58</v>
      </c>
      <c r="L72" s="17">
        <v>0.6</v>
      </c>
      <c r="M72" s="17">
        <v>16679796.42</v>
      </c>
      <c r="N72" s="17">
        <v>0.9</v>
      </c>
      <c r="O72" s="17">
        <v>421290.85</v>
      </c>
      <c r="P72" s="17">
        <v>0.9</v>
      </c>
      <c r="Q72" s="17">
        <v>6778.29</v>
      </c>
      <c r="R72" s="17">
        <v>2.7</v>
      </c>
      <c r="S72" s="17">
        <v>200272.37</v>
      </c>
      <c r="T72" s="17">
        <v>1.6</v>
      </c>
      <c r="U72" s="17">
        <v>1741981.95</v>
      </c>
      <c r="V72" s="17">
        <v>2.9</v>
      </c>
      <c r="W72" s="17">
        <v>10160.94</v>
      </c>
      <c r="X72" s="17">
        <v>1.5</v>
      </c>
    </row>
    <row r="73" spans="1:24" x14ac:dyDescent="0.25">
      <c r="A73" s="23">
        <f t="shared" si="1"/>
        <v>0.10488425925723277</v>
      </c>
      <c r="B73" s="8" t="s">
        <v>221</v>
      </c>
      <c r="C73" s="8" t="b">
        <v>0</v>
      </c>
      <c r="D73" s="8" t="s">
        <v>222</v>
      </c>
      <c r="E73" s="11">
        <v>45246.585069444445</v>
      </c>
      <c r="F73" s="8" t="s">
        <v>0</v>
      </c>
      <c r="G73" s="8"/>
      <c r="H73" s="8" t="s">
        <v>223</v>
      </c>
      <c r="I73" s="17">
        <v>471872.95</v>
      </c>
      <c r="J73" s="17">
        <v>1.1000000000000001</v>
      </c>
      <c r="K73" s="17">
        <v>307016.26</v>
      </c>
      <c r="L73" s="17">
        <v>4.7</v>
      </c>
      <c r="M73" s="17">
        <v>49568234.259999998</v>
      </c>
      <c r="N73" s="17">
        <v>1.1000000000000001</v>
      </c>
      <c r="O73" s="17">
        <v>1249567.04</v>
      </c>
      <c r="P73" s="17">
        <v>0.8</v>
      </c>
      <c r="Q73" s="17">
        <v>4724.46</v>
      </c>
      <c r="R73" s="17">
        <v>2.2999999999999998</v>
      </c>
      <c r="S73" s="17">
        <v>203853.83</v>
      </c>
      <c r="T73" s="17">
        <v>4.3</v>
      </c>
      <c r="U73" s="17">
        <v>1766525.81</v>
      </c>
      <c r="V73" s="17">
        <v>4.5</v>
      </c>
      <c r="W73" s="17">
        <v>10247.67</v>
      </c>
      <c r="X73" s="17">
        <v>7.9</v>
      </c>
    </row>
    <row r="74" spans="1:24" x14ac:dyDescent="0.25">
      <c r="A74" s="23">
        <f t="shared" si="1"/>
        <v>0.10601851851242827</v>
      </c>
      <c r="B74" s="8" t="s">
        <v>224</v>
      </c>
      <c r="C74" s="8" t="b">
        <v>0</v>
      </c>
      <c r="D74" s="8" t="s">
        <v>225</v>
      </c>
      <c r="E74" s="11">
        <v>45246.5862037037</v>
      </c>
      <c r="F74" s="8" t="s">
        <v>0</v>
      </c>
      <c r="G74" s="8"/>
      <c r="H74" s="8" t="s">
        <v>226</v>
      </c>
      <c r="I74" s="17">
        <v>264642.5</v>
      </c>
      <c r="J74" s="17">
        <v>1.7</v>
      </c>
      <c r="K74" s="17">
        <v>458574.08000000002</v>
      </c>
      <c r="L74" s="17">
        <v>4.0999999999999996</v>
      </c>
      <c r="M74" s="17">
        <v>11151058.17</v>
      </c>
      <c r="N74" s="17">
        <v>1.6</v>
      </c>
      <c r="O74" s="17">
        <v>280772.8</v>
      </c>
      <c r="P74" s="17">
        <v>0.8</v>
      </c>
      <c r="Q74" s="17">
        <v>18196.86</v>
      </c>
      <c r="R74" s="17">
        <v>2.7</v>
      </c>
      <c r="S74" s="17">
        <v>202765.11</v>
      </c>
      <c r="T74" s="17">
        <v>4</v>
      </c>
      <c r="U74" s="17">
        <v>1763836.85</v>
      </c>
      <c r="V74" s="17">
        <v>4.0999999999999996</v>
      </c>
      <c r="W74" s="17">
        <v>10214.36</v>
      </c>
      <c r="X74" s="17">
        <v>8.1</v>
      </c>
    </row>
    <row r="75" spans="1:24" x14ac:dyDescent="0.25">
      <c r="A75" s="23">
        <f t="shared" si="1"/>
        <v>0.10715277777489973</v>
      </c>
      <c r="B75" s="8" t="s">
        <v>227</v>
      </c>
      <c r="C75" s="8" t="b">
        <v>0</v>
      </c>
      <c r="D75" s="8" t="s">
        <v>228</v>
      </c>
      <c r="E75" s="11">
        <v>45246.587337962963</v>
      </c>
      <c r="F75" s="8" t="s">
        <v>0</v>
      </c>
      <c r="G75" s="8"/>
      <c r="H75" s="8" t="s">
        <v>229</v>
      </c>
      <c r="I75" s="17">
        <v>157034.44</v>
      </c>
      <c r="J75" s="17">
        <v>1.1000000000000001</v>
      </c>
      <c r="K75" s="17">
        <v>131200.03</v>
      </c>
      <c r="L75" s="17">
        <v>1.7</v>
      </c>
      <c r="M75" s="17">
        <v>4516870.3499999996</v>
      </c>
      <c r="N75" s="17">
        <v>0.9</v>
      </c>
      <c r="O75" s="17">
        <v>113247.48</v>
      </c>
      <c r="P75" s="17">
        <v>0.1</v>
      </c>
      <c r="Q75" s="17">
        <v>2474.89</v>
      </c>
      <c r="R75" s="17">
        <v>1.1000000000000001</v>
      </c>
      <c r="S75" s="17">
        <v>202000.13</v>
      </c>
      <c r="T75" s="17">
        <v>2.6</v>
      </c>
      <c r="U75" s="17">
        <v>1724379.35</v>
      </c>
      <c r="V75" s="17">
        <v>2.5</v>
      </c>
      <c r="W75" s="17">
        <v>10528.22</v>
      </c>
      <c r="X75" s="17">
        <v>1.8</v>
      </c>
    </row>
    <row r="76" spans="1:24" x14ac:dyDescent="0.25">
      <c r="A76" s="23">
        <f t="shared" si="1"/>
        <v>0.10834490740671754</v>
      </c>
      <c r="B76" s="8" t="s">
        <v>230</v>
      </c>
      <c r="C76" s="8" t="b">
        <v>0</v>
      </c>
      <c r="D76" s="8" t="s">
        <v>231</v>
      </c>
      <c r="E76" s="11">
        <v>45246.588530092595</v>
      </c>
      <c r="F76" s="8" t="s">
        <v>0</v>
      </c>
      <c r="G76" s="8"/>
      <c r="H76" s="8" t="s">
        <v>232</v>
      </c>
      <c r="I76" s="17">
        <v>109361.55</v>
      </c>
      <c r="J76" s="17">
        <v>3</v>
      </c>
      <c r="K76" s="17">
        <v>157542.82</v>
      </c>
      <c r="L76" s="17">
        <v>3.9</v>
      </c>
      <c r="M76" s="17">
        <v>3495919.95</v>
      </c>
      <c r="N76" s="17">
        <v>2.2000000000000002</v>
      </c>
      <c r="O76" s="17">
        <v>88122.51</v>
      </c>
      <c r="P76" s="17">
        <v>2.7</v>
      </c>
      <c r="Q76" s="17">
        <v>12646.25</v>
      </c>
      <c r="R76" s="17">
        <v>0.8</v>
      </c>
      <c r="S76" s="17">
        <v>197643.47</v>
      </c>
      <c r="T76" s="17">
        <v>2.9</v>
      </c>
      <c r="U76" s="17">
        <v>1745395.86</v>
      </c>
      <c r="V76" s="17">
        <v>1.2</v>
      </c>
      <c r="W76" s="17">
        <v>9507.1299999999992</v>
      </c>
      <c r="X76" s="17">
        <v>2.2000000000000002</v>
      </c>
    </row>
    <row r="77" spans="1:24" x14ac:dyDescent="0.25">
      <c r="A77" s="23">
        <f t="shared" si="1"/>
        <v>0.10947916666191304</v>
      </c>
      <c r="B77" s="8" t="s">
        <v>233</v>
      </c>
      <c r="C77" s="8" t="b">
        <v>0</v>
      </c>
      <c r="D77" s="8" t="s">
        <v>234</v>
      </c>
      <c r="E77" s="11">
        <v>45246.58966435185</v>
      </c>
      <c r="F77" s="8" t="s">
        <v>0</v>
      </c>
      <c r="G77" s="8"/>
      <c r="H77" s="8" t="s">
        <v>235</v>
      </c>
      <c r="I77" s="17">
        <v>94960.31</v>
      </c>
      <c r="J77" s="17">
        <v>1.6</v>
      </c>
      <c r="K77" s="17">
        <v>72497.350000000006</v>
      </c>
      <c r="L77" s="17">
        <v>5.9</v>
      </c>
      <c r="M77" s="17">
        <v>482160.53</v>
      </c>
      <c r="N77" s="17">
        <v>2.2000000000000002</v>
      </c>
      <c r="O77" s="17">
        <v>11765.23</v>
      </c>
      <c r="P77" s="17">
        <v>5.9</v>
      </c>
      <c r="Q77" s="17">
        <v>895.03</v>
      </c>
      <c r="R77" s="17">
        <v>1.8</v>
      </c>
      <c r="S77" s="17">
        <v>199026.16</v>
      </c>
      <c r="T77" s="17">
        <v>3</v>
      </c>
      <c r="U77" s="17">
        <v>1750624.72</v>
      </c>
      <c r="V77" s="17">
        <v>2.8</v>
      </c>
      <c r="W77" s="17">
        <v>9870.9599999999991</v>
      </c>
      <c r="X77" s="17">
        <v>3.8</v>
      </c>
    </row>
    <row r="78" spans="1:24" x14ac:dyDescent="0.25">
      <c r="A78" s="23">
        <f t="shared" si="1"/>
        <v>0.1106134259243845</v>
      </c>
      <c r="B78" s="8" t="s">
        <v>236</v>
      </c>
      <c r="C78" s="8" t="b">
        <v>0</v>
      </c>
      <c r="D78" s="8" t="s">
        <v>237</v>
      </c>
      <c r="E78" s="11">
        <v>45246.590798611112</v>
      </c>
      <c r="F78" s="8" t="s">
        <v>0</v>
      </c>
      <c r="G78" s="8"/>
      <c r="H78" s="8" t="s">
        <v>238</v>
      </c>
      <c r="I78" s="17">
        <v>171069.99</v>
      </c>
      <c r="J78" s="17">
        <v>1.3</v>
      </c>
      <c r="K78" s="17">
        <v>404399.54</v>
      </c>
      <c r="L78" s="17">
        <v>3</v>
      </c>
      <c r="M78" s="17">
        <v>5681613.6699999999</v>
      </c>
      <c r="N78" s="17">
        <v>0.4</v>
      </c>
      <c r="O78" s="17">
        <v>142845.1</v>
      </c>
      <c r="P78" s="17">
        <v>2.6</v>
      </c>
      <c r="Q78" s="17">
        <v>2422.88</v>
      </c>
      <c r="R78" s="17">
        <v>1.8</v>
      </c>
      <c r="S78" s="17">
        <v>200186.8</v>
      </c>
      <c r="T78" s="17">
        <v>2.6</v>
      </c>
      <c r="U78" s="17">
        <v>1743629.45</v>
      </c>
      <c r="V78" s="17">
        <v>1.7</v>
      </c>
      <c r="W78" s="17">
        <v>10114.370000000001</v>
      </c>
      <c r="X78" s="17">
        <v>1.1000000000000001</v>
      </c>
    </row>
    <row r="79" spans="1:24" x14ac:dyDescent="0.25">
      <c r="A79" s="23">
        <f t="shared" si="1"/>
        <v>0.11174768517958</v>
      </c>
      <c r="B79" s="8" t="s">
        <v>239</v>
      </c>
      <c r="C79" s="8" t="b">
        <v>0</v>
      </c>
      <c r="D79" s="8" t="s">
        <v>240</v>
      </c>
      <c r="E79" s="11">
        <v>45246.591932870368</v>
      </c>
      <c r="F79" s="8" t="s">
        <v>0</v>
      </c>
      <c r="G79" s="8"/>
      <c r="H79" s="8" t="s">
        <v>241</v>
      </c>
      <c r="I79" s="17">
        <v>1426.08</v>
      </c>
      <c r="J79" s="17">
        <v>1.2</v>
      </c>
      <c r="K79" s="17">
        <v>13376.67</v>
      </c>
      <c r="L79" s="17">
        <v>5.6</v>
      </c>
      <c r="M79" s="17">
        <v>102736.51</v>
      </c>
      <c r="N79" s="17">
        <v>5.8</v>
      </c>
      <c r="O79" s="17">
        <v>3373.91</v>
      </c>
      <c r="P79" s="17">
        <v>10.1</v>
      </c>
      <c r="Q79" s="17">
        <v>79</v>
      </c>
      <c r="R79" s="17">
        <v>8.8000000000000007</v>
      </c>
      <c r="S79" s="17">
        <v>199169.21</v>
      </c>
      <c r="T79" s="17">
        <v>2.7</v>
      </c>
      <c r="U79" s="17">
        <v>1779022.84</v>
      </c>
      <c r="V79" s="17">
        <v>2</v>
      </c>
      <c r="W79" s="17">
        <v>9787.0300000000007</v>
      </c>
      <c r="X79" s="17">
        <v>10</v>
      </c>
    </row>
    <row r="80" spans="1:24" x14ac:dyDescent="0.25">
      <c r="A80" s="23">
        <f t="shared" si="1"/>
        <v>0.11293981481139781</v>
      </c>
      <c r="B80" s="8" t="s">
        <v>242</v>
      </c>
      <c r="C80" s="8" t="b">
        <v>0</v>
      </c>
      <c r="D80" s="8" t="s">
        <v>243</v>
      </c>
      <c r="E80" s="11">
        <v>45246.593124999999</v>
      </c>
      <c r="F80" s="8" t="s">
        <v>0</v>
      </c>
      <c r="G80" s="8"/>
      <c r="H80" s="8" t="s">
        <v>18</v>
      </c>
      <c r="I80" s="17">
        <v>3588.12</v>
      </c>
      <c r="J80" s="17">
        <v>1.6</v>
      </c>
      <c r="K80" s="17">
        <v>7108.65</v>
      </c>
      <c r="L80" s="17">
        <v>3.6</v>
      </c>
      <c r="M80" s="17">
        <v>184749.22</v>
      </c>
      <c r="N80" s="17">
        <v>5.5</v>
      </c>
      <c r="O80" s="17">
        <v>5081.08</v>
      </c>
      <c r="P80" s="17">
        <v>2.1</v>
      </c>
      <c r="Q80" s="17">
        <v>602.35</v>
      </c>
      <c r="R80" s="17">
        <v>5.2</v>
      </c>
      <c r="S80" s="17">
        <v>200405.89</v>
      </c>
      <c r="T80" s="17">
        <v>3.8</v>
      </c>
      <c r="U80" s="17">
        <v>1754948.15</v>
      </c>
      <c r="V80" s="17">
        <v>3.2</v>
      </c>
      <c r="W80" s="17">
        <v>10696.92</v>
      </c>
      <c r="X80" s="17">
        <v>5</v>
      </c>
    </row>
    <row r="81" spans="1:24" x14ac:dyDescent="0.25">
      <c r="A81" s="23">
        <f t="shared" si="1"/>
        <v>0.11407407407386927</v>
      </c>
      <c r="B81" s="8" t="s">
        <v>244</v>
      </c>
      <c r="C81" s="8" t="b">
        <v>0</v>
      </c>
      <c r="D81" s="8" t="s">
        <v>245</v>
      </c>
      <c r="E81" s="11">
        <v>45246.594259259262</v>
      </c>
      <c r="F81" s="8" t="s">
        <v>0</v>
      </c>
      <c r="G81" s="8"/>
      <c r="H81" s="8" t="s">
        <v>97</v>
      </c>
      <c r="I81" s="17">
        <v>55509.13</v>
      </c>
      <c r="J81" s="17">
        <v>2.7</v>
      </c>
      <c r="K81" s="17">
        <v>1051463.1599999999</v>
      </c>
      <c r="L81" s="17">
        <v>2.1</v>
      </c>
      <c r="M81" s="17">
        <v>1752843.73</v>
      </c>
      <c r="N81" s="17">
        <v>3.7</v>
      </c>
      <c r="O81" s="17">
        <v>44015.09</v>
      </c>
      <c r="P81" s="17">
        <v>4.3</v>
      </c>
      <c r="Q81" s="17">
        <v>273693.26</v>
      </c>
      <c r="R81" s="17">
        <v>2.2000000000000002</v>
      </c>
      <c r="S81" s="17">
        <v>202535.27</v>
      </c>
      <c r="T81" s="17">
        <v>3.4</v>
      </c>
      <c r="U81" s="17">
        <v>1744522.37</v>
      </c>
      <c r="V81" s="17">
        <v>3.3</v>
      </c>
      <c r="W81" s="17">
        <v>9403.7099999999991</v>
      </c>
      <c r="X81" s="17">
        <v>5.5</v>
      </c>
    </row>
    <row r="82" spans="1:24" x14ac:dyDescent="0.25">
      <c r="A82" s="23">
        <f t="shared" si="1"/>
        <v>0.11520833332906477</v>
      </c>
      <c r="B82" s="8" t="s">
        <v>49</v>
      </c>
      <c r="C82" s="8" t="b">
        <v>0</v>
      </c>
      <c r="D82" s="8" t="s">
        <v>50</v>
      </c>
      <c r="E82" s="11">
        <v>45246.595393518517</v>
      </c>
      <c r="F82" s="8" t="s">
        <v>26</v>
      </c>
      <c r="G82" s="8">
        <v>10</v>
      </c>
      <c r="H82" s="8" t="s">
        <v>51</v>
      </c>
      <c r="I82" s="17">
        <v>499922.79</v>
      </c>
      <c r="J82" s="17">
        <v>1.5</v>
      </c>
      <c r="K82" s="17">
        <v>10149657.140000001</v>
      </c>
      <c r="L82" s="17">
        <v>1.9</v>
      </c>
      <c r="M82" s="17">
        <v>147082961.13999999</v>
      </c>
      <c r="N82" s="17">
        <v>1.5</v>
      </c>
      <c r="O82" s="17">
        <v>3708582.55</v>
      </c>
      <c r="P82" s="17">
        <v>1.1000000000000001</v>
      </c>
      <c r="Q82" s="17">
        <v>27317422.670000002</v>
      </c>
      <c r="R82" s="17">
        <v>1.1000000000000001</v>
      </c>
      <c r="S82" s="17">
        <v>200714.18</v>
      </c>
      <c r="T82" s="17">
        <v>2.2999999999999998</v>
      </c>
      <c r="U82" s="17">
        <v>1697271.9</v>
      </c>
      <c r="V82" s="17">
        <v>1.7</v>
      </c>
      <c r="W82" s="17">
        <v>9387.18</v>
      </c>
      <c r="X82" s="17">
        <v>5.5</v>
      </c>
    </row>
    <row r="83" spans="1:24" x14ac:dyDescent="0.25">
      <c r="A83" s="23">
        <f t="shared" si="1"/>
        <v>0.11633101851475658</v>
      </c>
      <c r="B83" s="8" t="s">
        <v>52</v>
      </c>
      <c r="C83" s="8" t="b">
        <v>0</v>
      </c>
      <c r="D83" s="8" t="s">
        <v>53</v>
      </c>
      <c r="E83" s="11">
        <v>45246.596516203703</v>
      </c>
      <c r="F83" s="8" t="s">
        <v>26</v>
      </c>
      <c r="G83" s="8">
        <v>11</v>
      </c>
      <c r="H83" s="8" t="s">
        <v>54</v>
      </c>
      <c r="I83" s="17">
        <v>4255675.33</v>
      </c>
      <c r="J83" s="17">
        <v>0.5</v>
      </c>
      <c r="K83" s="17">
        <v>88454685.349999994</v>
      </c>
      <c r="L83" s="17">
        <v>0.8</v>
      </c>
      <c r="M83" s="17">
        <v>1266659874.46</v>
      </c>
      <c r="N83" s="17">
        <v>0.8</v>
      </c>
      <c r="O83" s="17">
        <v>31921012.02</v>
      </c>
      <c r="P83" s="17">
        <v>0.5</v>
      </c>
      <c r="Q83" s="17">
        <v>249936965.33000001</v>
      </c>
      <c r="R83" s="17">
        <v>0.7</v>
      </c>
      <c r="S83" s="17">
        <v>180908.09</v>
      </c>
      <c r="T83" s="17">
        <v>1.6</v>
      </c>
      <c r="U83" s="17">
        <v>1348858.31</v>
      </c>
      <c r="V83" s="17">
        <v>1.8</v>
      </c>
      <c r="W83" s="17">
        <v>8643.16</v>
      </c>
      <c r="X83" s="17">
        <v>2.6</v>
      </c>
    </row>
    <row r="84" spans="1:24" x14ac:dyDescent="0.25">
      <c r="A84" s="23">
        <f t="shared" si="1"/>
        <v>0.11753472221607808</v>
      </c>
      <c r="B84" s="8" t="s">
        <v>246</v>
      </c>
      <c r="C84" s="8" t="b">
        <v>0</v>
      </c>
      <c r="D84" s="8" t="s">
        <v>247</v>
      </c>
      <c r="E84" s="11">
        <v>45246.597719907404</v>
      </c>
      <c r="F84" s="8" t="s">
        <v>0</v>
      </c>
      <c r="G84" s="8"/>
      <c r="H84" s="8" t="s">
        <v>18</v>
      </c>
      <c r="I84" s="17">
        <v>1385.4</v>
      </c>
      <c r="J84" s="17">
        <v>7.8</v>
      </c>
      <c r="K84" s="17">
        <v>7865.73</v>
      </c>
      <c r="L84" s="17">
        <v>3.5</v>
      </c>
      <c r="M84" s="17">
        <v>195294.66</v>
      </c>
      <c r="N84" s="17">
        <v>2.2000000000000002</v>
      </c>
      <c r="O84" s="17">
        <v>5404.55</v>
      </c>
      <c r="P84" s="17">
        <v>5.4</v>
      </c>
      <c r="Q84" s="17">
        <v>26000.47</v>
      </c>
      <c r="R84" s="17">
        <v>2.2000000000000002</v>
      </c>
      <c r="S84" s="17">
        <v>198844.31</v>
      </c>
      <c r="T84" s="17">
        <v>3.1</v>
      </c>
      <c r="U84" s="17">
        <v>1831976.22</v>
      </c>
      <c r="V84" s="17">
        <v>2.6</v>
      </c>
      <c r="W84" s="17">
        <v>10484.790000000001</v>
      </c>
      <c r="X84" s="17">
        <v>9.1999999999999993</v>
      </c>
    </row>
    <row r="85" spans="1:24" x14ac:dyDescent="0.25">
      <c r="A85" s="23">
        <f t="shared" si="1"/>
        <v>0.11868055555532919</v>
      </c>
      <c r="B85" s="8" t="s">
        <v>248</v>
      </c>
      <c r="C85" s="8" t="b">
        <v>0</v>
      </c>
      <c r="D85" s="8" t="s">
        <v>249</v>
      </c>
      <c r="E85" s="11">
        <v>45246.598865740743</v>
      </c>
      <c r="F85" s="8" t="s">
        <v>0</v>
      </c>
      <c r="G85" s="8"/>
      <c r="H85" s="8" t="s">
        <v>18</v>
      </c>
      <c r="I85" s="17">
        <v>1239.06</v>
      </c>
      <c r="J85" s="17">
        <v>4.5</v>
      </c>
      <c r="K85" s="17">
        <v>4357.47</v>
      </c>
      <c r="L85" s="17">
        <v>1.5</v>
      </c>
      <c r="M85" s="17">
        <v>114440.64</v>
      </c>
      <c r="N85" s="17">
        <v>3.8</v>
      </c>
      <c r="O85" s="17">
        <v>3370.53</v>
      </c>
      <c r="P85" s="17">
        <v>5.8</v>
      </c>
      <c r="Q85" s="17">
        <v>9767</v>
      </c>
      <c r="R85" s="17">
        <v>1.2</v>
      </c>
      <c r="S85" s="17">
        <v>198456.42</v>
      </c>
      <c r="T85" s="17">
        <v>2.2999999999999998</v>
      </c>
      <c r="U85" s="17">
        <v>1855948.25</v>
      </c>
      <c r="V85" s="17">
        <v>2.1</v>
      </c>
      <c r="W85" s="17">
        <v>9874.17</v>
      </c>
      <c r="X85" s="17">
        <v>8.8000000000000007</v>
      </c>
    </row>
    <row r="86" spans="1:24" x14ac:dyDescent="0.25">
      <c r="A86" s="23">
        <f t="shared" si="1"/>
        <v>0.119803240741021</v>
      </c>
      <c r="B86" s="8" t="s">
        <v>250</v>
      </c>
      <c r="C86" s="8" t="b">
        <v>0</v>
      </c>
      <c r="D86" s="8" t="s">
        <v>251</v>
      </c>
      <c r="E86" s="11">
        <v>45246.599988425929</v>
      </c>
      <c r="F86" s="8" t="s">
        <v>0</v>
      </c>
      <c r="G86" s="8"/>
      <c r="H86" s="8" t="s">
        <v>18</v>
      </c>
      <c r="I86" s="17">
        <v>914.03</v>
      </c>
      <c r="J86" s="17">
        <v>6.7</v>
      </c>
      <c r="K86" s="17">
        <v>2650.33</v>
      </c>
      <c r="L86" s="17">
        <v>5.3</v>
      </c>
      <c r="M86" s="17">
        <v>84468.47</v>
      </c>
      <c r="N86" s="17">
        <v>5.3</v>
      </c>
      <c r="O86" s="17">
        <v>2303.6</v>
      </c>
      <c r="P86" s="17">
        <v>6.6</v>
      </c>
      <c r="Q86" s="17">
        <v>5710.81</v>
      </c>
      <c r="R86" s="17">
        <v>0.8</v>
      </c>
      <c r="S86" s="17">
        <v>200559.28</v>
      </c>
      <c r="T86" s="17">
        <v>3.3</v>
      </c>
      <c r="U86" s="17">
        <v>1821425.03</v>
      </c>
      <c r="V86" s="17">
        <v>4.0999999999999996</v>
      </c>
      <c r="W86" s="17">
        <v>9477.1200000000008</v>
      </c>
      <c r="X86" s="17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446D-A478-418A-9E11-2453A8317039}">
  <dimension ref="A1:N8"/>
  <sheetViews>
    <sheetView workbookViewId="0">
      <selection activeCell="G32" sqref="G32"/>
    </sheetView>
  </sheetViews>
  <sheetFormatPr defaultRowHeight="15" x14ac:dyDescent="0.25"/>
  <cols>
    <col min="1" max="1" width="15" customWidth="1"/>
    <col min="11" max="11" width="12.5703125" customWidth="1"/>
  </cols>
  <sheetData>
    <row r="1" spans="1:14" x14ac:dyDescent="0.25">
      <c r="A1" s="2" t="s">
        <v>301</v>
      </c>
    </row>
    <row r="2" spans="1:14" x14ac:dyDescent="0.25">
      <c r="A2" s="7" t="s">
        <v>302</v>
      </c>
      <c r="B2" s="7" t="s">
        <v>303</v>
      </c>
      <c r="C2" s="7" t="s">
        <v>304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</row>
    <row r="3" spans="1:14" x14ac:dyDescent="0.25">
      <c r="A3" s="7"/>
      <c r="B3" s="7"/>
      <c r="C3" s="7"/>
      <c r="D3" s="7" t="s">
        <v>311</v>
      </c>
      <c r="E3" s="7" t="s">
        <v>314</v>
      </c>
      <c r="F3" s="7" t="s">
        <v>312</v>
      </c>
      <c r="G3" s="7" t="s">
        <v>313</v>
      </c>
      <c r="H3" s="7" t="s">
        <v>315</v>
      </c>
      <c r="I3" s="7" t="s">
        <v>316</v>
      </c>
      <c r="J3" s="7" t="s">
        <v>317</v>
      </c>
      <c r="K3" s="7" t="s">
        <v>310</v>
      </c>
      <c r="L3" s="7" t="s">
        <v>309</v>
      </c>
      <c r="M3" s="7" t="s">
        <v>308</v>
      </c>
      <c r="N3" s="7" t="s">
        <v>307</v>
      </c>
    </row>
    <row r="4" spans="1:14" x14ac:dyDescent="0.25">
      <c r="A4" s="30" t="s">
        <v>298</v>
      </c>
      <c r="B4" s="8">
        <v>55</v>
      </c>
      <c r="C4" s="8" t="s">
        <v>305</v>
      </c>
      <c r="D4" s="8">
        <v>0</v>
      </c>
      <c r="E4" s="8">
        <v>0.5</v>
      </c>
      <c r="F4" s="8">
        <v>1</v>
      </c>
      <c r="G4" s="8">
        <v>5</v>
      </c>
      <c r="H4" s="8">
        <v>10</v>
      </c>
      <c r="I4" s="8">
        <v>50</v>
      </c>
      <c r="J4" s="8">
        <v>100</v>
      </c>
      <c r="K4" s="8">
        <v>500</v>
      </c>
      <c r="L4" s="8">
        <v>1000</v>
      </c>
      <c r="M4" s="8"/>
      <c r="N4" s="8"/>
    </row>
    <row r="5" spans="1:14" x14ac:dyDescent="0.25">
      <c r="A5" s="33" t="s">
        <v>299</v>
      </c>
      <c r="B5" s="8">
        <v>75</v>
      </c>
      <c r="C5" s="8" t="s">
        <v>305</v>
      </c>
      <c r="D5" s="8">
        <v>0</v>
      </c>
      <c r="E5" s="8">
        <v>0.5</v>
      </c>
      <c r="F5" s="8">
        <v>1</v>
      </c>
      <c r="G5" s="8">
        <v>5</v>
      </c>
      <c r="H5" s="8">
        <v>10</v>
      </c>
      <c r="I5" s="8">
        <v>50</v>
      </c>
      <c r="J5" s="8">
        <v>100</v>
      </c>
      <c r="K5" s="8">
        <v>500</v>
      </c>
      <c r="L5" s="8">
        <v>1000</v>
      </c>
      <c r="M5" s="8"/>
      <c r="N5" s="8"/>
    </row>
    <row r="6" spans="1:14" x14ac:dyDescent="0.25">
      <c r="A6" s="35" t="s">
        <v>300</v>
      </c>
      <c r="B6" s="8">
        <v>27</v>
      </c>
      <c r="C6" s="8" t="s">
        <v>305</v>
      </c>
      <c r="D6" s="8">
        <v>0</v>
      </c>
      <c r="E6" s="8">
        <v>0.5</v>
      </c>
      <c r="F6" s="8">
        <v>1</v>
      </c>
      <c r="G6" s="8">
        <v>5</v>
      </c>
      <c r="H6" s="8">
        <v>10</v>
      </c>
      <c r="I6" s="8">
        <v>50</v>
      </c>
      <c r="J6" s="8">
        <v>100</v>
      </c>
      <c r="K6" s="8">
        <v>500</v>
      </c>
      <c r="L6" s="8">
        <v>1000</v>
      </c>
      <c r="M6" s="8">
        <v>1000</v>
      </c>
      <c r="N6" s="8">
        <v>10000</v>
      </c>
    </row>
    <row r="7" spans="1:14" x14ac:dyDescent="0.25">
      <c r="A7" s="37" t="s">
        <v>306</v>
      </c>
      <c r="B7" s="8">
        <v>56</v>
      </c>
      <c r="C7" s="8" t="s">
        <v>305</v>
      </c>
      <c r="D7" s="8">
        <v>0</v>
      </c>
      <c r="E7" s="8">
        <v>0.5</v>
      </c>
      <c r="F7" s="8">
        <v>1</v>
      </c>
      <c r="G7" s="8">
        <v>5</v>
      </c>
      <c r="H7" s="8">
        <v>10</v>
      </c>
      <c r="I7" s="8">
        <v>50</v>
      </c>
      <c r="J7" s="8">
        <v>100</v>
      </c>
      <c r="K7" s="8">
        <v>500</v>
      </c>
      <c r="L7" s="8">
        <v>1000</v>
      </c>
      <c r="M7" s="8">
        <v>10000</v>
      </c>
      <c r="N7" s="8">
        <v>100000</v>
      </c>
    </row>
    <row r="8" spans="1:14" x14ac:dyDescent="0.25">
      <c r="A8" s="39" t="s">
        <v>306</v>
      </c>
      <c r="B8" s="8">
        <v>57</v>
      </c>
      <c r="C8" s="8" t="s">
        <v>305</v>
      </c>
      <c r="D8" s="8">
        <v>0</v>
      </c>
      <c r="E8" s="8">
        <v>0.5</v>
      </c>
      <c r="F8" s="8">
        <v>1</v>
      </c>
      <c r="G8" s="8">
        <v>5</v>
      </c>
      <c r="H8" s="8">
        <v>10</v>
      </c>
      <c r="I8" s="8">
        <v>50</v>
      </c>
      <c r="J8" s="8">
        <v>100</v>
      </c>
      <c r="K8" s="8">
        <v>500</v>
      </c>
      <c r="L8" s="8">
        <v>1000</v>
      </c>
      <c r="M8" s="8">
        <v>10000</v>
      </c>
      <c r="N8" s="8">
        <v>100000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A19B-2595-407E-A9EB-29350F14AE60}">
  <dimension ref="A1:AD86"/>
  <sheetViews>
    <sheetView workbookViewId="0"/>
  </sheetViews>
  <sheetFormatPr defaultRowHeight="15" x14ac:dyDescent="0.25"/>
  <cols>
    <col min="1" max="1" width="9.140625" style="24"/>
    <col min="5" max="5" width="19.5703125" style="1" customWidth="1"/>
    <col min="9" max="9" width="12.28515625" bestFit="1" customWidth="1"/>
    <col min="10" max="10" width="11.5703125" bestFit="1" customWidth="1"/>
    <col min="11" max="12" width="11.85546875" bestFit="1" customWidth="1"/>
    <col min="13" max="13" width="7.42578125" bestFit="1" customWidth="1"/>
    <col min="14" max="14" width="13.140625" bestFit="1" customWidth="1"/>
    <col min="15" max="15" width="12.5703125" bestFit="1" customWidth="1"/>
    <col min="16" max="16" width="12.140625" bestFit="1" customWidth="1"/>
    <col min="17" max="17" width="12.28515625" bestFit="1" customWidth="1"/>
    <col min="18" max="18" width="7.42578125" bestFit="1" customWidth="1"/>
    <col min="19" max="19" width="10.85546875" bestFit="1" customWidth="1"/>
    <col min="20" max="21" width="9.7109375" bestFit="1" customWidth="1"/>
    <col min="22" max="22" width="9" bestFit="1" customWidth="1"/>
    <col min="23" max="23" width="7.42578125" bestFit="1" customWidth="1"/>
    <col min="27" max="27" width="18.7109375" customWidth="1"/>
    <col min="28" max="28" width="12.28515625" bestFit="1" customWidth="1"/>
    <col min="29" max="29" width="13.5703125" bestFit="1" customWidth="1"/>
    <col min="30" max="30" width="10.28515625" bestFit="1" customWidth="1"/>
  </cols>
  <sheetData>
    <row r="1" spans="1:30" s="2" customFormat="1" x14ac:dyDescent="0.25">
      <c r="A1" s="25"/>
      <c r="B1" s="7" t="str">
        <f>Alex_ITSD_count_data!B1</f>
        <v>Sample</v>
      </c>
      <c r="C1" s="7"/>
      <c r="D1" s="7"/>
      <c r="E1" s="10"/>
      <c r="F1" s="7"/>
      <c r="G1" s="7"/>
      <c r="H1" s="7"/>
      <c r="I1" s="4" t="str">
        <f>Alex_ITSD_count_data!S1</f>
        <v xml:space="preserve">45  Sc ( ISTD )  [ He ] </v>
      </c>
      <c r="J1" s="4"/>
      <c r="K1" s="4"/>
      <c r="L1" s="4"/>
      <c r="M1" s="4"/>
      <c r="N1" s="5" t="str">
        <f>Alex_ITSD_count_data!U1</f>
        <v xml:space="preserve">103  Rh ( ISTD )  [ He ] </v>
      </c>
      <c r="O1" s="5"/>
      <c r="P1" s="5"/>
      <c r="Q1" s="5"/>
      <c r="R1" s="5"/>
      <c r="S1" s="6" t="str">
        <f>Alex_ITSD_count_data!W1</f>
        <v xml:space="preserve">193  Ir ( ISTD )  [ He ] </v>
      </c>
      <c r="T1" s="6"/>
      <c r="U1" s="6"/>
      <c r="V1" s="6"/>
      <c r="W1" s="6"/>
      <c r="AA1" s="3" t="s">
        <v>262</v>
      </c>
      <c r="AB1" s="4" t="s">
        <v>253</v>
      </c>
      <c r="AC1" s="5" t="s">
        <v>254</v>
      </c>
      <c r="AD1" s="6" t="s">
        <v>255</v>
      </c>
    </row>
    <row r="2" spans="1:30" s="2" customFormat="1" x14ac:dyDescent="0.25">
      <c r="A2" s="22" t="str">
        <f>Alex_ITSD_count_data!A2</f>
        <v>Number</v>
      </c>
      <c r="B2" s="7"/>
      <c r="C2" s="7" t="str">
        <f>Alex_ITSD_count_data!C2</f>
        <v>Rjct</v>
      </c>
      <c r="D2" s="7" t="str">
        <f>Alex_ITSD_count_data!D2</f>
        <v>Data File</v>
      </c>
      <c r="E2" s="10" t="str">
        <f>Alex_ITSD_count_data!E2</f>
        <v>Acq. Date-Time</v>
      </c>
      <c r="F2" s="7" t="str">
        <f>Alex_ITSD_count_data!F2</f>
        <v>Type</v>
      </c>
      <c r="G2" s="7" t="str">
        <f>Alex_ITSD_count_data!G2</f>
        <v>Level</v>
      </c>
      <c r="H2" s="7" t="str">
        <f>Alex_ITSD_count_data!H2</f>
        <v>Sample Name</v>
      </c>
      <c r="I2" s="4" t="str">
        <f>Alex_ITSD_count_data!S2</f>
        <v>CPS</v>
      </c>
      <c r="J2" s="9" t="str">
        <f>$AA$2</f>
        <v>Mean</v>
      </c>
      <c r="K2" s="9" t="str">
        <f>$AA$4</f>
        <v>120%Mean</v>
      </c>
      <c r="L2" s="9" t="str">
        <f>$AA$5</f>
        <v>80%Mean</v>
      </c>
      <c r="M2" s="4" t="str">
        <f>Alex_ITSD_count_data!T2</f>
        <v>CPS RSD</v>
      </c>
      <c r="N2" s="5" t="str">
        <f>Alex_ITSD_count_data!U2</f>
        <v>CPS</v>
      </c>
      <c r="O2" s="9" t="str">
        <f>$AA$2</f>
        <v>Mean</v>
      </c>
      <c r="P2" s="9" t="str">
        <f>$AA$4</f>
        <v>120%Mean</v>
      </c>
      <c r="Q2" s="9" t="str">
        <f>$AA$5</f>
        <v>80%Mean</v>
      </c>
      <c r="R2" s="5" t="str">
        <f>Alex_ITSD_count_data!V2</f>
        <v>CPS RSD</v>
      </c>
      <c r="S2" s="6" t="str">
        <f>Alex_ITSD_count_data!W2</f>
        <v>CPS</v>
      </c>
      <c r="T2" s="9" t="str">
        <f>$AA$2</f>
        <v>Mean</v>
      </c>
      <c r="U2" s="9" t="str">
        <f>$AA$4</f>
        <v>120%Mean</v>
      </c>
      <c r="V2" s="9" t="str">
        <f>$AA$5</f>
        <v>80%Mean</v>
      </c>
      <c r="W2" s="6" t="str">
        <f>Alex_ITSD_count_data!X2</f>
        <v>CPS RSD</v>
      </c>
      <c r="AA2" s="9" t="s">
        <v>256</v>
      </c>
      <c r="AB2" s="17">
        <f>AVERAGE(I3:I86)</f>
        <v>125782.00142857141</v>
      </c>
      <c r="AC2" s="17">
        <f>AVERAGE(N3:N86)</f>
        <v>1075846.0467857143</v>
      </c>
      <c r="AD2" s="17">
        <f>AVERAGE(S3:S86)</f>
        <v>6943.5592857142865</v>
      </c>
    </row>
    <row r="3" spans="1:30" x14ac:dyDescent="0.25">
      <c r="A3" s="23">
        <f>Alex_ITSD_count_data!A3</f>
        <v>0</v>
      </c>
      <c r="B3" s="8"/>
      <c r="C3" s="8" t="b">
        <f>Alex_ITSD_count_data!C3</f>
        <v>0</v>
      </c>
      <c r="D3" s="8" t="str">
        <f>Alex_ITSD_count_data!D3</f>
        <v>001SMPL.d</v>
      </c>
      <c r="E3" s="11">
        <f>Alex_ITSD_count_data!E3</f>
        <v>45246.480185185188</v>
      </c>
      <c r="F3" s="8" t="str">
        <f>Alex_ITSD_count_data!F3</f>
        <v>Sample</v>
      </c>
      <c r="G3" s="8">
        <f>Alex_ITSD_count_data!G3</f>
        <v>0</v>
      </c>
      <c r="H3" s="8" t="str">
        <f>Alex_ITSD_count_data!H3</f>
        <v>blk</v>
      </c>
      <c r="I3" s="17">
        <f>Alex_ITSD_count_data!S3</f>
        <v>33.33</v>
      </c>
      <c r="J3" s="17">
        <f t="shared" ref="J3:J34" si="0">$AB$2</f>
        <v>125782.00142857141</v>
      </c>
      <c r="K3" s="17">
        <f t="shared" ref="K3:K34" si="1">$AB$4</f>
        <v>150938.40171428569</v>
      </c>
      <c r="L3" s="17">
        <f t="shared" ref="L3:L34" si="2">$AB$5</f>
        <v>100625.60114285714</v>
      </c>
      <c r="M3" s="17">
        <f>Alex_ITSD_count_data!T3</f>
        <v>69.3</v>
      </c>
      <c r="N3" s="17">
        <f>Alex_ITSD_count_data!U3</f>
        <v>110.01</v>
      </c>
      <c r="O3" s="17">
        <f t="shared" ref="O3:O34" si="3">$AC$2</f>
        <v>1075846.0467857143</v>
      </c>
      <c r="P3" s="17">
        <f t="shared" ref="P3:P34" si="4">$AC$4</f>
        <v>1291015.2561428573</v>
      </c>
      <c r="Q3" s="17">
        <f t="shared" ref="Q3:Q34" si="5">$AC$5</f>
        <v>860676.83742857154</v>
      </c>
      <c r="R3" s="17">
        <f>Alex_ITSD_count_data!V3</f>
        <v>0</v>
      </c>
      <c r="S3" s="17">
        <f>Alex_ITSD_count_data!W3</f>
        <v>590.03</v>
      </c>
      <c r="T3" s="17">
        <f t="shared" ref="T3:T34" si="6">$AD$2</f>
        <v>6943.5592857142865</v>
      </c>
      <c r="U3" s="17">
        <f t="shared" ref="U3:U34" si="7">$AD$4</f>
        <v>8332.2711428571438</v>
      </c>
      <c r="V3" s="17">
        <f t="shared" ref="V3:V34" si="8">$AD$5</f>
        <v>5554.8474285714292</v>
      </c>
      <c r="W3" s="17">
        <f>Alex_ITSD_count_data!X3</f>
        <v>12.8</v>
      </c>
      <c r="AA3" s="7" t="s">
        <v>257</v>
      </c>
      <c r="AB3" s="17">
        <f>STDEV(I3:I86)</f>
        <v>72190.781597472946</v>
      </c>
      <c r="AC3" s="17">
        <f>STDEV(N3:N86)</f>
        <v>621204.64354903984</v>
      </c>
      <c r="AD3" s="17">
        <f>STDEV(S3:S86)</f>
        <v>3521.2595329015503</v>
      </c>
    </row>
    <row r="4" spans="1:30" x14ac:dyDescent="0.25">
      <c r="A4" s="23">
        <f>Alex_ITSD_count_data!A4</f>
        <v>1.1458333319751546E-3</v>
      </c>
      <c r="B4" s="8" t="str">
        <f>Alex_ITSD_count_data!B4</f>
        <v>56  Fe  [ He ] :  CPS RSD value = 5.02 is over the allowed maximum = 5.00</v>
      </c>
      <c r="C4" s="8" t="b">
        <f>Alex_ITSD_count_data!C4</f>
        <v>0</v>
      </c>
      <c r="D4" s="8" t="str">
        <f>Alex_ITSD_count_data!D4</f>
        <v>002SMPL.d</v>
      </c>
      <c r="E4" s="11">
        <f>Alex_ITSD_count_data!E4</f>
        <v>45246.48133101852</v>
      </c>
      <c r="F4" s="8" t="str">
        <f>Alex_ITSD_count_data!F4</f>
        <v>Sample</v>
      </c>
      <c r="G4" s="8">
        <f>Alex_ITSD_count_data!G4</f>
        <v>0</v>
      </c>
      <c r="H4" s="8" t="str">
        <f>Alex_ITSD_count_data!H4</f>
        <v>blk</v>
      </c>
      <c r="I4" s="17">
        <f>Alex_ITSD_count_data!S4</f>
        <v>46.67</v>
      </c>
      <c r="J4" s="17">
        <f t="shared" si="0"/>
        <v>125782.00142857141</v>
      </c>
      <c r="K4" s="17">
        <f t="shared" si="1"/>
        <v>150938.40171428569</v>
      </c>
      <c r="L4" s="17">
        <f t="shared" si="2"/>
        <v>100625.60114285714</v>
      </c>
      <c r="M4" s="17">
        <f>Alex_ITSD_count_data!T4</f>
        <v>53.9</v>
      </c>
      <c r="N4" s="17">
        <f>Alex_ITSD_count_data!U4</f>
        <v>140</v>
      </c>
      <c r="O4" s="17">
        <f t="shared" si="3"/>
        <v>1075846.0467857143</v>
      </c>
      <c r="P4" s="17">
        <f t="shared" si="4"/>
        <v>1291015.2561428573</v>
      </c>
      <c r="Q4" s="17">
        <f t="shared" si="5"/>
        <v>860676.83742857154</v>
      </c>
      <c r="R4" s="17">
        <f>Alex_ITSD_count_data!V4</f>
        <v>21.4</v>
      </c>
      <c r="S4" s="17">
        <f>Alex_ITSD_count_data!W4</f>
        <v>600.04</v>
      </c>
      <c r="T4" s="17">
        <f t="shared" si="6"/>
        <v>6943.5592857142865</v>
      </c>
      <c r="U4" s="17">
        <f t="shared" si="7"/>
        <v>8332.2711428571438</v>
      </c>
      <c r="V4" s="17">
        <f t="shared" si="8"/>
        <v>5554.8474285714292</v>
      </c>
      <c r="W4" s="17">
        <f>Alex_ITSD_count_data!X4</f>
        <v>10.1</v>
      </c>
      <c r="AA4" s="9" t="s">
        <v>258</v>
      </c>
      <c r="AB4" s="17">
        <f>1.2*AB2</f>
        <v>150938.40171428569</v>
      </c>
      <c r="AC4" s="17">
        <f t="shared" ref="AC4:AD4" si="9">1.2*AC2</f>
        <v>1291015.2561428573</v>
      </c>
      <c r="AD4" s="17">
        <f t="shared" si="9"/>
        <v>8332.2711428571438</v>
      </c>
    </row>
    <row r="5" spans="1:30" x14ac:dyDescent="0.25">
      <c r="A5" s="23">
        <f>Alex_ITSD_count_data!A5</f>
        <v>2.3263888870133087E-3</v>
      </c>
      <c r="B5" s="8"/>
      <c r="C5" s="8" t="b">
        <f>Alex_ITSD_count_data!C5</f>
        <v>0</v>
      </c>
      <c r="D5" s="8" t="str">
        <f>Alex_ITSD_count_data!D5</f>
        <v>003SMPL.d</v>
      </c>
      <c r="E5" s="11">
        <f>Alex_ITSD_count_data!E5</f>
        <v>45246.482511574075</v>
      </c>
      <c r="F5" s="8" t="str">
        <f>Alex_ITSD_count_data!F5</f>
        <v>Sample</v>
      </c>
      <c r="G5" s="8">
        <f>Alex_ITSD_count_data!G5</f>
        <v>0</v>
      </c>
      <c r="H5" s="8" t="str">
        <f>Alex_ITSD_count_data!H5</f>
        <v>blk</v>
      </c>
      <c r="I5" s="17">
        <f>Alex_ITSD_count_data!S5</f>
        <v>6288.22</v>
      </c>
      <c r="J5" s="17">
        <f t="shared" si="0"/>
        <v>125782.00142857141</v>
      </c>
      <c r="K5" s="17">
        <f t="shared" si="1"/>
        <v>150938.40171428569</v>
      </c>
      <c r="L5" s="17">
        <f t="shared" si="2"/>
        <v>100625.60114285714</v>
      </c>
      <c r="M5" s="17">
        <f>Alex_ITSD_count_data!T5</f>
        <v>3.6</v>
      </c>
      <c r="N5" s="17">
        <f>Alex_ITSD_count_data!U5</f>
        <v>54600.29</v>
      </c>
      <c r="O5" s="17">
        <f t="shared" si="3"/>
        <v>1075846.0467857143</v>
      </c>
      <c r="P5" s="17">
        <f t="shared" si="4"/>
        <v>1291015.2561428573</v>
      </c>
      <c r="Q5" s="17">
        <f t="shared" si="5"/>
        <v>860676.83742857154</v>
      </c>
      <c r="R5" s="17">
        <f>Alex_ITSD_count_data!V5</f>
        <v>0.4</v>
      </c>
      <c r="S5" s="17">
        <f>Alex_ITSD_count_data!W5</f>
        <v>1123.42</v>
      </c>
      <c r="T5" s="17">
        <f t="shared" si="6"/>
        <v>6943.5592857142865</v>
      </c>
      <c r="U5" s="17">
        <f t="shared" si="7"/>
        <v>8332.2711428571438</v>
      </c>
      <c r="V5" s="17">
        <f t="shared" si="8"/>
        <v>5554.8474285714292</v>
      </c>
      <c r="W5" s="17">
        <f>Alex_ITSD_count_data!X5</f>
        <v>3.1</v>
      </c>
      <c r="AA5" s="9" t="s">
        <v>259</v>
      </c>
      <c r="AB5" s="17">
        <f>0.8*AB2</f>
        <v>100625.60114285714</v>
      </c>
      <c r="AC5" s="17">
        <f t="shared" ref="AC5:AD5" si="10">0.8*AC2</f>
        <v>860676.83742857154</v>
      </c>
      <c r="AD5" s="17">
        <f t="shared" si="10"/>
        <v>5554.8474285714292</v>
      </c>
    </row>
    <row r="6" spans="1:30" x14ac:dyDescent="0.25">
      <c r="A6" s="23">
        <f>Alex_ITSD_count_data!A6</f>
        <v>3.4490740727051161E-3</v>
      </c>
      <c r="B6" s="8"/>
      <c r="C6" s="8" t="b">
        <f>Alex_ITSD_count_data!C6</f>
        <v>0</v>
      </c>
      <c r="D6" s="8" t="str">
        <f>Alex_ITSD_count_data!D6</f>
        <v>004CALB.d</v>
      </c>
      <c r="E6" s="11">
        <f>Alex_ITSD_count_data!E6</f>
        <v>45246.483634259261</v>
      </c>
      <c r="F6" s="8" t="str">
        <f>Alex_ITSD_count_data!F6</f>
        <v>CalBlk</v>
      </c>
      <c r="G6" s="8">
        <f>Alex_ITSD_count_data!G6</f>
        <v>1</v>
      </c>
      <c r="H6" s="8" t="str">
        <f>Alex_ITSD_count_data!H6</f>
        <v xml:space="preserve">0 ppb </v>
      </c>
      <c r="I6" s="17">
        <f>Alex_ITSD_count_data!S6</f>
        <v>2707.03</v>
      </c>
      <c r="J6" s="17">
        <f t="shared" si="0"/>
        <v>125782.00142857141</v>
      </c>
      <c r="K6" s="17">
        <f t="shared" si="1"/>
        <v>150938.40171428569</v>
      </c>
      <c r="L6" s="17">
        <f t="shared" si="2"/>
        <v>100625.60114285714</v>
      </c>
      <c r="M6" s="17">
        <f>Alex_ITSD_count_data!T6</f>
        <v>9</v>
      </c>
      <c r="N6" s="17">
        <f>Alex_ITSD_count_data!U6</f>
        <v>22608.86</v>
      </c>
      <c r="O6" s="17">
        <f t="shared" si="3"/>
        <v>1075846.0467857143</v>
      </c>
      <c r="P6" s="17">
        <f t="shared" si="4"/>
        <v>1291015.2561428573</v>
      </c>
      <c r="Q6" s="17">
        <f t="shared" si="5"/>
        <v>860676.83742857154</v>
      </c>
      <c r="R6" s="17">
        <f>Alex_ITSD_count_data!V6</f>
        <v>3.4</v>
      </c>
      <c r="S6" s="17">
        <f>Alex_ITSD_count_data!W6</f>
        <v>763.38</v>
      </c>
      <c r="T6" s="17">
        <f t="shared" si="6"/>
        <v>6943.5592857142865</v>
      </c>
      <c r="U6" s="17">
        <f t="shared" si="7"/>
        <v>8332.2711428571438</v>
      </c>
      <c r="V6" s="17">
        <f t="shared" si="8"/>
        <v>5554.8474285714292</v>
      </c>
      <c r="W6" s="17">
        <f>Alex_ITSD_count_data!X6</f>
        <v>9.5</v>
      </c>
      <c r="AA6" s="7" t="s">
        <v>260</v>
      </c>
      <c r="AB6" s="17">
        <f>AB3/AB2 * 100</f>
        <v>57.393570445345766</v>
      </c>
      <c r="AC6" s="17">
        <f t="shared" ref="AC6:AD6" si="11">AC3/AC2 * 100</f>
        <v>57.741035104883423</v>
      </c>
      <c r="AD6" s="17">
        <f t="shared" si="11"/>
        <v>50.712601246830388</v>
      </c>
    </row>
    <row r="7" spans="1:30" x14ac:dyDescent="0.25">
      <c r="A7" s="23">
        <f>Alex_ITSD_count_data!A7</f>
        <v>4.6180555509636179E-3</v>
      </c>
      <c r="B7" s="8"/>
      <c r="C7" s="8" t="b">
        <f>Alex_ITSD_count_data!C7</f>
        <v>0</v>
      </c>
      <c r="D7" s="8" t="str">
        <f>Alex_ITSD_count_data!D7</f>
        <v>005CALS.d</v>
      </c>
      <c r="E7" s="11">
        <f>Alex_ITSD_count_data!E7</f>
        <v>45246.484803240739</v>
      </c>
      <c r="F7" s="8" t="str">
        <f>Alex_ITSD_count_data!F7</f>
        <v>CalStd</v>
      </c>
      <c r="G7" s="8">
        <f>Alex_ITSD_count_data!G7</f>
        <v>2</v>
      </c>
      <c r="H7" s="8" t="str">
        <f>Alex_ITSD_count_data!H7</f>
        <v>0.5 ppb m16 + Al</v>
      </c>
      <c r="I7" s="17">
        <f>Alex_ITSD_count_data!S7</f>
        <v>2790.38</v>
      </c>
      <c r="J7" s="17">
        <f t="shared" si="0"/>
        <v>125782.00142857141</v>
      </c>
      <c r="K7" s="17">
        <f t="shared" si="1"/>
        <v>150938.40171428569</v>
      </c>
      <c r="L7" s="17">
        <f t="shared" si="2"/>
        <v>100625.60114285714</v>
      </c>
      <c r="M7" s="17">
        <f>Alex_ITSD_count_data!T7</f>
        <v>1.9</v>
      </c>
      <c r="N7" s="17">
        <f>Alex_ITSD_count_data!U7</f>
        <v>26562.51</v>
      </c>
      <c r="O7" s="17">
        <f t="shared" si="3"/>
        <v>1075846.0467857143</v>
      </c>
      <c r="P7" s="17">
        <f t="shared" si="4"/>
        <v>1291015.2561428573</v>
      </c>
      <c r="Q7" s="17">
        <f t="shared" si="5"/>
        <v>860676.83742857154</v>
      </c>
      <c r="R7" s="17">
        <f>Alex_ITSD_count_data!V7</f>
        <v>1.3</v>
      </c>
      <c r="S7" s="17">
        <f>Alex_ITSD_count_data!W7</f>
        <v>773.39</v>
      </c>
      <c r="T7" s="17">
        <f t="shared" si="6"/>
        <v>6943.5592857142865</v>
      </c>
      <c r="U7" s="17">
        <f t="shared" si="7"/>
        <v>8332.2711428571438</v>
      </c>
      <c r="V7" s="17">
        <f t="shared" si="8"/>
        <v>5554.8474285714292</v>
      </c>
      <c r="W7" s="17">
        <f>Alex_ITSD_count_data!X7</f>
        <v>7.9</v>
      </c>
      <c r="AA7" s="7" t="s">
        <v>261</v>
      </c>
      <c r="AB7" s="17">
        <f>MAX(I3:I86)-MIN(I3:I86)</f>
        <v>203820.5</v>
      </c>
      <c r="AC7" s="17">
        <f>MAX(N3:N86)-MIN(N3:N86)</f>
        <v>1855838.24</v>
      </c>
      <c r="AD7" s="17">
        <f>MAX(S3:S86)-MIN(S3:S86)</f>
        <v>14390.099999999999</v>
      </c>
    </row>
    <row r="8" spans="1:30" x14ac:dyDescent="0.25">
      <c r="A8" s="23">
        <f>Alex_ITSD_count_data!A8</f>
        <v>5.7870370364980772E-3</v>
      </c>
      <c r="B8" s="8" t="str">
        <f>Alex_ITSD_count_data!B8</f>
        <v>45  Sc ( ISTD )  [ He ] :  ISTD Recovery Percent value = 135.23 is outside the allowed range [80.00, 120.00]103  Rh ( ISTD )  [ He ] :  ISTD Recovery Percent value = 137.11 is outside the allowed range [80.00, 120.00]</v>
      </c>
      <c r="C8" s="8" t="b">
        <f>Alex_ITSD_count_data!C8</f>
        <v>0</v>
      </c>
      <c r="D8" s="8" t="str">
        <f>Alex_ITSD_count_data!D8</f>
        <v>006CALS.d</v>
      </c>
      <c r="E8" s="11">
        <f>Alex_ITSD_count_data!E8</f>
        <v>45246.485972222225</v>
      </c>
      <c r="F8" s="8" t="str">
        <f>Alex_ITSD_count_data!F8</f>
        <v>CalStd</v>
      </c>
      <c r="G8" s="8">
        <f>Alex_ITSD_count_data!G8</f>
        <v>3</v>
      </c>
      <c r="H8" s="8" t="str">
        <f>Alex_ITSD_count_data!H8</f>
        <v>1 ppb m16 + Al</v>
      </c>
      <c r="I8" s="17">
        <f>Alex_ITSD_count_data!S8</f>
        <v>3660.59</v>
      </c>
      <c r="J8" s="17">
        <f t="shared" si="0"/>
        <v>125782.00142857141</v>
      </c>
      <c r="K8" s="17">
        <f t="shared" si="1"/>
        <v>150938.40171428569</v>
      </c>
      <c r="L8" s="17">
        <f t="shared" si="2"/>
        <v>100625.60114285714</v>
      </c>
      <c r="M8" s="17">
        <f>Alex_ITSD_count_data!T8</f>
        <v>9.5</v>
      </c>
      <c r="N8" s="17">
        <f>Alex_ITSD_count_data!U8</f>
        <v>30998.35</v>
      </c>
      <c r="O8" s="17">
        <f t="shared" si="3"/>
        <v>1075846.0467857143</v>
      </c>
      <c r="P8" s="17">
        <f t="shared" si="4"/>
        <v>1291015.2561428573</v>
      </c>
      <c r="Q8" s="17">
        <f t="shared" si="5"/>
        <v>860676.83742857154</v>
      </c>
      <c r="R8" s="17">
        <f>Alex_ITSD_count_data!V8</f>
        <v>3.4</v>
      </c>
      <c r="S8" s="17">
        <f>Alex_ITSD_count_data!W8</f>
        <v>760.05</v>
      </c>
      <c r="T8" s="17">
        <f t="shared" si="6"/>
        <v>6943.5592857142865</v>
      </c>
      <c r="U8" s="17">
        <f t="shared" si="7"/>
        <v>8332.2711428571438</v>
      </c>
      <c r="V8" s="17">
        <f t="shared" si="8"/>
        <v>5554.8474285714292</v>
      </c>
      <c r="W8" s="17">
        <f>Alex_ITSD_count_data!X8</f>
        <v>29.7</v>
      </c>
    </row>
    <row r="9" spans="1:30" x14ac:dyDescent="0.25">
      <c r="A9" s="23">
        <f>Alex_ITSD_count_data!A9</f>
        <v>7.0023148145992309E-3</v>
      </c>
      <c r="B9" s="8" t="str">
        <f>Alex_ITSD_count_data!B9</f>
        <v>45  Sc ( ISTD )  [ He ] :  ISTD Recovery Percent value = 158.50 is outside the allowed range [80.00, 120.00]103  Rh ( ISTD )  [ He ] :  ISTD Recovery Percent value = 166.42 is outside the allowed range [80.00, 120.00]</v>
      </c>
      <c r="C9" s="8" t="b">
        <f>Alex_ITSD_count_data!C9</f>
        <v>0</v>
      </c>
      <c r="D9" s="8" t="str">
        <f>Alex_ITSD_count_data!D9</f>
        <v>007CALS.d</v>
      </c>
      <c r="E9" s="11">
        <f>Alex_ITSD_count_data!E9</f>
        <v>45246.487187500003</v>
      </c>
      <c r="F9" s="8" t="str">
        <f>Alex_ITSD_count_data!F9</f>
        <v>CalStd</v>
      </c>
      <c r="G9" s="8">
        <f>Alex_ITSD_count_data!G9</f>
        <v>4</v>
      </c>
      <c r="H9" s="8" t="str">
        <f>Alex_ITSD_count_data!H9</f>
        <v>5 ppb m16 + Al</v>
      </c>
      <c r="I9" s="17">
        <f>Alex_ITSD_count_data!S9</f>
        <v>4290.7700000000004</v>
      </c>
      <c r="J9" s="17">
        <f t="shared" si="0"/>
        <v>125782.00142857141</v>
      </c>
      <c r="K9" s="17">
        <f t="shared" si="1"/>
        <v>150938.40171428569</v>
      </c>
      <c r="L9" s="17">
        <f t="shared" si="2"/>
        <v>100625.60114285714</v>
      </c>
      <c r="M9" s="17">
        <f>Alex_ITSD_count_data!T9</f>
        <v>0.8</v>
      </c>
      <c r="N9" s="17">
        <f>Alex_ITSD_count_data!U9</f>
        <v>37624.870000000003</v>
      </c>
      <c r="O9" s="17">
        <f t="shared" si="3"/>
        <v>1075846.0467857143</v>
      </c>
      <c r="P9" s="17">
        <f t="shared" si="4"/>
        <v>1291015.2561428573</v>
      </c>
      <c r="Q9" s="17">
        <f t="shared" si="5"/>
        <v>860676.83742857154</v>
      </c>
      <c r="R9" s="17">
        <f>Alex_ITSD_count_data!V9</f>
        <v>1.9</v>
      </c>
      <c r="S9" s="17">
        <f>Alex_ITSD_count_data!W9</f>
        <v>796.73</v>
      </c>
      <c r="T9" s="17">
        <f t="shared" si="6"/>
        <v>6943.5592857142865</v>
      </c>
      <c r="U9" s="17">
        <f t="shared" si="7"/>
        <v>8332.2711428571438</v>
      </c>
      <c r="V9" s="17">
        <f t="shared" si="8"/>
        <v>5554.8474285714292</v>
      </c>
      <c r="W9" s="17">
        <f>Alex_ITSD_count_data!X9</f>
        <v>3.8</v>
      </c>
    </row>
    <row r="10" spans="1:30" x14ac:dyDescent="0.25">
      <c r="A10" s="23">
        <f>Alex_ITSD_count_data!A10</f>
        <v>8.182870369637385E-3</v>
      </c>
      <c r="B10" s="8" t="str">
        <f>Alex_ITSD_count_data!B10</f>
        <v>45  Sc ( ISTD )  [ He ] :  ISTD Recovery Percent value = 191.39 is outside the allowed range [80.00, 120.00]103  Rh ( ISTD )  [ He ] :  ISTD Recovery Percent value = 202.01 is outside the allowed range [80.00, 120.00]</v>
      </c>
      <c r="C10" s="8" t="b">
        <f>Alex_ITSD_count_data!C10</f>
        <v>0</v>
      </c>
      <c r="D10" s="8" t="str">
        <f>Alex_ITSD_count_data!D10</f>
        <v>008CALS.d</v>
      </c>
      <c r="E10" s="11">
        <f>Alex_ITSD_count_data!E10</f>
        <v>45246.488368055558</v>
      </c>
      <c r="F10" s="8" t="str">
        <f>Alex_ITSD_count_data!F10</f>
        <v>CalStd</v>
      </c>
      <c r="G10" s="8">
        <f>Alex_ITSD_count_data!G10</f>
        <v>5</v>
      </c>
      <c r="H10" s="8" t="str">
        <f>Alex_ITSD_count_data!H10</f>
        <v>10 ppb m16 + Al</v>
      </c>
      <c r="I10" s="17">
        <f>Alex_ITSD_count_data!S10</f>
        <v>5181.09</v>
      </c>
      <c r="J10" s="17">
        <f t="shared" si="0"/>
        <v>125782.00142857141</v>
      </c>
      <c r="K10" s="17">
        <f t="shared" si="1"/>
        <v>150938.40171428569</v>
      </c>
      <c r="L10" s="17">
        <f t="shared" si="2"/>
        <v>100625.60114285714</v>
      </c>
      <c r="M10" s="17">
        <f>Alex_ITSD_count_data!T10</f>
        <v>4.7</v>
      </c>
      <c r="N10" s="17">
        <f>Alex_ITSD_count_data!U10</f>
        <v>45672.01</v>
      </c>
      <c r="O10" s="17">
        <f t="shared" si="3"/>
        <v>1075846.0467857143</v>
      </c>
      <c r="P10" s="17">
        <f t="shared" si="4"/>
        <v>1291015.2561428573</v>
      </c>
      <c r="Q10" s="17">
        <f t="shared" si="5"/>
        <v>860676.83742857154</v>
      </c>
      <c r="R10" s="17">
        <f>Alex_ITSD_count_data!V10</f>
        <v>1.6</v>
      </c>
      <c r="S10" s="17">
        <f>Alex_ITSD_count_data!W10</f>
        <v>800.06</v>
      </c>
      <c r="T10" s="17">
        <f t="shared" si="6"/>
        <v>6943.5592857142865</v>
      </c>
      <c r="U10" s="17">
        <f t="shared" si="7"/>
        <v>8332.2711428571438</v>
      </c>
      <c r="V10" s="17">
        <f t="shared" si="8"/>
        <v>5554.8474285714292</v>
      </c>
      <c r="W10" s="17">
        <f>Alex_ITSD_count_data!X10</f>
        <v>12.1</v>
      </c>
    </row>
    <row r="11" spans="1:30" x14ac:dyDescent="0.25">
      <c r="A11" s="23">
        <f>Alex_ITSD_count_data!A11</f>
        <v>9.3287037016125396E-3</v>
      </c>
      <c r="B11" s="8" t="str">
        <f>Alex_ITSD_count_data!B11</f>
        <v>45  Sc ( ISTD )  [ He ] :  ISTD Recovery Percent value = 226.75 is outside the allowed range [80.00, 120.00]103  Rh ( ISTD )  [ He ] :  ISTD Recovery Percent value = 246.55 is outside the allowed range [80.00, 120.00]</v>
      </c>
      <c r="C11" s="8" t="b">
        <f>Alex_ITSD_count_data!C11</f>
        <v>0</v>
      </c>
      <c r="D11" s="8" t="str">
        <f>Alex_ITSD_count_data!D11</f>
        <v>009CALS.d</v>
      </c>
      <c r="E11" s="11">
        <f>Alex_ITSD_count_data!E11</f>
        <v>45246.48951388889</v>
      </c>
      <c r="F11" s="8" t="str">
        <f>Alex_ITSD_count_data!F11</f>
        <v>CalStd</v>
      </c>
      <c r="G11" s="8">
        <f>Alex_ITSD_count_data!G11</f>
        <v>6</v>
      </c>
      <c r="H11" s="8" t="str">
        <f>Alex_ITSD_count_data!H11</f>
        <v>50 ppb m16 + Al</v>
      </c>
      <c r="I11" s="17">
        <f>Alex_ITSD_count_data!S11</f>
        <v>6138.16</v>
      </c>
      <c r="J11" s="17">
        <f t="shared" si="0"/>
        <v>125782.00142857141</v>
      </c>
      <c r="K11" s="17">
        <f t="shared" si="1"/>
        <v>150938.40171428569</v>
      </c>
      <c r="L11" s="17">
        <f t="shared" si="2"/>
        <v>100625.60114285714</v>
      </c>
      <c r="M11" s="17">
        <f>Alex_ITSD_count_data!T11</f>
        <v>4.0999999999999996</v>
      </c>
      <c r="N11" s="17">
        <f>Alex_ITSD_count_data!U11</f>
        <v>55741.53</v>
      </c>
      <c r="O11" s="17">
        <f t="shared" si="3"/>
        <v>1075846.0467857143</v>
      </c>
      <c r="P11" s="17">
        <f t="shared" si="4"/>
        <v>1291015.2561428573</v>
      </c>
      <c r="Q11" s="17">
        <f t="shared" si="5"/>
        <v>860676.83742857154</v>
      </c>
      <c r="R11" s="17">
        <f>Alex_ITSD_count_data!V11</f>
        <v>3.2</v>
      </c>
      <c r="S11" s="17">
        <f>Alex_ITSD_count_data!W11</f>
        <v>750.05</v>
      </c>
      <c r="T11" s="17">
        <f t="shared" si="6"/>
        <v>6943.5592857142865</v>
      </c>
      <c r="U11" s="17">
        <f t="shared" si="7"/>
        <v>8332.2711428571438</v>
      </c>
      <c r="V11" s="17">
        <f t="shared" si="8"/>
        <v>5554.8474285714292</v>
      </c>
      <c r="W11" s="17">
        <f>Alex_ITSD_count_data!X11</f>
        <v>10.1</v>
      </c>
    </row>
    <row r="12" spans="1:30" x14ac:dyDescent="0.25">
      <c r="A12" s="23">
        <f>Alex_ITSD_count_data!A12</f>
        <v>1.0532407402934041E-2</v>
      </c>
      <c r="B12" s="8" t="str">
        <f>Alex_ITSD_count_data!B12</f>
        <v>45  Sc ( ISTD )  [ He ] :  ISTD Recovery Percent value = 294.14 is outside the allowed range [80.00, 120.00]103  Rh ( ISTD )  [ He ] :  ISTD Recovery Percent value = 306.45 is outside the allowed range [80.00, 120.00]</v>
      </c>
      <c r="C12" s="8" t="b">
        <f>Alex_ITSD_count_data!C12</f>
        <v>0</v>
      </c>
      <c r="D12" s="8" t="str">
        <f>Alex_ITSD_count_data!D12</f>
        <v>010CALS.d</v>
      </c>
      <c r="E12" s="11">
        <f>Alex_ITSD_count_data!E12</f>
        <v>45246.490717592591</v>
      </c>
      <c r="F12" s="8" t="str">
        <f>Alex_ITSD_count_data!F12</f>
        <v>CalStd</v>
      </c>
      <c r="G12" s="8">
        <f>Alex_ITSD_count_data!G12</f>
        <v>7</v>
      </c>
      <c r="H12" s="8" t="str">
        <f>Alex_ITSD_count_data!H12</f>
        <v>100 ppb m16 + Al</v>
      </c>
      <c r="I12" s="17">
        <f>Alex_ITSD_count_data!S12</f>
        <v>7962.46</v>
      </c>
      <c r="J12" s="17">
        <f t="shared" si="0"/>
        <v>125782.00142857141</v>
      </c>
      <c r="K12" s="17">
        <f t="shared" si="1"/>
        <v>150938.40171428569</v>
      </c>
      <c r="L12" s="17">
        <f t="shared" si="2"/>
        <v>100625.60114285714</v>
      </c>
      <c r="M12" s="17">
        <f>Alex_ITSD_count_data!T12</f>
        <v>4.3</v>
      </c>
      <c r="N12" s="17">
        <f>Alex_ITSD_count_data!U12</f>
        <v>69284.83</v>
      </c>
      <c r="O12" s="17">
        <f t="shared" si="3"/>
        <v>1075846.0467857143</v>
      </c>
      <c r="P12" s="17">
        <f t="shared" si="4"/>
        <v>1291015.2561428573</v>
      </c>
      <c r="Q12" s="17">
        <f t="shared" si="5"/>
        <v>860676.83742857154</v>
      </c>
      <c r="R12" s="17">
        <f>Alex_ITSD_count_data!V12</f>
        <v>3.1</v>
      </c>
      <c r="S12" s="17">
        <f>Alex_ITSD_count_data!W12</f>
        <v>886.73</v>
      </c>
      <c r="T12" s="17">
        <f t="shared" si="6"/>
        <v>6943.5592857142865</v>
      </c>
      <c r="U12" s="17">
        <f t="shared" si="7"/>
        <v>8332.2711428571438</v>
      </c>
      <c r="V12" s="17">
        <f t="shared" si="8"/>
        <v>5554.8474285714292</v>
      </c>
      <c r="W12" s="17">
        <f>Alex_ITSD_count_data!X12</f>
        <v>16.2</v>
      </c>
    </row>
    <row r="13" spans="1:30" x14ac:dyDescent="0.25">
      <c r="A13" s="23">
        <f>Alex_ITSD_count_data!A13</f>
        <v>1.1689814811688848E-2</v>
      </c>
      <c r="B13" s="8" t="str">
        <f>Alex_ITSD_count_data!B13</f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C13" s="8" t="b">
        <f>Alex_ITSD_count_data!C13</f>
        <v>0</v>
      </c>
      <c r="D13" s="8" t="str">
        <f>Alex_ITSD_count_data!D13</f>
        <v>011CALS.d</v>
      </c>
      <c r="E13" s="11">
        <f>Alex_ITSD_count_data!E13</f>
        <v>45246.491875</v>
      </c>
      <c r="F13" s="8" t="str">
        <f>Alex_ITSD_count_data!F13</f>
        <v>CalStd</v>
      </c>
      <c r="G13" s="8">
        <f>Alex_ITSD_count_data!G13</f>
        <v>8</v>
      </c>
      <c r="H13" s="8" t="str">
        <f>Alex_ITSD_count_data!H13</f>
        <v>500 ppb m16 + Al</v>
      </c>
      <c r="I13" s="17">
        <f>Alex_ITSD_count_data!S13</f>
        <v>10464.120000000001</v>
      </c>
      <c r="J13" s="17">
        <f t="shared" si="0"/>
        <v>125782.00142857141</v>
      </c>
      <c r="K13" s="17">
        <f t="shared" si="1"/>
        <v>150938.40171428569</v>
      </c>
      <c r="L13" s="17">
        <f t="shared" si="2"/>
        <v>100625.60114285714</v>
      </c>
      <c r="M13" s="17">
        <f>Alex_ITSD_count_data!T13</f>
        <v>6.6</v>
      </c>
      <c r="N13" s="17">
        <f>Alex_ITSD_count_data!U13</f>
        <v>91541.18</v>
      </c>
      <c r="O13" s="17">
        <f t="shared" si="3"/>
        <v>1075846.0467857143</v>
      </c>
      <c r="P13" s="17">
        <f t="shared" si="4"/>
        <v>1291015.2561428573</v>
      </c>
      <c r="Q13" s="17">
        <f t="shared" si="5"/>
        <v>860676.83742857154</v>
      </c>
      <c r="R13" s="17">
        <f>Alex_ITSD_count_data!V13</f>
        <v>3.1</v>
      </c>
      <c r="S13" s="17">
        <f>Alex_ITSD_count_data!W13</f>
        <v>1060.08</v>
      </c>
      <c r="T13" s="17">
        <f t="shared" si="6"/>
        <v>6943.5592857142865</v>
      </c>
      <c r="U13" s="17">
        <f t="shared" si="7"/>
        <v>8332.2711428571438</v>
      </c>
      <c r="V13" s="17">
        <f t="shared" si="8"/>
        <v>5554.8474285714292</v>
      </c>
      <c r="W13" s="17">
        <f>Alex_ITSD_count_data!X13</f>
        <v>12.3</v>
      </c>
    </row>
    <row r="14" spans="1:30" x14ac:dyDescent="0.25">
      <c r="A14" s="23">
        <f>Alex_ITSD_count_data!A14</f>
        <v>1.2847222220443655E-2</v>
      </c>
      <c r="B14" s="8" t="str">
        <f>Alex_ITSD_count_data!B14</f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C14" s="8" t="b">
        <f>Alex_ITSD_count_data!C14</f>
        <v>0</v>
      </c>
      <c r="D14" s="8" t="str">
        <f>Alex_ITSD_count_data!D14</f>
        <v>012CALS.d</v>
      </c>
      <c r="E14" s="11">
        <f>Alex_ITSD_count_data!E14</f>
        <v>45246.493032407408</v>
      </c>
      <c r="F14" s="8" t="str">
        <f>Alex_ITSD_count_data!F14</f>
        <v>CalStd</v>
      </c>
      <c r="G14" s="8">
        <f>Alex_ITSD_count_data!G14</f>
        <v>9</v>
      </c>
      <c r="H14" s="8" t="str">
        <f>Alex_ITSD_count_data!H14</f>
        <v>1000 ppb m16 + Al</v>
      </c>
      <c r="I14" s="17">
        <f>Alex_ITSD_count_data!S14</f>
        <v>12502.48</v>
      </c>
      <c r="J14" s="17">
        <f t="shared" si="0"/>
        <v>125782.00142857141</v>
      </c>
      <c r="K14" s="17">
        <f t="shared" si="1"/>
        <v>150938.40171428569</v>
      </c>
      <c r="L14" s="17">
        <f t="shared" si="2"/>
        <v>100625.60114285714</v>
      </c>
      <c r="M14" s="17">
        <f>Alex_ITSD_count_data!T14</f>
        <v>3.9</v>
      </c>
      <c r="N14" s="17">
        <f>Alex_ITSD_count_data!U14</f>
        <v>114602.58</v>
      </c>
      <c r="O14" s="17">
        <f t="shared" si="3"/>
        <v>1075846.0467857143</v>
      </c>
      <c r="P14" s="17">
        <f t="shared" si="4"/>
        <v>1291015.2561428573</v>
      </c>
      <c r="Q14" s="17">
        <f t="shared" si="5"/>
        <v>860676.83742857154</v>
      </c>
      <c r="R14" s="17">
        <f>Alex_ITSD_count_data!V14</f>
        <v>3.1</v>
      </c>
      <c r="S14" s="17">
        <f>Alex_ITSD_count_data!W14</f>
        <v>1190.0999999999999</v>
      </c>
      <c r="T14" s="17">
        <f t="shared" si="6"/>
        <v>6943.5592857142865</v>
      </c>
      <c r="U14" s="17">
        <f t="shared" si="7"/>
        <v>8332.2711428571438</v>
      </c>
      <c r="V14" s="17">
        <f t="shared" si="8"/>
        <v>5554.8474285714292</v>
      </c>
      <c r="W14" s="17">
        <f>Alex_ITSD_count_data!X14</f>
        <v>8.1</v>
      </c>
    </row>
    <row r="15" spans="1:30" x14ac:dyDescent="0.25">
      <c r="A15" s="23">
        <f>Alex_ITSD_count_data!A15</f>
        <v>1.395833332935581E-2</v>
      </c>
      <c r="B15" s="8" t="str">
        <f>Alex_ITSD_count_data!B15</f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C15" s="8" t="b">
        <f>Alex_ITSD_count_data!C15</f>
        <v>0</v>
      </c>
      <c r="D15" s="8" t="str">
        <f>Alex_ITSD_count_data!D15</f>
        <v>013SMPL.d</v>
      </c>
      <c r="E15" s="11">
        <f>Alex_ITSD_count_data!E15</f>
        <v>45246.494143518517</v>
      </c>
      <c r="F15" s="8" t="str">
        <f>Alex_ITSD_count_data!F15</f>
        <v>Sample</v>
      </c>
      <c r="G15" s="8">
        <f>Alex_ITSD_count_data!G15</f>
        <v>0</v>
      </c>
      <c r="H15" s="8" t="str">
        <f>Alex_ITSD_count_data!H15</f>
        <v>blk</v>
      </c>
      <c r="I15" s="17">
        <f>Alex_ITSD_count_data!S15</f>
        <v>15228.45</v>
      </c>
      <c r="J15" s="17">
        <f t="shared" si="0"/>
        <v>125782.00142857141</v>
      </c>
      <c r="K15" s="17">
        <f t="shared" si="1"/>
        <v>150938.40171428569</v>
      </c>
      <c r="L15" s="17">
        <f t="shared" si="2"/>
        <v>100625.60114285714</v>
      </c>
      <c r="M15" s="17">
        <f>Alex_ITSD_count_data!T15</f>
        <v>4.8</v>
      </c>
      <c r="N15" s="17">
        <f>Alex_ITSD_count_data!U15</f>
        <v>132257.44</v>
      </c>
      <c r="O15" s="17">
        <f t="shared" si="3"/>
        <v>1075846.0467857143</v>
      </c>
      <c r="P15" s="17">
        <f t="shared" si="4"/>
        <v>1291015.2561428573</v>
      </c>
      <c r="Q15" s="17">
        <f t="shared" si="5"/>
        <v>860676.83742857154</v>
      </c>
      <c r="R15" s="17">
        <f>Alex_ITSD_count_data!V15</f>
        <v>5.0999999999999996</v>
      </c>
      <c r="S15" s="17">
        <f>Alex_ITSD_count_data!W15</f>
        <v>1216.77</v>
      </c>
      <c r="T15" s="17">
        <f t="shared" si="6"/>
        <v>6943.5592857142865</v>
      </c>
      <c r="U15" s="17">
        <f t="shared" si="7"/>
        <v>8332.2711428571438</v>
      </c>
      <c r="V15" s="17">
        <f t="shared" si="8"/>
        <v>5554.8474285714292</v>
      </c>
      <c r="W15" s="17">
        <f>Alex_ITSD_count_data!X15</f>
        <v>2.5</v>
      </c>
    </row>
    <row r="16" spans="1:30" x14ac:dyDescent="0.25">
      <c r="A16" s="23">
        <f>Alex_ITSD_count_data!A16</f>
        <v>1.5127314814890269E-2</v>
      </c>
      <c r="B16" s="8" t="str">
        <f>Alex_ITSD_count_data!B16</f>
        <v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v>
      </c>
      <c r="C16" s="8" t="b">
        <f>Alex_ITSD_count_data!C16</f>
        <v>0</v>
      </c>
      <c r="D16" s="8" t="str">
        <f>Alex_ITSD_count_data!D16</f>
        <v>014SMPL.d</v>
      </c>
      <c r="E16" s="11">
        <f>Alex_ITSD_count_data!E16</f>
        <v>45246.495312500003</v>
      </c>
      <c r="F16" s="8" t="str">
        <f>Alex_ITSD_count_data!F16</f>
        <v>Sample</v>
      </c>
      <c r="G16" s="8">
        <f>Alex_ITSD_count_data!G16</f>
        <v>0</v>
      </c>
      <c r="H16" s="8" t="str">
        <f>Alex_ITSD_count_data!H16</f>
        <v>m6 x100 x100</v>
      </c>
      <c r="I16" s="17">
        <f>Alex_ITSD_count_data!S16</f>
        <v>17013.830000000002</v>
      </c>
      <c r="J16" s="17">
        <f t="shared" si="0"/>
        <v>125782.00142857141</v>
      </c>
      <c r="K16" s="17">
        <f t="shared" si="1"/>
        <v>150938.40171428569</v>
      </c>
      <c r="L16" s="17">
        <f t="shared" si="2"/>
        <v>100625.60114285714</v>
      </c>
      <c r="M16" s="17">
        <f>Alex_ITSD_count_data!T16</f>
        <v>7.7</v>
      </c>
      <c r="N16" s="17">
        <f>Alex_ITSD_count_data!U16</f>
        <v>151788.79999999999</v>
      </c>
      <c r="O16" s="17">
        <f t="shared" si="3"/>
        <v>1075846.0467857143</v>
      </c>
      <c r="P16" s="17">
        <f t="shared" si="4"/>
        <v>1291015.2561428573</v>
      </c>
      <c r="Q16" s="17">
        <f t="shared" si="5"/>
        <v>860676.83742857154</v>
      </c>
      <c r="R16" s="17">
        <f>Alex_ITSD_count_data!V16</f>
        <v>5.3</v>
      </c>
      <c r="S16" s="17">
        <f>Alex_ITSD_count_data!W16</f>
        <v>1343.46</v>
      </c>
      <c r="T16" s="17">
        <f t="shared" si="6"/>
        <v>6943.5592857142865</v>
      </c>
      <c r="U16" s="17">
        <f t="shared" si="7"/>
        <v>8332.2711428571438</v>
      </c>
      <c r="V16" s="17">
        <f t="shared" si="8"/>
        <v>5554.8474285714292</v>
      </c>
      <c r="W16" s="17">
        <f>Alex_ITSD_count_data!X16</f>
        <v>2.2999999999999998</v>
      </c>
    </row>
    <row r="17" spans="1:23" x14ac:dyDescent="0.25">
      <c r="A17" s="23">
        <f>Alex_ITSD_count_data!A17</f>
        <v>2.880787036701804E-2</v>
      </c>
      <c r="B17" s="8" t="str">
        <f>Alex_ITSD_count_data!B17</f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C17" s="8" t="b">
        <f>Alex_ITSD_count_data!C17</f>
        <v>0</v>
      </c>
      <c r="D17" s="8" t="str">
        <f>Alex_ITSD_count_data!D17</f>
        <v>015SMPL.d</v>
      </c>
      <c r="E17" s="11">
        <f>Alex_ITSD_count_data!E17</f>
        <v>45246.508993055555</v>
      </c>
      <c r="F17" s="8" t="str">
        <f>Alex_ITSD_count_data!F17</f>
        <v>Sample</v>
      </c>
      <c r="G17" s="8">
        <f>Alex_ITSD_count_data!G17</f>
        <v>0</v>
      </c>
      <c r="H17" s="8" t="str">
        <f>Alex_ITSD_count_data!H17</f>
        <v>blk</v>
      </c>
      <c r="I17" s="17">
        <f>Alex_ITSD_count_data!S17</f>
        <v>44512.22</v>
      </c>
      <c r="J17" s="17">
        <f t="shared" si="0"/>
        <v>125782.00142857141</v>
      </c>
      <c r="K17" s="17">
        <f t="shared" si="1"/>
        <v>150938.40171428569</v>
      </c>
      <c r="L17" s="17">
        <f t="shared" si="2"/>
        <v>100625.60114285714</v>
      </c>
      <c r="M17" s="17">
        <f>Alex_ITSD_count_data!T17</f>
        <v>2.8</v>
      </c>
      <c r="N17" s="17">
        <f>Alex_ITSD_count_data!U17</f>
        <v>386224.16</v>
      </c>
      <c r="O17" s="17">
        <f t="shared" si="3"/>
        <v>1075846.0467857143</v>
      </c>
      <c r="P17" s="17">
        <f t="shared" si="4"/>
        <v>1291015.2561428573</v>
      </c>
      <c r="Q17" s="17">
        <f t="shared" si="5"/>
        <v>860676.83742857154</v>
      </c>
      <c r="R17" s="17">
        <f>Alex_ITSD_count_data!V17</f>
        <v>2.7</v>
      </c>
      <c r="S17" s="17">
        <f>Alex_ITSD_count_data!W17</f>
        <v>2543.67</v>
      </c>
      <c r="T17" s="17">
        <f t="shared" si="6"/>
        <v>6943.5592857142865</v>
      </c>
      <c r="U17" s="17">
        <f t="shared" si="7"/>
        <v>8332.2711428571438</v>
      </c>
      <c r="V17" s="17">
        <f t="shared" si="8"/>
        <v>5554.8474285714292</v>
      </c>
      <c r="W17" s="17">
        <f>Alex_ITSD_count_data!X17</f>
        <v>7</v>
      </c>
    </row>
    <row r="18" spans="1:23" x14ac:dyDescent="0.25">
      <c r="A18" s="23">
        <f>Alex_ITSD_count_data!A18</f>
        <v>2.9930555552709848E-2</v>
      </c>
      <c r="B18" s="8" t="str">
        <f>Alex_ITSD_count_data!B18</f>
        <v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v>
      </c>
      <c r="C18" s="8" t="b">
        <f>Alex_ITSD_count_data!C18</f>
        <v>0</v>
      </c>
      <c r="D18" s="8" t="str">
        <f>Alex_ITSD_count_data!D18</f>
        <v>016SMPL.d</v>
      </c>
      <c r="E18" s="11">
        <f>Alex_ITSD_count_data!E18</f>
        <v>45246.510115740741</v>
      </c>
      <c r="F18" s="8" t="str">
        <f>Alex_ITSD_count_data!F18</f>
        <v>Sample</v>
      </c>
      <c r="G18" s="8">
        <f>Alex_ITSD_count_data!G18</f>
        <v>0</v>
      </c>
      <c r="H18" s="8" t="str">
        <f>Alex_ITSD_count_data!H18</f>
        <v>0-10-T</v>
      </c>
      <c r="I18" s="17">
        <f>Alex_ITSD_count_data!S18</f>
        <v>49009.82</v>
      </c>
      <c r="J18" s="17">
        <f t="shared" si="0"/>
        <v>125782.00142857141</v>
      </c>
      <c r="K18" s="17">
        <f t="shared" si="1"/>
        <v>150938.40171428569</v>
      </c>
      <c r="L18" s="17">
        <f t="shared" si="2"/>
        <v>100625.60114285714</v>
      </c>
      <c r="M18" s="17">
        <f>Alex_ITSD_count_data!T18</f>
        <v>3.1</v>
      </c>
      <c r="N18" s="17">
        <f>Alex_ITSD_count_data!U18</f>
        <v>426554.58</v>
      </c>
      <c r="O18" s="17">
        <f t="shared" si="3"/>
        <v>1075846.0467857143</v>
      </c>
      <c r="P18" s="17">
        <f t="shared" si="4"/>
        <v>1291015.2561428573</v>
      </c>
      <c r="Q18" s="17">
        <f t="shared" si="5"/>
        <v>860676.83742857154</v>
      </c>
      <c r="R18" s="17">
        <f>Alex_ITSD_count_data!V18</f>
        <v>2.9</v>
      </c>
      <c r="S18" s="17">
        <f>Alex_ITSD_count_data!W18</f>
        <v>3533.95</v>
      </c>
      <c r="T18" s="17">
        <f t="shared" si="6"/>
        <v>6943.5592857142865</v>
      </c>
      <c r="U18" s="17">
        <f t="shared" si="7"/>
        <v>8332.2711428571438</v>
      </c>
      <c r="V18" s="17">
        <f t="shared" si="8"/>
        <v>5554.8474285714292</v>
      </c>
      <c r="W18" s="17">
        <f>Alex_ITSD_count_data!X18</f>
        <v>3.3</v>
      </c>
    </row>
    <row r="19" spans="1:23" x14ac:dyDescent="0.25">
      <c r="A19" s="23">
        <f>Alex_ITSD_count_data!A19</f>
        <v>3.1076388884685002E-2</v>
      </c>
      <c r="B19" s="8" t="str">
        <f>Alex_ITSD_count_data!B19</f>
        <v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v>
      </c>
      <c r="C19" s="8" t="b">
        <f>Alex_ITSD_count_data!C19</f>
        <v>0</v>
      </c>
      <c r="D19" s="8" t="str">
        <f>Alex_ITSD_count_data!D19</f>
        <v>017SMPL.d</v>
      </c>
      <c r="E19" s="11">
        <f>Alex_ITSD_count_data!E19</f>
        <v>45246.511261574073</v>
      </c>
      <c r="F19" s="8" t="str">
        <f>Alex_ITSD_count_data!F19</f>
        <v>Sample</v>
      </c>
      <c r="G19" s="8">
        <f>Alex_ITSD_count_data!G19</f>
        <v>0</v>
      </c>
      <c r="H19" s="8" t="str">
        <f>Alex_ITSD_count_data!H19</f>
        <v>0-20-T</v>
      </c>
      <c r="I19" s="17">
        <f>Alex_ITSD_count_data!S19</f>
        <v>51819.63</v>
      </c>
      <c r="J19" s="17">
        <f t="shared" si="0"/>
        <v>125782.00142857141</v>
      </c>
      <c r="K19" s="17">
        <f t="shared" si="1"/>
        <v>150938.40171428569</v>
      </c>
      <c r="L19" s="17">
        <f t="shared" si="2"/>
        <v>100625.60114285714</v>
      </c>
      <c r="M19" s="17">
        <f>Alex_ITSD_count_data!T19</f>
        <v>2.8</v>
      </c>
      <c r="N19" s="17">
        <f>Alex_ITSD_count_data!U19</f>
        <v>450635.99</v>
      </c>
      <c r="O19" s="17">
        <f t="shared" si="3"/>
        <v>1075846.0467857143</v>
      </c>
      <c r="P19" s="17">
        <f t="shared" si="4"/>
        <v>1291015.2561428573</v>
      </c>
      <c r="Q19" s="17">
        <f t="shared" si="5"/>
        <v>860676.83742857154</v>
      </c>
      <c r="R19" s="17">
        <f>Alex_ITSD_count_data!V19</f>
        <v>2.8</v>
      </c>
      <c r="S19" s="17">
        <f>Alex_ITSD_count_data!W19</f>
        <v>3774.06</v>
      </c>
      <c r="T19" s="17">
        <f t="shared" si="6"/>
        <v>6943.5592857142865</v>
      </c>
      <c r="U19" s="17">
        <f t="shared" si="7"/>
        <v>8332.2711428571438</v>
      </c>
      <c r="V19" s="17">
        <f t="shared" si="8"/>
        <v>5554.8474285714292</v>
      </c>
      <c r="W19" s="17">
        <f>Alex_ITSD_count_data!X19</f>
        <v>7.2</v>
      </c>
    </row>
    <row r="20" spans="1:23" x14ac:dyDescent="0.25">
      <c r="A20" s="23">
        <f>Alex_ITSD_count_data!A20</f>
        <v>3.2175925924093463E-2</v>
      </c>
      <c r="B20" s="8" t="str">
        <f>Alex_ITSD_count_data!B20</f>
        <v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v>
      </c>
      <c r="C20" s="8" t="b">
        <f>Alex_ITSD_count_data!C20</f>
        <v>0</v>
      </c>
      <c r="D20" s="8" t="str">
        <f>Alex_ITSD_count_data!D20</f>
        <v>018SMPL.d</v>
      </c>
      <c r="E20" s="11">
        <f>Alex_ITSD_count_data!E20</f>
        <v>45246.512361111112</v>
      </c>
      <c r="F20" s="8" t="str">
        <f>Alex_ITSD_count_data!F20</f>
        <v>Sample</v>
      </c>
      <c r="G20" s="8">
        <f>Alex_ITSD_count_data!G20</f>
        <v>0</v>
      </c>
      <c r="H20" s="8" t="str">
        <f>Alex_ITSD_count_data!H20</f>
        <v>0-30-T</v>
      </c>
      <c r="I20" s="17">
        <f>Alex_ITSD_count_data!S20</f>
        <v>55028.08</v>
      </c>
      <c r="J20" s="17">
        <f t="shared" si="0"/>
        <v>125782.00142857141</v>
      </c>
      <c r="K20" s="17">
        <f t="shared" si="1"/>
        <v>150938.40171428569</v>
      </c>
      <c r="L20" s="17">
        <f t="shared" si="2"/>
        <v>100625.60114285714</v>
      </c>
      <c r="M20" s="17">
        <f>Alex_ITSD_count_data!T20</f>
        <v>2.8</v>
      </c>
      <c r="N20" s="17">
        <f>Alex_ITSD_count_data!U20</f>
        <v>472463.03</v>
      </c>
      <c r="O20" s="17">
        <f t="shared" si="3"/>
        <v>1075846.0467857143</v>
      </c>
      <c r="P20" s="17">
        <f t="shared" si="4"/>
        <v>1291015.2561428573</v>
      </c>
      <c r="Q20" s="17">
        <f t="shared" si="5"/>
        <v>860676.83742857154</v>
      </c>
      <c r="R20" s="17">
        <f>Alex_ITSD_count_data!V20</f>
        <v>4</v>
      </c>
      <c r="S20" s="17">
        <f>Alex_ITSD_count_data!W20</f>
        <v>3693.99</v>
      </c>
      <c r="T20" s="17">
        <f t="shared" si="6"/>
        <v>6943.5592857142865</v>
      </c>
      <c r="U20" s="17">
        <f t="shared" si="7"/>
        <v>8332.2711428571438</v>
      </c>
      <c r="V20" s="17">
        <f t="shared" si="8"/>
        <v>5554.8474285714292</v>
      </c>
      <c r="W20" s="17">
        <f>Alex_ITSD_count_data!X20</f>
        <v>5.2</v>
      </c>
    </row>
    <row r="21" spans="1:23" x14ac:dyDescent="0.25">
      <c r="A21" s="23">
        <f>Alex_ITSD_count_data!A21</f>
        <v>3.3356481479131617E-2</v>
      </c>
      <c r="B21" s="8" t="str">
        <f>Alex_ITSD_count_data!B21</f>
        <v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v>
      </c>
      <c r="C21" s="8" t="b">
        <f>Alex_ITSD_count_data!C21</f>
        <v>0</v>
      </c>
      <c r="D21" s="8" t="str">
        <f>Alex_ITSD_count_data!D21</f>
        <v>019SMPL.d</v>
      </c>
      <c r="E21" s="11">
        <f>Alex_ITSD_count_data!E21</f>
        <v>45246.513541666667</v>
      </c>
      <c r="F21" s="8" t="str">
        <f>Alex_ITSD_count_data!F21</f>
        <v>Sample</v>
      </c>
      <c r="G21" s="8">
        <f>Alex_ITSD_count_data!G21</f>
        <v>0</v>
      </c>
      <c r="H21" s="8" t="str">
        <f>Alex_ITSD_count_data!H21</f>
        <v>0-40-T</v>
      </c>
      <c r="I21" s="17">
        <f>Alex_ITSD_count_data!S21</f>
        <v>55576.77</v>
      </c>
      <c r="J21" s="17">
        <f t="shared" si="0"/>
        <v>125782.00142857141</v>
      </c>
      <c r="K21" s="17">
        <f t="shared" si="1"/>
        <v>150938.40171428569</v>
      </c>
      <c r="L21" s="17">
        <f t="shared" si="2"/>
        <v>100625.60114285714</v>
      </c>
      <c r="M21" s="17">
        <f>Alex_ITSD_count_data!T21</f>
        <v>2.7</v>
      </c>
      <c r="N21" s="17">
        <f>Alex_ITSD_count_data!U21</f>
        <v>485245.67</v>
      </c>
      <c r="O21" s="17">
        <f t="shared" si="3"/>
        <v>1075846.0467857143</v>
      </c>
      <c r="P21" s="17">
        <f t="shared" si="4"/>
        <v>1291015.2561428573</v>
      </c>
      <c r="Q21" s="17">
        <f t="shared" si="5"/>
        <v>860676.83742857154</v>
      </c>
      <c r="R21" s="17">
        <f>Alex_ITSD_count_data!V21</f>
        <v>2.7</v>
      </c>
      <c r="S21" s="17">
        <f>Alex_ITSD_count_data!W21</f>
        <v>3844.04</v>
      </c>
      <c r="T21" s="17">
        <f t="shared" si="6"/>
        <v>6943.5592857142865</v>
      </c>
      <c r="U21" s="17">
        <f t="shared" si="7"/>
        <v>8332.2711428571438</v>
      </c>
      <c r="V21" s="17">
        <f t="shared" si="8"/>
        <v>5554.8474285714292</v>
      </c>
      <c r="W21" s="17">
        <f>Alex_ITSD_count_data!X21</f>
        <v>7</v>
      </c>
    </row>
    <row r="22" spans="1:23" x14ac:dyDescent="0.25">
      <c r="A22" s="23">
        <f>Alex_ITSD_count_data!A22</f>
        <v>3.4479166664823424E-2</v>
      </c>
      <c r="B22" s="8" t="str">
        <f>Alex_ITSD_count_data!B22</f>
        <v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v>
      </c>
      <c r="C22" s="8" t="b">
        <f>Alex_ITSD_count_data!C22</f>
        <v>0</v>
      </c>
      <c r="D22" s="8" t="str">
        <f>Alex_ITSD_count_data!D22</f>
        <v>020SMPL.d</v>
      </c>
      <c r="E22" s="11">
        <f>Alex_ITSD_count_data!E22</f>
        <v>45246.514664351853</v>
      </c>
      <c r="F22" s="8" t="str">
        <f>Alex_ITSD_count_data!F22</f>
        <v>Sample</v>
      </c>
      <c r="G22" s="8">
        <f>Alex_ITSD_count_data!G22</f>
        <v>0</v>
      </c>
      <c r="H22" s="8" t="str">
        <f>Alex_ITSD_count_data!H22</f>
        <v>0-60-T</v>
      </c>
      <c r="I22" s="17">
        <f>Alex_ITSD_count_data!S22</f>
        <v>60626.77</v>
      </c>
      <c r="J22" s="17">
        <f t="shared" si="0"/>
        <v>125782.00142857141</v>
      </c>
      <c r="K22" s="17">
        <f t="shared" si="1"/>
        <v>150938.40171428569</v>
      </c>
      <c r="L22" s="17">
        <f t="shared" si="2"/>
        <v>100625.60114285714</v>
      </c>
      <c r="M22" s="17">
        <f>Alex_ITSD_count_data!T22</f>
        <v>2.2999999999999998</v>
      </c>
      <c r="N22" s="17">
        <f>Alex_ITSD_count_data!U22</f>
        <v>522091.83</v>
      </c>
      <c r="O22" s="17">
        <f t="shared" si="3"/>
        <v>1075846.0467857143</v>
      </c>
      <c r="P22" s="17">
        <f t="shared" si="4"/>
        <v>1291015.2561428573</v>
      </c>
      <c r="Q22" s="17">
        <f t="shared" si="5"/>
        <v>860676.83742857154</v>
      </c>
      <c r="R22" s="17">
        <f>Alex_ITSD_count_data!V22</f>
        <v>1.3</v>
      </c>
      <c r="S22" s="17">
        <f>Alex_ITSD_count_data!W22</f>
        <v>4367.57</v>
      </c>
      <c r="T22" s="17">
        <f t="shared" si="6"/>
        <v>6943.5592857142865</v>
      </c>
      <c r="U22" s="17">
        <f t="shared" si="7"/>
        <v>8332.2711428571438</v>
      </c>
      <c r="V22" s="17">
        <f t="shared" si="8"/>
        <v>5554.8474285714292</v>
      </c>
      <c r="W22" s="17">
        <f>Alex_ITSD_count_data!X22</f>
        <v>5.7</v>
      </c>
    </row>
    <row r="23" spans="1:23" x14ac:dyDescent="0.25">
      <c r="A23" s="23">
        <f>Alex_ITSD_count_data!A23</f>
        <v>3.5601851850515231E-2</v>
      </c>
      <c r="B23" s="8" t="str">
        <f>Alex_ITSD_count_data!B23</f>
        <v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v>
      </c>
      <c r="C23" s="8" t="b">
        <f>Alex_ITSD_count_data!C23</f>
        <v>0</v>
      </c>
      <c r="D23" s="8" t="str">
        <f>Alex_ITSD_count_data!D23</f>
        <v>021SMPL.d</v>
      </c>
      <c r="E23" s="11">
        <f>Alex_ITSD_count_data!E23</f>
        <v>45246.515787037039</v>
      </c>
      <c r="F23" s="8" t="str">
        <f>Alex_ITSD_count_data!F23</f>
        <v>Sample</v>
      </c>
      <c r="G23" s="8">
        <f>Alex_ITSD_count_data!G23</f>
        <v>0</v>
      </c>
      <c r="H23" s="8" t="str">
        <f>Alex_ITSD_count_data!H23</f>
        <v>0-70-T</v>
      </c>
      <c r="I23" s="17">
        <f>Alex_ITSD_count_data!S23</f>
        <v>63097.18</v>
      </c>
      <c r="J23" s="17">
        <f t="shared" si="0"/>
        <v>125782.00142857141</v>
      </c>
      <c r="K23" s="17">
        <f t="shared" si="1"/>
        <v>150938.40171428569</v>
      </c>
      <c r="L23" s="17">
        <f t="shared" si="2"/>
        <v>100625.60114285714</v>
      </c>
      <c r="M23" s="17">
        <f>Alex_ITSD_count_data!T23</f>
        <v>3.6</v>
      </c>
      <c r="N23" s="17">
        <f>Alex_ITSD_count_data!U23</f>
        <v>544848.32999999996</v>
      </c>
      <c r="O23" s="17">
        <f t="shared" si="3"/>
        <v>1075846.0467857143</v>
      </c>
      <c r="P23" s="17">
        <f t="shared" si="4"/>
        <v>1291015.2561428573</v>
      </c>
      <c r="Q23" s="17">
        <f t="shared" si="5"/>
        <v>860676.83742857154</v>
      </c>
      <c r="R23" s="17">
        <f>Alex_ITSD_count_data!V23</f>
        <v>1.4</v>
      </c>
      <c r="S23" s="17">
        <f>Alex_ITSD_count_data!W23</f>
        <v>4310.87</v>
      </c>
      <c r="T23" s="17">
        <f t="shared" si="6"/>
        <v>6943.5592857142865</v>
      </c>
      <c r="U23" s="17">
        <f t="shared" si="7"/>
        <v>8332.2711428571438</v>
      </c>
      <c r="V23" s="17">
        <f t="shared" si="8"/>
        <v>5554.8474285714292</v>
      </c>
      <c r="W23" s="17">
        <f>Alex_ITSD_count_data!X23</f>
        <v>3</v>
      </c>
    </row>
    <row r="24" spans="1:23" x14ac:dyDescent="0.25">
      <c r="A24" s="23">
        <f>Alex_ITSD_count_data!A24</f>
        <v>3.6724537036207039E-2</v>
      </c>
      <c r="B24" s="8" t="str">
        <f>Alex_ITSD_count_data!B24</f>
        <v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v>
      </c>
      <c r="C24" s="8" t="b">
        <f>Alex_ITSD_count_data!C24</f>
        <v>0</v>
      </c>
      <c r="D24" s="8" t="str">
        <f>Alex_ITSD_count_data!D24</f>
        <v>022SMPL.d</v>
      </c>
      <c r="E24" s="11">
        <f>Alex_ITSD_count_data!E24</f>
        <v>45246.516909722224</v>
      </c>
      <c r="F24" s="8" t="str">
        <f>Alex_ITSD_count_data!F24</f>
        <v>Sample</v>
      </c>
      <c r="G24" s="8">
        <f>Alex_ITSD_count_data!G24</f>
        <v>0</v>
      </c>
      <c r="H24" s="8" t="str">
        <f>Alex_ITSD_count_data!H24</f>
        <v>0-80-T</v>
      </c>
      <c r="I24" s="17">
        <f>Alex_ITSD_count_data!S24</f>
        <v>65655.210000000006</v>
      </c>
      <c r="J24" s="17">
        <f t="shared" si="0"/>
        <v>125782.00142857141</v>
      </c>
      <c r="K24" s="17">
        <f t="shared" si="1"/>
        <v>150938.40171428569</v>
      </c>
      <c r="L24" s="17">
        <f t="shared" si="2"/>
        <v>100625.60114285714</v>
      </c>
      <c r="M24" s="17">
        <f>Alex_ITSD_count_data!T24</f>
        <v>3.6</v>
      </c>
      <c r="N24" s="17">
        <f>Alex_ITSD_count_data!U24</f>
        <v>568173.23</v>
      </c>
      <c r="O24" s="17">
        <f t="shared" si="3"/>
        <v>1075846.0467857143</v>
      </c>
      <c r="P24" s="17">
        <f t="shared" si="4"/>
        <v>1291015.2561428573</v>
      </c>
      <c r="Q24" s="17">
        <f t="shared" si="5"/>
        <v>860676.83742857154</v>
      </c>
      <c r="R24" s="17">
        <f>Alex_ITSD_count_data!V24</f>
        <v>2.8</v>
      </c>
      <c r="S24" s="17">
        <f>Alex_ITSD_count_data!W24</f>
        <v>4367.54</v>
      </c>
      <c r="T24" s="17">
        <f t="shared" si="6"/>
        <v>6943.5592857142865</v>
      </c>
      <c r="U24" s="17">
        <f t="shared" si="7"/>
        <v>8332.2711428571438</v>
      </c>
      <c r="V24" s="17">
        <f t="shared" si="8"/>
        <v>5554.8474285714292</v>
      </c>
      <c r="W24" s="17">
        <f>Alex_ITSD_count_data!X24</f>
        <v>5.7</v>
      </c>
    </row>
    <row r="25" spans="1:23" x14ac:dyDescent="0.25">
      <c r="A25" s="23">
        <f>Alex_ITSD_count_data!A25</f>
        <v>3.7893518514465541E-2</v>
      </c>
      <c r="B25" s="8" t="str">
        <f>Alex_ITSD_count_data!B25</f>
        <v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v>
      </c>
      <c r="C25" s="8" t="b">
        <f>Alex_ITSD_count_data!C25</f>
        <v>0</v>
      </c>
      <c r="D25" s="8" t="str">
        <f>Alex_ITSD_count_data!D25</f>
        <v>023SMPL.d</v>
      </c>
      <c r="E25" s="11">
        <f>Alex_ITSD_count_data!E25</f>
        <v>45246.518078703702</v>
      </c>
      <c r="F25" s="8" t="str">
        <f>Alex_ITSD_count_data!F25</f>
        <v>Sample</v>
      </c>
      <c r="G25" s="8">
        <f>Alex_ITSD_count_data!G25</f>
        <v>0</v>
      </c>
      <c r="H25" s="8" t="str">
        <f>Alex_ITSD_count_data!H25</f>
        <v>0-90-T</v>
      </c>
      <c r="I25" s="17">
        <f>Alex_ITSD_count_data!S25</f>
        <v>69623.44</v>
      </c>
      <c r="J25" s="17">
        <f t="shared" si="0"/>
        <v>125782.00142857141</v>
      </c>
      <c r="K25" s="17">
        <f t="shared" si="1"/>
        <v>150938.40171428569</v>
      </c>
      <c r="L25" s="17">
        <f t="shared" si="2"/>
        <v>100625.60114285714</v>
      </c>
      <c r="M25" s="17">
        <f>Alex_ITSD_count_data!T25</f>
        <v>0.9</v>
      </c>
      <c r="N25" s="17">
        <f>Alex_ITSD_count_data!U25</f>
        <v>599584.25</v>
      </c>
      <c r="O25" s="17">
        <f t="shared" si="3"/>
        <v>1075846.0467857143</v>
      </c>
      <c r="P25" s="17">
        <f t="shared" si="4"/>
        <v>1291015.2561428573</v>
      </c>
      <c r="Q25" s="17">
        <f t="shared" si="5"/>
        <v>860676.83742857154</v>
      </c>
      <c r="R25" s="17">
        <f>Alex_ITSD_count_data!V25</f>
        <v>2.1</v>
      </c>
      <c r="S25" s="17">
        <f>Alex_ITSD_count_data!W25</f>
        <v>4874.45</v>
      </c>
      <c r="T25" s="17">
        <f t="shared" si="6"/>
        <v>6943.5592857142865</v>
      </c>
      <c r="U25" s="17">
        <f t="shared" si="7"/>
        <v>8332.2711428571438</v>
      </c>
      <c r="V25" s="17">
        <f t="shared" si="8"/>
        <v>5554.8474285714292</v>
      </c>
      <c r="W25" s="17">
        <f>Alex_ITSD_count_data!X25</f>
        <v>4.9000000000000004</v>
      </c>
    </row>
    <row r="26" spans="1:23" x14ac:dyDescent="0.25">
      <c r="A26" s="23">
        <f>Alex_ITSD_count_data!A26</f>
        <v>3.9016203700157348E-2</v>
      </c>
      <c r="B26" s="8" t="str">
        <f>Alex_ITSD_count_data!B26</f>
        <v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v>
      </c>
      <c r="C26" s="8" t="b">
        <f>Alex_ITSD_count_data!C26</f>
        <v>0</v>
      </c>
      <c r="D26" s="8" t="str">
        <f>Alex_ITSD_count_data!D26</f>
        <v>024SMPL.d</v>
      </c>
      <c r="E26" s="11">
        <f>Alex_ITSD_count_data!E26</f>
        <v>45246.519201388888</v>
      </c>
      <c r="F26" s="8" t="str">
        <f>Alex_ITSD_count_data!F26</f>
        <v>Sample</v>
      </c>
      <c r="G26" s="8">
        <f>Alex_ITSD_count_data!G26</f>
        <v>0</v>
      </c>
      <c r="H26" s="8" t="str">
        <f>Alex_ITSD_count_data!H26</f>
        <v>0-100-T</v>
      </c>
      <c r="I26" s="17">
        <f>Alex_ITSD_count_data!S26</f>
        <v>72926.19</v>
      </c>
      <c r="J26" s="17">
        <f t="shared" si="0"/>
        <v>125782.00142857141</v>
      </c>
      <c r="K26" s="17">
        <f t="shared" si="1"/>
        <v>150938.40171428569</v>
      </c>
      <c r="L26" s="17">
        <f t="shared" si="2"/>
        <v>100625.60114285714</v>
      </c>
      <c r="M26" s="17">
        <f>Alex_ITSD_count_data!T26</f>
        <v>1.5</v>
      </c>
      <c r="N26" s="17">
        <f>Alex_ITSD_count_data!U26</f>
        <v>630367.96</v>
      </c>
      <c r="O26" s="17">
        <f t="shared" si="3"/>
        <v>1075846.0467857143</v>
      </c>
      <c r="P26" s="17">
        <f t="shared" si="4"/>
        <v>1291015.2561428573</v>
      </c>
      <c r="Q26" s="17">
        <f t="shared" si="5"/>
        <v>860676.83742857154</v>
      </c>
      <c r="R26" s="17">
        <f>Alex_ITSD_count_data!V26</f>
        <v>1.2</v>
      </c>
      <c r="S26" s="17">
        <f>Alex_ITSD_count_data!W26</f>
        <v>4757.67</v>
      </c>
      <c r="T26" s="17">
        <f t="shared" si="6"/>
        <v>6943.5592857142865</v>
      </c>
      <c r="U26" s="17">
        <f t="shared" si="7"/>
        <v>8332.2711428571438</v>
      </c>
      <c r="V26" s="17">
        <f t="shared" si="8"/>
        <v>5554.8474285714292</v>
      </c>
      <c r="W26" s="17">
        <f>Alex_ITSD_count_data!X26</f>
        <v>10.1</v>
      </c>
    </row>
    <row r="27" spans="1:23" x14ac:dyDescent="0.25">
      <c r="A27" s="23">
        <f>Alex_ITSD_count_data!A27</f>
        <v>4.0127314809069503E-2</v>
      </c>
      <c r="B27" s="8" t="str">
        <f>Alex_ITSD_count_data!B27</f>
        <v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v>
      </c>
      <c r="C27" s="8" t="b">
        <f>Alex_ITSD_count_data!C27</f>
        <v>0</v>
      </c>
      <c r="D27" s="8" t="str">
        <f>Alex_ITSD_count_data!D27</f>
        <v>025SMPL.d</v>
      </c>
      <c r="E27" s="11">
        <f>Alex_ITSD_count_data!E27</f>
        <v>45246.520312499997</v>
      </c>
      <c r="F27" s="8" t="str">
        <f>Alex_ITSD_count_data!F27</f>
        <v>Sample</v>
      </c>
      <c r="G27" s="8">
        <f>Alex_ITSD_count_data!G27</f>
        <v>0</v>
      </c>
      <c r="H27" s="8" t="str">
        <f>Alex_ITSD_count_data!H27</f>
        <v>0-10-B</v>
      </c>
      <c r="I27" s="17">
        <f>Alex_ITSD_count_data!S27</f>
        <v>77818.2</v>
      </c>
      <c r="J27" s="17">
        <f t="shared" si="0"/>
        <v>125782.00142857141</v>
      </c>
      <c r="K27" s="17">
        <f t="shared" si="1"/>
        <v>150938.40171428569</v>
      </c>
      <c r="L27" s="17">
        <f t="shared" si="2"/>
        <v>100625.60114285714</v>
      </c>
      <c r="M27" s="17">
        <f>Alex_ITSD_count_data!T27</f>
        <v>2</v>
      </c>
      <c r="N27" s="17">
        <f>Alex_ITSD_count_data!U27</f>
        <v>664066.34</v>
      </c>
      <c r="O27" s="17">
        <f t="shared" si="3"/>
        <v>1075846.0467857143</v>
      </c>
      <c r="P27" s="17">
        <f t="shared" si="4"/>
        <v>1291015.2561428573</v>
      </c>
      <c r="Q27" s="17">
        <f t="shared" si="5"/>
        <v>860676.83742857154</v>
      </c>
      <c r="R27" s="17">
        <f>Alex_ITSD_count_data!V27</f>
        <v>0.9</v>
      </c>
      <c r="S27" s="17">
        <f>Alex_ITSD_count_data!W27</f>
        <v>4941.3</v>
      </c>
      <c r="T27" s="17">
        <f t="shared" si="6"/>
        <v>6943.5592857142865</v>
      </c>
      <c r="U27" s="17">
        <f t="shared" si="7"/>
        <v>8332.2711428571438</v>
      </c>
      <c r="V27" s="17">
        <f t="shared" si="8"/>
        <v>5554.8474285714292</v>
      </c>
      <c r="W27" s="17">
        <f>Alex_ITSD_count_data!X27</f>
        <v>9.4</v>
      </c>
    </row>
    <row r="28" spans="1:23" x14ac:dyDescent="0.25">
      <c r="A28" s="23">
        <f>Alex_ITSD_count_data!A28</f>
        <v>4.1238425925257616E-2</v>
      </c>
      <c r="B28" s="8" t="str">
        <f>Alex_ITSD_count_data!B28</f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C28" s="8" t="b">
        <f>Alex_ITSD_count_data!C28</f>
        <v>0</v>
      </c>
      <c r="D28" s="8" t="str">
        <f>Alex_ITSD_count_data!D28</f>
        <v>026SMPL.d</v>
      </c>
      <c r="E28" s="11">
        <f>Alex_ITSD_count_data!E28</f>
        <v>45246.521423611113</v>
      </c>
      <c r="F28" s="8" t="str">
        <f>Alex_ITSD_count_data!F28</f>
        <v>Sample</v>
      </c>
      <c r="G28" s="8">
        <f>Alex_ITSD_count_data!G28</f>
        <v>0</v>
      </c>
      <c r="H28" s="8" t="str">
        <f>Alex_ITSD_count_data!H28</f>
        <v xml:space="preserve">blk </v>
      </c>
      <c r="I28" s="17">
        <f>Alex_ITSD_count_data!S28</f>
        <v>78029.210000000006</v>
      </c>
      <c r="J28" s="17">
        <f t="shared" si="0"/>
        <v>125782.00142857141</v>
      </c>
      <c r="K28" s="17">
        <f t="shared" si="1"/>
        <v>150938.40171428569</v>
      </c>
      <c r="L28" s="17">
        <f t="shared" si="2"/>
        <v>100625.60114285714</v>
      </c>
      <c r="M28" s="17">
        <f>Alex_ITSD_count_data!T28</f>
        <v>3.8</v>
      </c>
      <c r="N28" s="17">
        <f>Alex_ITSD_count_data!U28</f>
        <v>671680.2</v>
      </c>
      <c r="O28" s="17">
        <f t="shared" si="3"/>
        <v>1075846.0467857143</v>
      </c>
      <c r="P28" s="17">
        <f t="shared" si="4"/>
        <v>1291015.2561428573</v>
      </c>
      <c r="Q28" s="17">
        <f t="shared" si="5"/>
        <v>860676.83742857154</v>
      </c>
      <c r="R28" s="17">
        <f>Alex_ITSD_count_data!V28</f>
        <v>4.2</v>
      </c>
      <c r="S28" s="17">
        <f>Alex_ITSD_count_data!W28</f>
        <v>4561.59</v>
      </c>
      <c r="T28" s="17">
        <f t="shared" si="6"/>
        <v>6943.5592857142865</v>
      </c>
      <c r="U28" s="17">
        <f t="shared" si="7"/>
        <v>8332.2711428571438</v>
      </c>
      <c r="V28" s="17">
        <f t="shared" si="8"/>
        <v>5554.8474285714292</v>
      </c>
      <c r="W28" s="17">
        <f>Alex_ITSD_count_data!X28</f>
        <v>7.4</v>
      </c>
    </row>
    <row r="29" spans="1:23" x14ac:dyDescent="0.25">
      <c r="A29" s="23">
        <f>Alex_ITSD_count_data!A29</f>
        <v>4.2407407403516117E-2</v>
      </c>
      <c r="B29" s="8" t="str">
        <f>Alex_ITSD_count_data!B29</f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C29" s="8" t="b">
        <f>Alex_ITSD_count_data!C29</f>
        <v>0</v>
      </c>
      <c r="D29" s="8" t="str">
        <f>Alex_ITSD_count_data!D29</f>
        <v>027SMPL.d</v>
      </c>
      <c r="E29" s="11">
        <f>Alex_ITSD_count_data!E29</f>
        <v>45246.522592592592</v>
      </c>
      <c r="F29" s="8" t="str">
        <f>Alex_ITSD_count_data!F29</f>
        <v>Sample</v>
      </c>
      <c r="G29" s="8">
        <f>Alex_ITSD_count_data!G29</f>
        <v>0</v>
      </c>
      <c r="H29" s="8" t="str">
        <f>Alex_ITSD_count_data!H29</f>
        <v>100 ppb check</v>
      </c>
      <c r="I29" s="17">
        <f>Alex_ITSD_count_data!S29</f>
        <v>81843.399999999994</v>
      </c>
      <c r="J29" s="17">
        <f t="shared" si="0"/>
        <v>125782.00142857141</v>
      </c>
      <c r="K29" s="17">
        <f t="shared" si="1"/>
        <v>150938.40171428569</v>
      </c>
      <c r="L29" s="17">
        <f t="shared" si="2"/>
        <v>100625.60114285714</v>
      </c>
      <c r="M29" s="17">
        <f>Alex_ITSD_count_data!T29</f>
        <v>3.7</v>
      </c>
      <c r="N29" s="17">
        <f>Alex_ITSD_count_data!U29</f>
        <v>703381.97</v>
      </c>
      <c r="O29" s="17">
        <f t="shared" si="3"/>
        <v>1075846.0467857143</v>
      </c>
      <c r="P29" s="17">
        <f t="shared" si="4"/>
        <v>1291015.2561428573</v>
      </c>
      <c r="Q29" s="17">
        <f t="shared" si="5"/>
        <v>860676.83742857154</v>
      </c>
      <c r="R29" s="17">
        <f>Alex_ITSD_count_data!V29</f>
        <v>1.3</v>
      </c>
      <c r="S29" s="17">
        <f>Alex_ITSD_count_data!W29</f>
        <v>4517.6099999999997</v>
      </c>
      <c r="T29" s="17">
        <f t="shared" si="6"/>
        <v>6943.5592857142865</v>
      </c>
      <c r="U29" s="17">
        <f t="shared" si="7"/>
        <v>8332.2711428571438</v>
      </c>
      <c r="V29" s="17">
        <f t="shared" si="8"/>
        <v>5554.8474285714292</v>
      </c>
      <c r="W29" s="17">
        <f>Alex_ITSD_count_data!X29</f>
        <v>2.8</v>
      </c>
    </row>
    <row r="30" spans="1:23" x14ac:dyDescent="0.25">
      <c r="A30" s="23">
        <f>Alex_ITSD_count_data!A30</f>
        <v>4.3518518512428273E-2</v>
      </c>
      <c r="B30" s="8" t="str">
        <f>Alex_ITSD_count_data!B30</f>
        <v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v>
      </c>
      <c r="C30" s="8" t="b">
        <f>Alex_ITSD_count_data!C30</f>
        <v>0</v>
      </c>
      <c r="D30" s="8" t="str">
        <f>Alex_ITSD_count_data!D30</f>
        <v>028SMPL.d</v>
      </c>
      <c r="E30" s="11">
        <f>Alex_ITSD_count_data!E30</f>
        <v>45246.5237037037</v>
      </c>
      <c r="F30" s="8" t="str">
        <f>Alex_ITSD_count_data!F30</f>
        <v>Sample</v>
      </c>
      <c r="G30" s="8">
        <f>Alex_ITSD_count_data!G30</f>
        <v>0</v>
      </c>
      <c r="H30" s="8" t="str">
        <f>Alex_ITSD_count_data!H30</f>
        <v>0-50-T</v>
      </c>
      <c r="I30" s="17">
        <f>Alex_ITSD_count_data!S30</f>
        <v>85628.41</v>
      </c>
      <c r="J30" s="17">
        <f t="shared" si="0"/>
        <v>125782.00142857141</v>
      </c>
      <c r="K30" s="17">
        <f t="shared" si="1"/>
        <v>150938.40171428569</v>
      </c>
      <c r="L30" s="17">
        <f t="shared" si="2"/>
        <v>100625.60114285714</v>
      </c>
      <c r="M30" s="17">
        <f>Alex_ITSD_count_data!T30</f>
        <v>1.9</v>
      </c>
      <c r="N30" s="17">
        <f>Alex_ITSD_count_data!U30</f>
        <v>741157.72</v>
      </c>
      <c r="O30" s="17">
        <f t="shared" si="3"/>
        <v>1075846.0467857143</v>
      </c>
      <c r="P30" s="17">
        <f t="shared" si="4"/>
        <v>1291015.2561428573</v>
      </c>
      <c r="Q30" s="17">
        <f t="shared" si="5"/>
        <v>860676.83742857154</v>
      </c>
      <c r="R30" s="17">
        <f>Alex_ITSD_count_data!V30</f>
        <v>2.1</v>
      </c>
      <c r="S30" s="17">
        <f>Alex_ITSD_count_data!W30</f>
        <v>6147.5</v>
      </c>
      <c r="T30" s="17">
        <f t="shared" si="6"/>
        <v>6943.5592857142865</v>
      </c>
      <c r="U30" s="17">
        <f t="shared" si="7"/>
        <v>8332.2711428571438</v>
      </c>
      <c r="V30" s="17">
        <f t="shared" si="8"/>
        <v>5554.8474285714292</v>
      </c>
      <c r="W30" s="17">
        <f>Alex_ITSD_count_data!X30</f>
        <v>16.2</v>
      </c>
    </row>
    <row r="31" spans="1:23" x14ac:dyDescent="0.25">
      <c r="A31" s="23">
        <f>Alex_ITSD_count_data!A31</f>
        <v>4.464120369812008E-2</v>
      </c>
      <c r="B31" s="8" t="str">
        <f>Alex_ITSD_count_data!B31</f>
        <v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v>
      </c>
      <c r="C31" s="8" t="b">
        <f>Alex_ITSD_count_data!C31</f>
        <v>0</v>
      </c>
      <c r="D31" s="8" t="str">
        <f>Alex_ITSD_count_data!D31</f>
        <v>029SMPL.d</v>
      </c>
      <c r="E31" s="11">
        <f>Alex_ITSD_count_data!E31</f>
        <v>45246.524826388886</v>
      </c>
      <c r="F31" s="8" t="str">
        <f>Alex_ITSD_count_data!F31</f>
        <v>Sample</v>
      </c>
      <c r="G31" s="8">
        <f>Alex_ITSD_count_data!G31</f>
        <v>0</v>
      </c>
      <c r="H31" s="8" t="str">
        <f>Alex_ITSD_count_data!H31</f>
        <v>0-60-B</v>
      </c>
      <c r="I31" s="17">
        <f>Alex_ITSD_count_data!S31</f>
        <v>89397.19</v>
      </c>
      <c r="J31" s="17">
        <f t="shared" si="0"/>
        <v>125782.00142857141</v>
      </c>
      <c r="K31" s="17">
        <f t="shared" si="1"/>
        <v>150938.40171428569</v>
      </c>
      <c r="L31" s="17">
        <f t="shared" si="2"/>
        <v>100625.60114285714</v>
      </c>
      <c r="M31" s="17">
        <f>Alex_ITSD_count_data!T31</f>
        <v>3</v>
      </c>
      <c r="N31" s="17">
        <f>Alex_ITSD_count_data!U31</f>
        <v>768011.5</v>
      </c>
      <c r="O31" s="17">
        <f t="shared" si="3"/>
        <v>1075846.0467857143</v>
      </c>
      <c r="P31" s="17">
        <f t="shared" si="4"/>
        <v>1291015.2561428573</v>
      </c>
      <c r="Q31" s="17">
        <f t="shared" si="5"/>
        <v>860676.83742857154</v>
      </c>
      <c r="R31" s="17">
        <f>Alex_ITSD_count_data!V31</f>
        <v>2.6</v>
      </c>
      <c r="S31" s="17">
        <f>Alex_ITSD_count_data!W31</f>
        <v>5354.66</v>
      </c>
      <c r="T31" s="17">
        <f t="shared" si="6"/>
        <v>6943.5592857142865</v>
      </c>
      <c r="U31" s="17">
        <f t="shared" si="7"/>
        <v>8332.2711428571438</v>
      </c>
      <c r="V31" s="17">
        <f t="shared" si="8"/>
        <v>5554.8474285714292</v>
      </c>
      <c r="W31" s="17">
        <f>Alex_ITSD_count_data!X31</f>
        <v>1.1000000000000001</v>
      </c>
    </row>
    <row r="32" spans="1:23" x14ac:dyDescent="0.25">
      <c r="A32" s="23">
        <f>Alex_ITSD_count_data!A32</f>
        <v>4.5763888883811887E-2</v>
      </c>
      <c r="B32" s="8" t="str">
        <f>Alex_ITSD_count_data!B32</f>
        <v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v>
      </c>
      <c r="C32" s="8" t="b">
        <f>Alex_ITSD_count_data!C32</f>
        <v>0</v>
      </c>
      <c r="D32" s="8" t="str">
        <f>Alex_ITSD_count_data!D32</f>
        <v>030SMPL.d</v>
      </c>
      <c r="E32" s="11">
        <f>Alex_ITSD_count_data!E32</f>
        <v>45246.525949074072</v>
      </c>
      <c r="F32" s="8" t="str">
        <f>Alex_ITSD_count_data!F32</f>
        <v>Sample</v>
      </c>
      <c r="G32" s="8">
        <f>Alex_ITSD_count_data!G32</f>
        <v>0</v>
      </c>
      <c r="H32" s="8" t="str">
        <f>Alex_ITSD_count_data!H32</f>
        <v>0-100-B</v>
      </c>
      <c r="I32" s="17">
        <f>Alex_ITSD_count_data!S32</f>
        <v>93241.1</v>
      </c>
      <c r="J32" s="17">
        <f t="shared" si="0"/>
        <v>125782.00142857141</v>
      </c>
      <c r="K32" s="17">
        <f t="shared" si="1"/>
        <v>150938.40171428569</v>
      </c>
      <c r="L32" s="17">
        <f t="shared" si="2"/>
        <v>100625.60114285714</v>
      </c>
      <c r="M32" s="17">
        <f>Alex_ITSD_count_data!T32</f>
        <v>2.6</v>
      </c>
      <c r="N32" s="17">
        <f>Alex_ITSD_count_data!U32</f>
        <v>809082.57</v>
      </c>
      <c r="O32" s="17">
        <f t="shared" si="3"/>
        <v>1075846.0467857143</v>
      </c>
      <c r="P32" s="17">
        <f t="shared" si="4"/>
        <v>1291015.2561428573</v>
      </c>
      <c r="Q32" s="17">
        <f t="shared" si="5"/>
        <v>860676.83742857154</v>
      </c>
      <c r="R32" s="17">
        <f>Alex_ITSD_count_data!V32</f>
        <v>3.4</v>
      </c>
      <c r="S32" s="17">
        <f>Alex_ITSD_count_data!W32</f>
        <v>5744.76</v>
      </c>
      <c r="T32" s="17">
        <f t="shared" si="6"/>
        <v>6943.5592857142865</v>
      </c>
      <c r="U32" s="17">
        <f t="shared" si="7"/>
        <v>8332.2711428571438</v>
      </c>
      <c r="V32" s="17">
        <f t="shared" si="8"/>
        <v>5554.8474285714292</v>
      </c>
      <c r="W32" s="17">
        <f>Alex_ITSD_count_data!X32</f>
        <v>6.2</v>
      </c>
    </row>
    <row r="33" spans="1:23" x14ac:dyDescent="0.25">
      <c r="A33" s="23">
        <f>Alex_ITSD_count_data!A33</f>
        <v>4.6944444438850041E-2</v>
      </c>
      <c r="B33" s="8" t="str">
        <f>Alex_ITSD_count_data!B33</f>
        <v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v>
      </c>
      <c r="C33" s="8" t="b">
        <f>Alex_ITSD_count_data!C33</f>
        <v>0</v>
      </c>
      <c r="D33" s="8" t="str">
        <f>Alex_ITSD_count_data!D33</f>
        <v>031SMPL.d</v>
      </c>
      <c r="E33" s="11">
        <f>Alex_ITSD_count_data!E33</f>
        <v>45246.527129629627</v>
      </c>
      <c r="F33" s="8" t="str">
        <f>Alex_ITSD_count_data!F33</f>
        <v>Sample</v>
      </c>
      <c r="G33" s="8">
        <f>Alex_ITSD_count_data!G33</f>
        <v>0</v>
      </c>
      <c r="H33" s="8" t="str">
        <f>Alex_ITSD_count_data!H33</f>
        <v>0-70-B</v>
      </c>
      <c r="I33" s="17">
        <f>Alex_ITSD_count_data!S33</f>
        <v>92600.92</v>
      </c>
      <c r="J33" s="17">
        <f t="shared" si="0"/>
        <v>125782.00142857141</v>
      </c>
      <c r="K33" s="17">
        <f t="shared" si="1"/>
        <v>150938.40171428569</v>
      </c>
      <c r="L33" s="17">
        <f t="shared" si="2"/>
        <v>100625.60114285714</v>
      </c>
      <c r="M33" s="17">
        <f>Alex_ITSD_count_data!T33</f>
        <v>2.2000000000000002</v>
      </c>
      <c r="N33" s="17">
        <f>Alex_ITSD_count_data!U33</f>
        <v>822596.97</v>
      </c>
      <c r="O33" s="17">
        <f t="shared" si="3"/>
        <v>1075846.0467857143</v>
      </c>
      <c r="P33" s="17">
        <f t="shared" si="4"/>
        <v>1291015.2561428573</v>
      </c>
      <c r="Q33" s="17">
        <f t="shared" si="5"/>
        <v>860676.83742857154</v>
      </c>
      <c r="R33" s="17">
        <f>Alex_ITSD_count_data!V33</f>
        <v>2.2000000000000002</v>
      </c>
      <c r="S33" s="17">
        <f>Alex_ITSD_count_data!W33</f>
        <v>5508.05</v>
      </c>
      <c r="T33" s="17">
        <f t="shared" si="6"/>
        <v>6943.5592857142865</v>
      </c>
      <c r="U33" s="17">
        <f t="shared" si="7"/>
        <v>8332.2711428571438</v>
      </c>
      <c r="V33" s="17">
        <f t="shared" si="8"/>
        <v>5554.8474285714292</v>
      </c>
      <c r="W33" s="17">
        <f>Alex_ITSD_count_data!X33</f>
        <v>5.7</v>
      </c>
    </row>
    <row r="34" spans="1:23" x14ac:dyDescent="0.25">
      <c r="A34" s="23">
        <f>Alex_ITSD_count_data!A34</f>
        <v>4.8078703701321501E-2</v>
      </c>
      <c r="B34" s="8" t="str">
        <f>Alex_ITSD_count_data!B34</f>
        <v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v>
      </c>
      <c r="C34" s="8" t="b">
        <f>Alex_ITSD_count_data!C34</f>
        <v>0</v>
      </c>
      <c r="D34" s="8" t="str">
        <f>Alex_ITSD_count_data!D34</f>
        <v>032SMPL.d</v>
      </c>
      <c r="E34" s="11">
        <f>Alex_ITSD_count_data!E34</f>
        <v>45246.528263888889</v>
      </c>
      <c r="F34" s="8" t="str">
        <f>Alex_ITSD_count_data!F34</f>
        <v>Sample</v>
      </c>
      <c r="G34" s="8">
        <f>Alex_ITSD_count_data!G34</f>
        <v>0</v>
      </c>
      <c r="H34" s="8" t="str">
        <f>Alex_ITSD_count_data!H34</f>
        <v>20-100-T</v>
      </c>
      <c r="I34" s="17">
        <f>Alex_ITSD_count_data!S34</f>
        <v>100370.84</v>
      </c>
      <c r="J34" s="17">
        <f t="shared" si="0"/>
        <v>125782.00142857141</v>
      </c>
      <c r="K34" s="17">
        <f t="shared" si="1"/>
        <v>150938.40171428569</v>
      </c>
      <c r="L34" s="17">
        <f t="shared" si="2"/>
        <v>100625.60114285714</v>
      </c>
      <c r="M34" s="17">
        <f>Alex_ITSD_count_data!T34</f>
        <v>2.6</v>
      </c>
      <c r="N34" s="17">
        <f>Alex_ITSD_count_data!U34</f>
        <v>859080.14</v>
      </c>
      <c r="O34" s="17">
        <f t="shared" si="3"/>
        <v>1075846.0467857143</v>
      </c>
      <c r="P34" s="17">
        <f t="shared" si="4"/>
        <v>1291015.2561428573</v>
      </c>
      <c r="Q34" s="17">
        <f t="shared" si="5"/>
        <v>860676.83742857154</v>
      </c>
      <c r="R34" s="17">
        <f>Alex_ITSD_count_data!V34</f>
        <v>3.1</v>
      </c>
      <c r="S34" s="17">
        <f>Alex_ITSD_count_data!W34</f>
        <v>5974.95</v>
      </c>
      <c r="T34" s="17">
        <f t="shared" si="6"/>
        <v>6943.5592857142865</v>
      </c>
      <c r="U34" s="17">
        <f t="shared" si="7"/>
        <v>8332.2711428571438</v>
      </c>
      <c r="V34" s="17">
        <f t="shared" si="8"/>
        <v>5554.8474285714292</v>
      </c>
      <c r="W34" s="17">
        <f>Alex_ITSD_count_data!X34</f>
        <v>4.2</v>
      </c>
    </row>
    <row r="35" spans="1:23" x14ac:dyDescent="0.25">
      <c r="A35" s="23">
        <f>Alex_ITSD_count_data!A35</f>
        <v>4.9201388887013309E-2</v>
      </c>
      <c r="B35" s="8" t="str">
        <f>Alex_ITSD_count_data!B35</f>
        <v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v>
      </c>
      <c r="C35" s="8" t="b">
        <f>Alex_ITSD_count_data!C35</f>
        <v>0</v>
      </c>
      <c r="D35" s="8" t="str">
        <f>Alex_ITSD_count_data!D35</f>
        <v>033SMPL.d</v>
      </c>
      <c r="E35" s="11">
        <f>Alex_ITSD_count_data!E35</f>
        <v>45246.529386574075</v>
      </c>
      <c r="F35" s="8" t="str">
        <f>Alex_ITSD_count_data!F35</f>
        <v>Sample</v>
      </c>
      <c r="G35" s="8">
        <f>Alex_ITSD_count_data!G35</f>
        <v>0</v>
      </c>
      <c r="H35" s="8" t="str">
        <f>Alex_ITSD_count_data!H35</f>
        <v>20-80-T</v>
      </c>
      <c r="I35" s="17">
        <f>Alex_ITSD_count_data!S35</f>
        <v>104308.38</v>
      </c>
      <c r="J35" s="17">
        <f t="shared" ref="J35:J66" si="12">$AB$2</f>
        <v>125782.00142857141</v>
      </c>
      <c r="K35" s="17">
        <f t="shared" ref="K35:K66" si="13">$AB$4</f>
        <v>150938.40171428569</v>
      </c>
      <c r="L35" s="17">
        <f t="shared" ref="L35:L66" si="14">$AB$5</f>
        <v>100625.60114285714</v>
      </c>
      <c r="M35" s="17">
        <f>Alex_ITSD_count_data!T35</f>
        <v>4.2</v>
      </c>
      <c r="N35" s="17">
        <f>Alex_ITSD_count_data!U35</f>
        <v>895850.9</v>
      </c>
      <c r="O35" s="17">
        <f t="shared" ref="O35:O66" si="15">$AC$2</f>
        <v>1075846.0467857143</v>
      </c>
      <c r="P35" s="17">
        <f t="shared" ref="P35:P66" si="16">$AC$4</f>
        <v>1291015.2561428573</v>
      </c>
      <c r="Q35" s="17">
        <f t="shared" ref="Q35:Q66" si="17">$AC$5</f>
        <v>860676.83742857154</v>
      </c>
      <c r="R35" s="17">
        <f>Alex_ITSD_count_data!V35</f>
        <v>3</v>
      </c>
      <c r="S35" s="17">
        <f>Alex_ITSD_count_data!W35</f>
        <v>6645.27</v>
      </c>
      <c r="T35" s="17">
        <f t="shared" ref="T35:T66" si="18">$AD$2</f>
        <v>6943.5592857142865</v>
      </c>
      <c r="U35" s="17">
        <f t="shared" ref="U35:U66" si="19">$AD$4</f>
        <v>8332.2711428571438</v>
      </c>
      <c r="V35" s="17">
        <f t="shared" ref="V35:V66" si="20">$AD$5</f>
        <v>5554.8474285714292</v>
      </c>
      <c r="W35" s="17">
        <f>Alex_ITSD_count_data!X35</f>
        <v>5.4</v>
      </c>
    </row>
    <row r="36" spans="1:23" x14ac:dyDescent="0.25">
      <c r="A36" s="23">
        <f>Alex_ITSD_count_data!A36</f>
        <v>5.0324074072705116E-2</v>
      </c>
      <c r="B36" s="8" t="str">
        <f>Alex_ITSD_count_data!B36</f>
        <v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v>
      </c>
      <c r="C36" s="8" t="b">
        <f>Alex_ITSD_count_data!C36</f>
        <v>0</v>
      </c>
      <c r="D36" s="8" t="str">
        <f>Alex_ITSD_count_data!D36</f>
        <v>034SMPL.d</v>
      </c>
      <c r="E36" s="11">
        <f>Alex_ITSD_count_data!E36</f>
        <v>45246.530509259261</v>
      </c>
      <c r="F36" s="8" t="str">
        <f>Alex_ITSD_count_data!F36</f>
        <v>Sample</v>
      </c>
      <c r="G36" s="8">
        <f>Alex_ITSD_count_data!G36</f>
        <v>0</v>
      </c>
      <c r="H36" s="8" t="str">
        <f>Alex_ITSD_count_data!H36</f>
        <v>20-30-B</v>
      </c>
      <c r="I36" s="17">
        <f>Alex_ITSD_count_data!S36</f>
        <v>109050.73</v>
      </c>
      <c r="J36" s="17">
        <f t="shared" si="12"/>
        <v>125782.00142857141</v>
      </c>
      <c r="K36" s="17">
        <f t="shared" si="13"/>
        <v>150938.40171428569</v>
      </c>
      <c r="L36" s="17">
        <f t="shared" si="14"/>
        <v>100625.60114285714</v>
      </c>
      <c r="M36" s="17">
        <f>Alex_ITSD_count_data!T36</f>
        <v>2.8</v>
      </c>
      <c r="N36" s="17">
        <f>Alex_ITSD_count_data!U36</f>
        <v>940440.27</v>
      </c>
      <c r="O36" s="17">
        <f t="shared" si="15"/>
        <v>1075846.0467857143</v>
      </c>
      <c r="P36" s="17">
        <f t="shared" si="16"/>
        <v>1291015.2561428573</v>
      </c>
      <c r="Q36" s="17">
        <f t="shared" si="17"/>
        <v>860676.83742857154</v>
      </c>
      <c r="R36" s="17">
        <f>Alex_ITSD_count_data!V36</f>
        <v>3.5</v>
      </c>
      <c r="S36" s="17">
        <f>Alex_ITSD_count_data!W36</f>
        <v>6935.45</v>
      </c>
      <c r="T36" s="17">
        <f t="shared" si="18"/>
        <v>6943.5592857142865</v>
      </c>
      <c r="U36" s="17">
        <f t="shared" si="19"/>
        <v>8332.2711428571438</v>
      </c>
      <c r="V36" s="17">
        <f t="shared" si="20"/>
        <v>5554.8474285714292</v>
      </c>
      <c r="W36" s="17">
        <f>Alex_ITSD_count_data!X36</f>
        <v>3.7</v>
      </c>
    </row>
    <row r="37" spans="1:23" x14ac:dyDescent="0.25">
      <c r="A37" s="23">
        <f>Alex_ITSD_count_data!A37</f>
        <v>5.1493055550963618E-2</v>
      </c>
      <c r="B37" s="8" t="str">
        <f>Alex_ITSD_count_data!B37</f>
        <v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v>
      </c>
      <c r="C37" s="8" t="b">
        <f>Alex_ITSD_count_data!C37</f>
        <v>0</v>
      </c>
      <c r="D37" s="8" t="str">
        <f>Alex_ITSD_count_data!D37</f>
        <v>035SMPL.d</v>
      </c>
      <c r="E37" s="11">
        <f>Alex_ITSD_count_data!E37</f>
        <v>45246.531678240739</v>
      </c>
      <c r="F37" s="8" t="str">
        <f>Alex_ITSD_count_data!F37</f>
        <v>Sample</v>
      </c>
      <c r="G37" s="8">
        <f>Alex_ITSD_count_data!G37</f>
        <v>0</v>
      </c>
      <c r="H37" s="8" t="str">
        <f>Alex_ITSD_count_data!H37</f>
        <v>20-70-T</v>
      </c>
      <c r="I37" s="17">
        <f>Alex_ITSD_count_data!S37</f>
        <v>112226.79</v>
      </c>
      <c r="J37" s="17">
        <f t="shared" si="12"/>
        <v>125782.00142857141</v>
      </c>
      <c r="K37" s="17">
        <f t="shared" si="13"/>
        <v>150938.40171428569</v>
      </c>
      <c r="L37" s="17">
        <f t="shared" si="14"/>
        <v>100625.60114285714</v>
      </c>
      <c r="M37" s="17">
        <f>Alex_ITSD_count_data!T37</f>
        <v>2.5</v>
      </c>
      <c r="N37" s="17">
        <f>Alex_ITSD_count_data!U37</f>
        <v>967091.39</v>
      </c>
      <c r="O37" s="17">
        <f t="shared" si="15"/>
        <v>1075846.0467857143</v>
      </c>
      <c r="P37" s="17">
        <f t="shared" si="16"/>
        <v>1291015.2561428573</v>
      </c>
      <c r="Q37" s="17">
        <f t="shared" si="17"/>
        <v>860676.83742857154</v>
      </c>
      <c r="R37" s="17">
        <f>Alex_ITSD_count_data!V37</f>
        <v>3.5</v>
      </c>
      <c r="S37" s="17">
        <f>Alex_ITSD_count_data!W37</f>
        <v>6695.25</v>
      </c>
      <c r="T37" s="17">
        <f t="shared" si="18"/>
        <v>6943.5592857142865</v>
      </c>
      <c r="U37" s="17">
        <f t="shared" si="19"/>
        <v>8332.2711428571438</v>
      </c>
      <c r="V37" s="17">
        <f t="shared" si="20"/>
        <v>5554.8474285714292</v>
      </c>
      <c r="W37" s="17">
        <f>Alex_ITSD_count_data!X37</f>
        <v>3.8</v>
      </c>
    </row>
    <row r="38" spans="1:23" x14ac:dyDescent="0.25">
      <c r="A38" s="23">
        <f>Alex_ITSD_count_data!A38</f>
        <v>5.2627314813435078E-2</v>
      </c>
      <c r="B38" s="8" t="str">
        <f>Alex_ITSD_count_data!B38</f>
        <v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v>
      </c>
      <c r="C38" s="8" t="b">
        <f>Alex_ITSD_count_data!C38</f>
        <v>0</v>
      </c>
      <c r="D38" s="8" t="str">
        <f>Alex_ITSD_count_data!D38</f>
        <v>036SMPL.d</v>
      </c>
      <c r="E38" s="11">
        <f>Alex_ITSD_count_data!E38</f>
        <v>45246.532812500001</v>
      </c>
      <c r="F38" s="8" t="str">
        <f>Alex_ITSD_count_data!F38</f>
        <v>Sample</v>
      </c>
      <c r="G38" s="8">
        <f>Alex_ITSD_count_data!G38</f>
        <v>0</v>
      </c>
      <c r="H38" s="8" t="str">
        <f>Alex_ITSD_count_data!H38</f>
        <v>20-60-T</v>
      </c>
      <c r="I38" s="17">
        <f>Alex_ITSD_count_data!S38</f>
        <v>114154.89</v>
      </c>
      <c r="J38" s="17">
        <f t="shared" si="12"/>
        <v>125782.00142857141</v>
      </c>
      <c r="K38" s="17">
        <f t="shared" si="13"/>
        <v>150938.40171428569</v>
      </c>
      <c r="L38" s="17">
        <f t="shared" si="14"/>
        <v>100625.60114285714</v>
      </c>
      <c r="M38" s="17">
        <f>Alex_ITSD_count_data!T38</f>
        <v>4.2</v>
      </c>
      <c r="N38" s="17">
        <f>Alex_ITSD_count_data!U38</f>
        <v>970176.49</v>
      </c>
      <c r="O38" s="17">
        <f t="shared" si="15"/>
        <v>1075846.0467857143</v>
      </c>
      <c r="P38" s="17">
        <f t="shared" si="16"/>
        <v>1291015.2561428573</v>
      </c>
      <c r="Q38" s="17">
        <f t="shared" si="17"/>
        <v>860676.83742857154</v>
      </c>
      <c r="R38" s="17">
        <f>Alex_ITSD_count_data!V38</f>
        <v>3.4</v>
      </c>
      <c r="S38" s="17">
        <f>Alex_ITSD_count_data!W38</f>
        <v>6558.62</v>
      </c>
      <c r="T38" s="17">
        <f t="shared" si="18"/>
        <v>6943.5592857142865</v>
      </c>
      <c r="U38" s="17">
        <f t="shared" si="19"/>
        <v>8332.2711428571438</v>
      </c>
      <c r="V38" s="17">
        <f t="shared" si="20"/>
        <v>5554.8474285714292</v>
      </c>
      <c r="W38" s="17">
        <f>Alex_ITSD_count_data!X38</f>
        <v>6.4</v>
      </c>
    </row>
    <row r="39" spans="1:23" x14ac:dyDescent="0.25">
      <c r="A39" s="23">
        <f>Alex_ITSD_count_data!A39</f>
        <v>6.2395833330811001E-2</v>
      </c>
      <c r="B39" s="8" t="str">
        <f>Alex_ITSD_count_data!B39</f>
        <v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v>
      </c>
      <c r="C39" s="8" t="b">
        <f>Alex_ITSD_count_data!C39</f>
        <v>0</v>
      </c>
      <c r="D39" s="8" t="str">
        <f>Alex_ITSD_count_data!D39</f>
        <v>037SMPL.d</v>
      </c>
      <c r="E39" s="11">
        <f>Alex_ITSD_count_data!E39</f>
        <v>45246.542581018519</v>
      </c>
      <c r="F39" s="8" t="str">
        <f>Alex_ITSD_count_data!F39</f>
        <v>Sample</v>
      </c>
      <c r="G39" s="8">
        <f>Alex_ITSD_count_data!G39</f>
        <v>0</v>
      </c>
      <c r="H39" s="8" t="str">
        <f>Alex_ITSD_count_data!H39</f>
        <v>20-90-B</v>
      </c>
      <c r="I39" s="17">
        <f>Alex_ITSD_count_data!S39</f>
        <v>133009.35</v>
      </c>
      <c r="J39" s="17">
        <f t="shared" si="12"/>
        <v>125782.00142857141</v>
      </c>
      <c r="K39" s="17">
        <f t="shared" si="13"/>
        <v>150938.40171428569</v>
      </c>
      <c r="L39" s="17">
        <f t="shared" si="14"/>
        <v>100625.60114285714</v>
      </c>
      <c r="M39" s="17">
        <f>Alex_ITSD_count_data!T39</f>
        <v>3.4</v>
      </c>
      <c r="N39" s="17">
        <f>Alex_ITSD_count_data!U39</f>
        <v>1152294.72</v>
      </c>
      <c r="O39" s="17">
        <f t="shared" si="15"/>
        <v>1075846.0467857143</v>
      </c>
      <c r="P39" s="17">
        <f t="shared" si="16"/>
        <v>1291015.2561428573</v>
      </c>
      <c r="Q39" s="17">
        <f t="shared" si="17"/>
        <v>860676.83742857154</v>
      </c>
      <c r="R39" s="17">
        <f>Alex_ITSD_count_data!V39</f>
        <v>3.1</v>
      </c>
      <c r="S39" s="17">
        <f>Alex_ITSD_count_data!W39</f>
        <v>8070.27</v>
      </c>
      <c r="T39" s="17">
        <f t="shared" si="18"/>
        <v>6943.5592857142865</v>
      </c>
      <c r="U39" s="17">
        <f t="shared" si="19"/>
        <v>8332.2711428571438</v>
      </c>
      <c r="V39" s="17">
        <f t="shared" si="20"/>
        <v>5554.8474285714292</v>
      </c>
      <c r="W39" s="17">
        <f>Alex_ITSD_count_data!X39</f>
        <v>11.9</v>
      </c>
    </row>
    <row r="40" spans="1:23" x14ac:dyDescent="0.25">
      <c r="A40" s="23">
        <f>Alex_ITSD_count_data!A40</f>
        <v>6.3530092593282461E-2</v>
      </c>
      <c r="B40" s="8" t="str">
        <f>Alex_ITSD_count_data!B40</f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C40" s="8" t="b">
        <f>Alex_ITSD_count_data!C40</f>
        <v>0</v>
      </c>
      <c r="D40" s="8" t="str">
        <f>Alex_ITSD_count_data!D40</f>
        <v>038SMPL.d</v>
      </c>
      <c r="E40" s="11">
        <f>Alex_ITSD_count_data!E40</f>
        <v>45246.543715277781</v>
      </c>
      <c r="F40" s="8" t="str">
        <f>Alex_ITSD_count_data!F40</f>
        <v>Sample</v>
      </c>
      <c r="G40" s="8">
        <f>Alex_ITSD_count_data!G40</f>
        <v>0</v>
      </c>
      <c r="H40" s="8" t="str">
        <f>Alex_ITSD_count_data!H40</f>
        <v xml:space="preserve">blk </v>
      </c>
      <c r="I40" s="17">
        <f>Alex_ITSD_count_data!S40</f>
        <v>132885.17000000001</v>
      </c>
      <c r="J40" s="17">
        <f t="shared" si="12"/>
        <v>125782.00142857141</v>
      </c>
      <c r="K40" s="17">
        <f t="shared" si="13"/>
        <v>150938.40171428569</v>
      </c>
      <c r="L40" s="17">
        <f t="shared" si="14"/>
        <v>100625.60114285714</v>
      </c>
      <c r="M40" s="17">
        <f>Alex_ITSD_count_data!T40</f>
        <v>4.0999999999999996</v>
      </c>
      <c r="N40" s="17">
        <f>Alex_ITSD_count_data!U40</f>
        <v>1158292.53</v>
      </c>
      <c r="O40" s="17">
        <f t="shared" si="15"/>
        <v>1075846.0467857143</v>
      </c>
      <c r="P40" s="17">
        <f t="shared" si="16"/>
        <v>1291015.2561428573</v>
      </c>
      <c r="Q40" s="17">
        <f t="shared" si="17"/>
        <v>860676.83742857154</v>
      </c>
      <c r="R40" s="17">
        <f>Alex_ITSD_count_data!V40</f>
        <v>3.7</v>
      </c>
      <c r="S40" s="17">
        <f>Alex_ITSD_count_data!W40</f>
        <v>9804.85</v>
      </c>
      <c r="T40" s="17">
        <f t="shared" si="18"/>
        <v>6943.5592857142865</v>
      </c>
      <c r="U40" s="17">
        <f t="shared" si="19"/>
        <v>8332.2711428571438</v>
      </c>
      <c r="V40" s="17">
        <f t="shared" si="20"/>
        <v>5554.8474285714292</v>
      </c>
      <c r="W40" s="17">
        <f>Alex_ITSD_count_data!X40</f>
        <v>39.799999999999997</v>
      </c>
    </row>
    <row r="41" spans="1:23" x14ac:dyDescent="0.25">
      <c r="A41" s="23">
        <f>Alex_ITSD_count_data!A41</f>
        <v>6.4664351848477963E-2</v>
      </c>
      <c r="B41" s="8" t="str">
        <f>Alex_ITSD_count_data!B41</f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C41" s="8" t="b">
        <f>Alex_ITSD_count_data!C41</f>
        <v>0</v>
      </c>
      <c r="D41" s="8" t="str">
        <f>Alex_ITSD_count_data!D41</f>
        <v>039SMPL.d</v>
      </c>
      <c r="E41" s="11">
        <f>Alex_ITSD_count_data!E41</f>
        <v>45246.544849537036</v>
      </c>
      <c r="F41" s="8" t="str">
        <f>Alex_ITSD_count_data!F41</f>
        <v>Sample</v>
      </c>
      <c r="G41" s="8">
        <f>Alex_ITSD_count_data!G41</f>
        <v>0</v>
      </c>
      <c r="H41" s="8" t="str">
        <f>Alex_ITSD_count_data!H41</f>
        <v>100 ppb check</v>
      </c>
      <c r="I41" s="17">
        <f>Alex_ITSD_count_data!S41</f>
        <v>136107.75</v>
      </c>
      <c r="J41" s="17">
        <f t="shared" si="12"/>
        <v>125782.00142857141</v>
      </c>
      <c r="K41" s="17">
        <f t="shared" si="13"/>
        <v>150938.40171428569</v>
      </c>
      <c r="L41" s="17">
        <f t="shared" si="14"/>
        <v>100625.60114285714</v>
      </c>
      <c r="M41" s="17">
        <f>Alex_ITSD_count_data!T41</f>
        <v>3</v>
      </c>
      <c r="N41" s="17">
        <f>Alex_ITSD_count_data!U41</f>
        <v>1184898.99</v>
      </c>
      <c r="O41" s="17">
        <f t="shared" si="15"/>
        <v>1075846.0467857143</v>
      </c>
      <c r="P41" s="17">
        <f t="shared" si="16"/>
        <v>1291015.2561428573</v>
      </c>
      <c r="Q41" s="17">
        <f t="shared" si="17"/>
        <v>860676.83742857154</v>
      </c>
      <c r="R41" s="17">
        <f>Alex_ITSD_count_data!V41</f>
        <v>2.6</v>
      </c>
      <c r="S41" s="17">
        <f>Alex_ITSD_count_data!W41</f>
        <v>7755.96</v>
      </c>
      <c r="T41" s="17">
        <f t="shared" si="18"/>
        <v>6943.5592857142865</v>
      </c>
      <c r="U41" s="17">
        <f t="shared" si="19"/>
        <v>8332.2711428571438</v>
      </c>
      <c r="V41" s="17">
        <f t="shared" si="20"/>
        <v>5554.8474285714292</v>
      </c>
      <c r="W41" s="17">
        <f>Alex_ITSD_count_data!X41</f>
        <v>6.4</v>
      </c>
    </row>
    <row r="42" spans="1:23" x14ac:dyDescent="0.25">
      <c r="A42" s="23">
        <f>Alex_ITSD_count_data!A42</f>
        <v>6.5787037034169771E-2</v>
      </c>
      <c r="B42" s="8" t="str">
        <f>Alex_ITSD_count_data!B42</f>
        <v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v>
      </c>
      <c r="C42" s="8" t="b">
        <f>Alex_ITSD_count_data!C42</f>
        <v>0</v>
      </c>
      <c r="D42" s="8" t="str">
        <f>Alex_ITSD_count_data!D42</f>
        <v>040SMPL.d</v>
      </c>
      <c r="E42" s="11">
        <f>Alex_ITSD_count_data!E42</f>
        <v>45246.545972222222</v>
      </c>
      <c r="F42" s="8" t="str">
        <f>Alex_ITSD_count_data!F42</f>
        <v>Sample</v>
      </c>
      <c r="G42" s="8">
        <f>Alex_ITSD_count_data!G42</f>
        <v>0</v>
      </c>
      <c r="H42" s="8" t="str">
        <f>Alex_ITSD_count_data!H42</f>
        <v>0-50-B</v>
      </c>
      <c r="I42" s="17">
        <f>Alex_ITSD_count_data!S42</f>
        <v>141805.26999999999</v>
      </c>
      <c r="J42" s="17">
        <f t="shared" si="12"/>
        <v>125782.00142857141</v>
      </c>
      <c r="K42" s="17">
        <f t="shared" si="13"/>
        <v>150938.40171428569</v>
      </c>
      <c r="L42" s="17">
        <f t="shared" si="14"/>
        <v>100625.60114285714</v>
      </c>
      <c r="M42" s="17">
        <f>Alex_ITSD_count_data!T42</f>
        <v>2.9</v>
      </c>
      <c r="N42" s="17">
        <f>Alex_ITSD_count_data!U42</f>
        <v>1228359.3600000001</v>
      </c>
      <c r="O42" s="17">
        <f t="shared" si="15"/>
        <v>1075846.0467857143</v>
      </c>
      <c r="P42" s="17">
        <f t="shared" si="16"/>
        <v>1291015.2561428573</v>
      </c>
      <c r="Q42" s="17">
        <f t="shared" si="17"/>
        <v>860676.83742857154</v>
      </c>
      <c r="R42" s="17">
        <f>Alex_ITSD_count_data!V42</f>
        <v>2.2999999999999998</v>
      </c>
      <c r="S42" s="17">
        <f>Alex_ITSD_count_data!W42</f>
        <v>8466.39</v>
      </c>
      <c r="T42" s="17">
        <f t="shared" si="18"/>
        <v>6943.5592857142865</v>
      </c>
      <c r="U42" s="17">
        <f t="shared" si="19"/>
        <v>8332.2711428571438</v>
      </c>
      <c r="V42" s="17">
        <f t="shared" si="20"/>
        <v>5554.8474285714292</v>
      </c>
      <c r="W42" s="17">
        <f>Alex_ITSD_count_data!X42</f>
        <v>4.5999999999999996</v>
      </c>
    </row>
    <row r="43" spans="1:23" x14ac:dyDescent="0.25">
      <c r="A43" s="23">
        <f>Alex_ITSD_count_data!A43</f>
        <v>6.6979166665987577E-2</v>
      </c>
      <c r="B43" s="8" t="str">
        <f>Alex_ITSD_count_data!B43</f>
        <v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v>
      </c>
      <c r="C43" s="8" t="b">
        <f>Alex_ITSD_count_data!C43</f>
        <v>0</v>
      </c>
      <c r="D43" s="8" t="str">
        <f>Alex_ITSD_count_data!D43</f>
        <v>041SMPL.d</v>
      </c>
      <c r="E43" s="11">
        <f>Alex_ITSD_count_data!E43</f>
        <v>45246.547164351854</v>
      </c>
      <c r="F43" s="8" t="str">
        <f>Alex_ITSD_count_data!F43</f>
        <v>Sample</v>
      </c>
      <c r="G43" s="8">
        <f>Alex_ITSD_count_data!G43</f>
        <v>0</v>
      </c>
      <c r="H43" s="8" t="str">
        <f>Alex_ITSD_count_data!H43</f>
        <v>0-90-B</v>
      </c>
      <c r="I43" s="17">
        <f>Alex_ITSD_count_data!S43</f>
        <v>144151.39000000001</v>
      </c>
      <c r="J43" s="17">
        <f t="shared" si="12"/>
        <v>125782.00142857141</v>
      </c>
      <c r="K43" s="17">
        <f t="shared" si="13"/>
        <v>150938.40171428569</v>
      </c>
      <c r="L43" s="17">
        <f t="shared" si="14"/>
        <v>100625.60114285714</v>
      </c>
      <c r="M43" s="17">
        <f>Alex_ITSD_count_data!T43</f>
        <v>1.9</v>
      </c>
      <c r="N43" s="17">
        <f>Alex_ITSD_count_data!U43</f>
        <v>1242497.5900000001</v>
      </c>
      <c r="O43" s="17">
        <f t="shared" si="15"/>
        <v>1075846.0467857143</v>
      </c>
      <c r="P43" s="17">
        <f t="shared" si="16"/>
        <v>1291015.2561428573</v>
      </c>
      <c r="Q43" s="17">
        <f t="shared" si="17"/>
        <v>860676.83742857154</v>
      </c>
      <c r="R43" s="17">
        <f>Alex_ITSD_count_data!V43</f>
        <v>2</v>
      </c>
      <c r="S43" s="17">
        <f>Alex_ITSD_count_data!W43</f>
        <v>8666.91</v>
      </c>
      <c r="T43" s="17">
        <f t="shared" si="18"/>
        <v>6943.5592857142865</v>
      </c>
      <c r="U43" s="17">
        <f t="shared" si="19"/>
        <v>8332.2711428571438</v>
      </c>
      <c r="V43" s="17">
        <f t="shared" si="20"/>
        <v>5554.8474285714292</v>
      </c>
      <c r="W43" s="17">
        <f>Alex_ITSD_count_data!X43</f>
        <v>6.9</v>
      </c>
    </row>
    <row r="44" spans="1:23" x14ac:dyDescent="0.25">
      <c r="A44" s="23">
        <f>Alex_ITSD_count_data!A44</f>
        <v>6.8229166667151731E-2</v>
      </c>
      <c r="B44" s="8" t="str">
        <f>Alex_ITSD_count_data!B44</f>
        <v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v>
      </c>
      <c r="C44" s="8" t="b">
        <f>Alex_ITSD_count_data!C44</f>
        <v>0</v>
      </c>
      <c r="D44" s="8" t="str">
        <f>Alex_ITSD_count_data!D44</f>
        <v>042SMPL.d</v>
      </c>
      <c r="E44" s="11">
        <f>Alex_ITSD_count_data!E44</f>
        <v>45246.548414351855</v>
      </c>
      <c r="F44" s="8" t="str">
        <f>Alex_ITSD_count_data!F44</f>
        <v>Sample</v>
      </c>
      <c r="G44" s="8">
        <f>Alex_ITSD_count_data!G44</f>
        <v>0</v>
      </c>
      <c r="H44" s="8" t="str">
        <f>Alex_ITSD_count_data!H44</f>
        <v>20-40-T</v>
      </c>
      <c r="I44" s="17">
        <f>Alex_ITSD_count_data!S44</f>
        <v>143744.62</v>
      </c>
      <c r="J44" s="17">
        <f t="shared" si="12"/>
        <v>125782.00142857141</v>
      </c>
      <c r="K44" s="17">
        <f t="shared" si="13"/>
        <v>150938.40171428569</v>
      </c>
      <c r="L44" s="17">
        <f t="shared" si="14"/>
        <v>100625.60114285714</v>
      </c>
      <c r="M44" s="17">
        <f>Alex_ITSD_count_data!T44</f>
        <v>2.2999999999999998</v>
      </c>
      <c r="N44" s="17">
        <f>Alex_ITSD_count_data!U44</f>
        <v>1254960.92</v>
      </c>
      <c r="O44" s="17">
        <f t="shared" si="15"/>
        <v>1075846.0467857143</v>
      </c>
      <c r="P44" s="17">
        <f t="shared" si="16"/>
        <v>1291015.2561428573</v>
      </c>
      <c r="Q44" s="17">
        <f t="shared" si="17"/>
        <v>860676.83742857154</v>
      </c>
      <c r="R44" s="17">
        <f>Alex_ITSD_count_data!V44</f>
        <v>2.6</v>
      </c>
      <c r="S44" s="17">
        <f>Alex_ITSD_count_data!W44</f>
        <v>8796.77</v>
      </c>
      <c r="T44" s="17">
        <f t="shared" si="18"/>
        <v>6943.5592857142865</v>
      </c>
      <c r="U44" s="17">
        <f t="shared" si="19"/>
        <v>8332.2711428571438</v>
      </c>
      <c r="V44" s="17">
        <f t="shared" si="20"/>
        <v>5554.8474285714292</v>
      </c>
      <c r="W44" s="17">
        <f>Alex_ITSD_count_data!X44</f>
        <v>3</v>
      </c>
    </row>
    <row r="45" spans="1:23" x14ac:dyDescent="0.25">
      <c r="A45" s="23">
        <f>Alex_ITSD_count_data!A45</f>
        <v>6.9363425922347233E-2</v>
      </c>
      <c r="B45" s="8" t="str">
        <f>Alex_ITSD_count_data!B45</f>
        <v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v>
      </c>
      <c r="C45" s="8" t="b">
        <f>Alex_ITSD_count_data!C45</f>
        <v>0</v>
      </c>
      <c r="D45" s="8" t="str">
        <f>Alex_ITSD_count_data!D45</f>
        <v>043SMPL.d</v>
      </c>
      <c r="E45" s="11">
        <f>Alex_ITSD_count_data!E45</f>
        <v>45246.54954861111</v>
      </c>
      <c r="F45" s="8" t="str">
        <f>Alex_ITSD_count_data!F45</f>
        <v>Sample</v>
      </c>
      <c r="G45" s="8">
        <f>Alex_ITSD_count_data!G45</f>
        <v>0</v>
      </c>
      <c r="H45" s="8" t="str">
        <f>Alex_ITSD_count_data!H45</f>
        <v>20-20-T</v>
      </c>
      <c r="I45" s="17">
        <f>Alex_ITSD_count_data!S45</f>
        <v>161647.97</v>
      </c>
      <c r="J45" s="17">
        <f t="shared" si="12"/>
        <v>125782.00142857141</v>
      </c>
      <c r="K45" s="17">
        <f t="shared" si="13"/>
        <v>150938.40171428569</v>
      </c>
      <c r="L45" s="17">
        <f t="shared" si="14"/>
        <v>100625.60114285714</v>
      </c>
      <c r="M45" s="17">
        <f>Alex_ITSD_count_data!T45</f>
        <v>47.9</v>
      </c>
      <c r="N45" s="17">
        <f>Alex_ITSD_count_data!U45</f>
        <v>1389508.76</v>
      </c>
      <c r="O45" s="17">
        <f t="shared" si="15"/>
        <v>1075846.0467857143</v>
      </c>
      <c r="P45" s="17">
        <f t="shared" si="16"/>
        <v>1291015.2561428573</v>
      </c>
      <c r="Q45" s="17">
        <f t="shared" si="17"/>
        <v>860676.83742857154</v>
      </c>
      <c r="R45" s="17">
        <f>Alex_ITSD_count_data!V45</f>
        <v>49</v>
      </c>
      <c r="S45" s="17">
        <f>Alex_ITSD_count_data!W45</f>
        <v>10121.76</v>
      </c>
      <c r="T45" s="17">
        <f t="shared" si="18"/>
        <v>6943.5592857142865</v>
      </c>
      <c r="U45" s="17">
        <f t="shared" si="19"/>
        <v>8332.2711428571438</v>
      </c>
      <c r="V45" s="17">
        <f t="shared" si="20"/>
        <v>5554.8474285714292</v>
      </c>
      <c r="W45" s="17">
        <f>Alex_ITSD_count_data!X45</f>
        <v>44.9</v>
      </c>
    </row>
    <row r="46" spans="1:23" x14ac:dyDescent="0.25">
      <c r="A46" s="23">
        <f>Alex_ITSD_count_data!A46</f>
        <v>7.0555555554165039E-2</v>
      </c>
      <c r="B46" s="8" t="str">
        <f>Alex_ITSD_count_data!B46</f>
        <v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v>
      </c>
      <c r="C46" s="8" t="b">
        <f>Alex_ITSD_count_data!C46</f>
        <v>0</v>
      </c>
      <c r="D46" s="8" t="str">
        <f>Alex_ITSD_count_data!D46</f>
        <v>044SMPL.d</v>
      </c>
      <c r="E46" s="11">
        <f>Alex_ITSD_count_data!E46</f>
        <v>45246.550740740742</v>
      </c>
      <c r="F46" s="8" t="str">
        <f>Alex_ITSD_count_data!F46</f>
        <v>Sample</v>
      </c>
      <c r="G46" s="8">
        <f>Alex_ITSD_count_data!G46</f>
        <v>0</v>
      </c>
      <c r="H46" s="8" t="str">
        <f>Alex_ITSD_count_data!H46</f>
        <v>20-100-B</v>
      </c>
      <c r="I46" s="17">
        <f>Alex_ITSD_count_data!S46</f>
        <v>147123.74</v>
      </c>
      <c r="J46" s="17">
        <f t="shared" si="12"/>
        <v>125782.00142857141</v>
      </c>
      <c r="K46" s="17">
        <f t="shared" si="13"/>
        <v>150938.40171428569</v>
      </c>
      <c r="L46" s="17">
        <f t="shared" si="14"/>
        <v>100625.60114285714</v>
      </c>
      <c r="M46" s="17">
        <f>Alex_ITSD_count_data!T46</f>
        <v>3.7</v>
      </c>
      <c r="N46" s="17">
        <f>Alex_ITSD_count_data!U46</f>
        <v>1058476.3600000001</v>
      </c>
      <c r="O46" s="17">
        <f t="shared" si="15"/>
        <v>1075846.0467857143</v>
      </c>
      <c r="P46" s="17">
        <f t="shared" si="16"/>
        <v>1291015.2561428573</v>
      </c>
      <c r="Q46" s="17">
        <f t="shared" si="17"/>
        <v>860676.83742857154</v>
      </c>
      <c r="R46" s="17">
        <f>Alex_ITSD_count_data!V46</f>
        <v>3.1</v>
      </c>
      <c r="S46" s="17">
        <f>Alex_ITSD_count_data!W46</f>
        <v>6695.35</v>
      </c>
      <c r="T46" s="17">
        <f t="shared" si="18"/>
        <v>6943.5592857142865</v>
      </c>
      <c r="U46" s="17">
        <f t="shared" si="19"/>
        <v>8332.2711428571438</v>
      </c>
      <c r="V46" s="17">
        <f t="shared" si="20"/>
        <v>5554.8474285714292</v>
      </c>
      <c r="W46" s="17">
        <f>Alex_ITSD_count_data!X46</f>
        <v>3.9</v>
      </c>
    </row>
    <row r="47" spans="1:23" x14ac:dyDescent="0.25">
      <c r="A47" s="23">
        <f>Alex_ITSD_count_data!A47</f>
        <v>7.1689814809360541E-2</v>
      </c>
      <c r="B47" s="8" t="str">
        <f>Alex_ITSD_count_data!B47</f>
        <v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v>
      </c>
      <c r="C47" s="8" t="b">
        <f>Alex_ITSD_count_data!C47</f>
        <v>0</v>
      </c>
      <c r="D47" s="8" t="str">
        <f>Alex_ITSD_count_data!D47</f>
        <v>045SMPL.d</v>
      </c>
      <c r="E47" s="11">
        <f>Alex_ITSD_count_data!E47</f>
        <v>45246.551874999997</v>
      </c>
      <c r="F47" s="8" t="str">
        <f>Alex_ITSD_count_data!F47</f>
        <v>Sample</v>
      </c>
      <c r="G47" s="8">
        <f>Alex_ITSD_count_data!G47</f>
        <v>0</v>
      </c>
      <c r="H47" s="8" t="str">
        <f>Alex_ITSD_count_data!H47</f>
        <v>20-10-B</v>
      </c>
      <c r="I47" s="17">
        <f>Alex_ITSD_count_data!S47</f>
        <v>167609.71</v>
      </c>
      <c r="J47" s="17">
        <f t="shared" si="12"/>
        <v>125782.00142857141</v>
      </c>
      <c r="K47" s="17">
        <f t="shared" si="13"/>
        <v>150938.40171428569</v>
      </c>
      <c r="L47" s="17">
        <f t="shared" si="14"/>
        <v>100625.60114285714</v>
      </c>
      <c r="M47" s="17">
        <f>Alex_ITSD_count_data!T47</f>
        <v>2.2000000000000002</v>
      </c>
      <c r="N47" s="17">
        <f>Alex_ITSD_count_data!U47</f>
        <v>1311511.23</v>
      </c>
      <c r="O47" s="17">
        <f t="shared" si="15"/>
        <v>1075846.0467857143</v>
      </c>
      <c r="P47" s="17">
        <f t="shared" si="16"/>
        <v>1291015.2561428573</v>
      </c>
      <c r="Q47" s="17">
        <f t="shared" si="17"/>
        <v>860676.83742857154</v>
      </c>
      <c r="R47" s="17">
        <f>Alex_ITSD_count_data!V47</f>
        <v>2.1</v>
      </c>
      <c r="S47" s="17">
        <f>Alex_ITSD_count_data!W47</f>
        <v>8853.4699999999993</v>
      </c>
      <c r="T47" s="17">
        <f t="shared" si="18"/>
        <v>6943.5592857142865</v>
      </c>
      <c r="U47" s="17">
        <f t="shared" si="19"/>
        <v>8332.2711428571438</v>
      </c>
      <c r="V47" s="17">
        <f t="shared" si="20"/>
        <v>5554.8474285714292</v>
      </c>
      <c r="W47" s="17">
        <f>Alex_ITSD_count_data!X47</f>
        <v>6.3</v>
      </c>
    </row>
    <row r="48" spans="1:23" x14ac:dyDescent="0.25">
      <c r="A48" s="23">
        <f>Alex_ITSD_count_data!A48</f>
        <v>7.2789351848769002E-2</v>
      </c>
      <c r="B48" s="8" t="str">
        <f>Alex_ITSD_count_data!B48</f>
        <v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v>
      </c>
      <c r="C48" s="8" t="b">
        <f>Alex_ITSD_count_data!C48</f>
        <v>0</v>
      </c>
      <c r="D48" s="8" t="str">
        <f>Alex_ITSD_count_data!D48</f>
        <v>046SMPL.d</v>
      </c>
      <c r="E48" s="11">
        <f>Alex_ITSD_count_data!E48</f>
        <v>45246.552974537037</v>
      </c>
      <c r="F48" s="8" t="str">
        <f>Alex_ITSD_count_data!F48</f>
        <v>Sample</v>
      </c>
      <c r="G48" s="8">
        <f>Alex_ITSD_count_data!G48</f>
        <v>0</v>
      </c>
      <c r="H48" s="8" t="str">
        <f>Alex_ITSD_count_data!H48</f>
        <v>20-30-T</v>
      </c>
      <c r="I48" s="17">
        <f>Alex_ITSD_count_data!S48</f>
        <v>168802.42</v>
      </c>
      <c r="J48" s="17">
        <f t="shared" si="12"/>
        <v>125782.00142857141</v>
      </c>
      <c r="K48" s="17">
        <f t="shared" si="13"/>
        <v>150938.40171428569</v>
      </c>
      <c r="L48" s="17">
        <f t="shared" si="14"/>
        <v>100625.60114285714</v>
      </c>
      <c r="M48" s="17">
        <f>Alex_ITSD_count_data!T48</f>
        <v>3.5</v>
      </c>
      <c r="N48" s="17">
        <f>Alex_ITSD_count_data!U48</f>
        <v>1339476.1299999999</v>
      </c>
      <c r="O48" s="17">
        <f t="shared" si="15"/>
        <v>1075846.0467857143</v>
      </c>
      <c r="P48" s="17">
        <f t="shared" si="16"/>
        <v>1291015.2561428573</v>
      </c>
      <c r="Q48" s="17">
        <f t="shared" si="17"/>
        <v>860676.83742857154</v>
      </c>
      <c r="R48" s="17">
        <f>Alex_ITSD_count_data!V48</f>
        <v>3</v>
      </c>
      <c r="S48" s="17">
        <f>Alex_ITSD_count_data!W48</f>
        <v>8516.5300000000007</v>
      </c>
      <c r="T48" s="17">
        <f t="shared" si="18"/>
        <v>6943.5592857142865</v>
      </c>
      <c r="U48" s="17">
        <f t="shared" si="19"/>
        <v>8332.2711428571438</v>
      </c>
      <c r="V48" s="17">
        <f t="shared" si="20"/>
        <v>5554.8474285714292</v>
      </c>
      <c r="W48" s="17">
        <f>Alex_ITSD_count_data!X48</f>
        <v>4.4000000000000004</v>
      </c>
    </row>
    <row r="49" spans="1:23" x14ac:dyDescent="0.25">
      <c r="A49" s="23">
        <f>Alex_ITSD_count_data!A49</f>
        <v>7.3923611111240461E-2</v>
      </c>
      <c r="B49" s="8" t="str">
        <f>Alex_ITSD_count_data!B49</f>
        <v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v>
      </c>
      <c r="C49" s="8" t="b">
        <f>Alex_ITSD_count_data!C49</f>
        <v>0</v>
      </c>
      <c r="D49" s="8" t="str">
        <f>Alex_ITSD_count_data!D49</f>
        <v>047SMPL.d</v>
      </c>
      <c r="E49" s="11">
        <f>Alex_ITSD_count_data!E49</f>
        <v>45246.554108796299</v>
      </c>
      <c r="F49" s="8" t="str">
        <f>Alex_ITSD_count_data!F49</f>
        <v>Sample</v>
      </c>
      <c r="G49" s="8">
        <f>Alex_ITSD_count_data!G49</f>
        <v>0</v>
      </c>
      <c r="H49" s="8" t="str">
        <f>Alex_ITSD_count_data!H49</f>
        <v>10-0-T</v>
      </c>
      <c r="I49" s="17">
        <f>Alex_ITSD_count_data!S49</f>
        <v>154247.57999999999</v>
      </c>
      <c r="J49" s="17">
        <f t="shared" si="12"/>
        <v>125782.00142857141</v>
      </c>
      <c r="K49" s="17">
        <f t="shared" si="13"/>
        <v>150938.40171428569</v>
      </c>
      <c r="L49" s="17">
        <f t="shared" si="14"/>
        <v>100625.60114285714</v>
      </c>
      <c r="M49" s="17">
        <f>Alex_ITSD_count_data!T49</f>
        <v>11.3</v>
      </c>
      <c r="N49" s="17">
        <f>Alex_ITSD_count_data!U49</f>
        <v>1257332.06</v>
      </c>
      <c r="O49" s="17">
        <f t="shared" si="15"/>
        <v>1075846.0467857143</v>
      </c>
      <c r="P49" s="17">
        <f t="shared" si="16"/>
        <v>1291015.2561428573</v>
      </c>
      <c r="Q49" s="17">
        <f t="shared" si="17"/>
        <v>860676.83742857154</v>
      </c>
      <c r="R49" s="17">
        <f>Alex_ITSD_count_data!V49</f>
        <v>10.8</v>
      </c>
      <c r="S49" s="17">
        <f>Alex_ITSD_count_data!W49</f>
        <v>14980.13</v>
      </c>
      <c r="T49" s="17">
        <f t="shared" si="18"/>
        <v>6943.5592857142865</v>
      </c>
      <c r="U49" s="17">
        <f t="shared" si="19"/>
        <v>8332.2711428571438</v>
      </c>
      <c r="V49" s="17">
        <f t="shared" si="20"/>
        <v>5554.8474285714292</v>
      </c>
      <c r="W49" s="17">
        <f>Alex_ITSD_count_data!X49</f>
        <v>79.8</v>
      </c>
    </row>
    <row r="50" spans="1:23" x14ac:dyDescent="0.25">
      <c r="A50" s="23">
        <f>Alex_ITSD_count_data!A50</f>
        <v>7.5104166666278616E-2</v>
      </c>
      <c r="B50" s="8" t="str">
        <f>Alex_ITSD_count_data!B50</f>
        <v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v>
      </c>
      <c r="C50" s="8" t="b">
        <f>Alex_ITSD_count_data!C50</f>
        <v>0</v>
      </c>
      <c r="D50" s="8" t="str">
        <f>Alex_ITSD_count_data!D50</f>
        <v>048SMPL.d</v>
      </c>
      <c r="E50" s="11">
        <f>Alex_ITSD_count_data!E50</f>
        <v>45246.555289351854</v>
      </c>
      <c r="F50" s="8" t="str">
        <f>Alex_ITSD_count_data!F50</f>
        <v>Sample</v>
      </c>
      <c r="G50" s="8">
        <f>Alex_ITSD_count_data!G50</f>
        <v>0</v>
      </c>
      <c r="H50" s="8" t="str">
        <f>Alex_ITSD_count_data!H50</f>
        <v>10-10-T</v>
      </c>
      <c r="I50" s="17">
        <f>Alex_ITSD_count_data!S50</f>
        <v>170707.37</v>
      </c>
      <c r="J50" s="17">
        <f t="shared" si="12"/>
        <v>125782.00142857141</v>
      </c>
      <c r="K50" s="17">
        <f t="shared" si="13"/>
        <v>150938.40171428569</v>
      </c>
      <c r="L50" s="17">
        <f t="shared" si="14"/>
        <v>100625.60114285714</v>
      </c>
      <c r="M50" s="17">
        <f>Alex_ITSD_count_data!T50</f>
        <v>1.5</v>
      </c>
      <c r="N50" s="17">
        <f>Alex_ITSD_count_data!U50</f>
        <v>1362452.43</v>
      </c>
      <c r="O50" s="17">
        <f t="shared" si="15"/>
        <v>1075846.0467857143</v>
      </c>
      <c r="P50" s="17">
        <f t="shared" si="16"/>
        <v>1291015.2561428573</v>
      </c>
      <c r="Q50" s="17">
        <f t="shared" si="17"/>
        <v>860676.83742857154</v>
      </c>
      <c r="R50" s="17">
        <f>Alex_ITSD_count_data!V50</f>
        <v>2.6</v>
      </c>
      <c r="S50" s="17">
        <f>Alex_ITSD_count_data!W50</f>
        <v>8930.02</v>
      </c>
      <c r="T50" s="17">
        <f t="shared" si="18"/>
        <v>6943.5592857142865</v>
      </c>
      <c r="U50" s="17">
        <f t="shared" si="19"/>
        <v>8332.2711428571438</v>
      </c>
      <c r="V50" s="17">
        <f t="shared" si="20"/>
        <v>5554.8474285714292</v>
      </c>
      <c r="W50" s="17">
        <f>Alex_ITSD_count_data!X50</f>
        <v>3.5</v>
      </c>
    </row>
    <row r="51" spans="1:23" x14ac:dyDescent="0.25">
      <c r="A51" s="23">
        <f>Alex_ITSD_count_data!A51</f>
        <v>7.6238425921474118E-2</v>
      </c>
      <c r="B51" s="8" t="str">
        <f>Alex_ITSD_count_data!B51</f>
        <v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v>
      </c>
      <c r="C51" s="8" t="b">
        <f>Alex_ITSD_count_data!C51</f>
        <v>0</v>
      </c>
      <c r="D51" s="8" t="str">
        <f>Alex_ITSD_count_data!D51</f>
        <v>049SMPL.d</v>
      </c>
      <c r="E51" s="11">
        <f>Alex_ITSD_count_data!E51</f>
        <v>45246.556423611109</v>
      </c>
      <c r="F51" s="8" t="str">
        <f>Alex_ITSD_count_data!F51</f>
        <v>Sample</v>
      </c>
      <c r="G51" s="8">
        <f>Alex_ITSD_count_data!G51</f>
        <v>0</v>
      </c>
      <c r="H51" s="8" t="str">
        <f>Alex_ITSD_count_data!H51</f>
        <v>10-20-T</v>
      </c>
      <c r="I51" s="17">
        <f>Alex_ITSD_count_data!S51</f>
        <v>170938.9</v>
      </c>
      <c r="J51" s="17">
        <f t="shared" si="12"/>
        <v>125782.00142857141</v>
      </c>
      <c r="K51" s="17">
        <f t="shared" si="13"/>
        <v>150938.40171428569</v>
      </c>
      <c r="L51" s="17">
        <f t="shared" si="14"/>
        <v>100625.60114285714</v>
      </c>
      <c r="M51" s="17">
        <f>Alex_ITSD_count_data!T51</f>
        <v>2.5</v>
      </c>
      <c r="N51" s="17">
        <f>Alex_ITSD_count_data!U51</f>
        <v>1374854.82</v>
      </c>
      <c r="O51" s="17">
        <f t="shared" si="15"/>
        <v>1075846.0467857143</v>
      </c>
      <c r="P51" s="17">
        <f t="shared" si="16"/>
        <v>1291015.2561428573</v>
      </c>
      <c r="Q51" s="17">
        <f t="shared" si="17"/>
        <v>860676.83742857154</v>
      </c>
      <c r="R51" s="17">
        <f>Alex_ITSD_count_data!V51</f>
        <v>2.2999999999999998</v>
      </c>
      <c r="S51" s="17">
        <f>Alex_ITSD_count_data!W51</f>
        <v>8756.6</v>
      </c>
      <c r="T51" s="17">
        <f t="shared" si="18"/>
        <v>6943.5592857142865</v>
      </c>
      <c r="U51" s="17">
        <f t="shared" si="19"/>
        <v>8332.2711428571438</v>
      </c>
      <c r="V51" s="17">
        <f t="shared" si="20"/>
        <v>5554.8474285714292</v>
      </c>
      <c r="W51" s="17">
        <f>Alex_ITSD_count_data!X51</f>
        <v>5.6</v>
      </c>
    </row>
    <row r="52" spans="1:23" x14ac:dyDescent="0.25">
      <c r="A52" s="23">
        <f>Alex_ITSD_count_data!A52</f>
        <v>8.0856481479713693E-2</v>
      </c>
      <c r="B52" s="8" t="str">
        <f>Alex_ITSD_count_data!B52</f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C52" s="8" t="b">
        <f>Alex_ITSD_count_data!C52</f>
        <v>0</v>
      </c>
      <c r="D52" s="8" t="str">
        <f>Alex_ITSD_count_data!D52</f>
        <v>050SMPL.d</v>
      </c>
      <c r="E52" s="11">
        <f>Alex_ITSD_count_data!E52</f>
        <v>45246.561041666668</v>
      </c>
      <c r="F52" s="8" t="str">
        <f>Alex_ITSD_count_data!F52</f>
        <v>Sample</v>
      </c>
      <c r="G52" s="8">
        <f>Alex_ITSD_count_data!G52</f>
        <v>0</v>
      </c>
      <c r="H52" s="8" t="str">
        <f>Alex_ITSD_count_data!H52</f>
        <v xml:space="preserve">blk </v>
      </c>
      <c r="I52" s="17">
        <f>Alex_ITSD_count_data!S52</f>
        <v>170221.05</v>
      </c>
      <c r="J52" s="17">
        <f t="shared" si="12"/>
        <v>125782.00142857141</v>
      </c>
      <c r="K52" s="17">
        <f t="shared" si="13"/>
        <v>150938.40171428569</v>
      </c>
      <c r="L52" s="17">
        <f t="shared" si="14"/>
        <v>100625.60114285714</v>
      </c>
      <c r="M52" s="17">
        <f>Alex_ITSD_count_data!T52</f>
        <v>2.6</v>
      </c>
      <c r="N52" s="17">
        <f>Alex_ITSD_count_data!U52</f>
        <v>1370174.62</v>
      </c>
      <c r="O52" s="17">
        <f t="shared" si="15"/>
        <v>1075846.0467857143</v>
      </c>
      <c r="P52" s="17">
        <f t="shared" si="16"/>
        <v>1291015.2561428573</v>
      </c>
      <c r="Q52" s="17">
        <f t="shared" si="17"/>
        <v>860676.83742857154</v>
      </c>
      <c r="R52" s="17">
        <f>Alex_ITSD_count_data!V52</f>
        <v>3</v>
      </c>
      <c r="S52" s="17">
        <f>Alex_ITSD_count_data!W52</f>
        <v>8429.8700000000008</v>
      </c>
      <c r="T52" s="17">
        <f t="shared" si="18"/>
        <v>6943.5592857142865</v>
      </c>
      <c r="U52" s="17">
        <f t="shared" si="19"/>
        <v>8332.2711428571438</v>
      </c>
      <c r="V52" s="17">
        <f t="shared" si="20"/>
        <v>5554.8474285714292</v>
      </c>
      <c r="W52" s="17">
        <f>Alex_ITSD_count_data!X52</f>
        <v>4.7</v>
      </c>
    </row>
    <row r="53" spans="1:23" x14ac:dyDescent="0.25">
      <c r="A53" s="23">
        <f>Alex_ITSD_count_data!A53</f>
        <v>8.2002314811688848E-2</v>
      </c>
      <c r="B53" s="8" t="str">
        <f>Alex_ITSD_count_data!B53</f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C53" s="8" t="b">
        <f>Alex_ITSD_count_data!C53</f>
        <v>0</v>
      </c>
      <c r="D53" s="8" t="str">
        <f>Alex_ITSD_count_data!D53</f>
        <v>051SMPL.d</v>
      </c>
      <c r="E53" s="11">
        <f>Alex_ITSD_count_data!E53</f>
        <v>45246.5621875</v>
      </c>
      <c r="F53" s="8" t="str">
        <f>Alex_ITSD_count_data!F53</f>
        <v>Sample</v>
      </c>
      <c r="G53" s="8">
        <f>Alex_ITSD_count_data!G53</f>
        <v>0</v>
      </c>
      <c r="H53" s="8" t="str">
        <f>Alex_ITSD_count_data!H53</f>
        <v>100 ppb check</v>
      </c>
      <c r="I53" s="17">
        <f>Alex_ITSD_count_data!S53</f>
        <v>171745.36</v>
      </c>
      <c r="J53" s="17">
        <f t="shared" si="12"/>
        <v>125782.00142857141</v>
      </c>
      <c r="K53" s="17">
        <f t="shared" si="13"/>
        <v>150938.40171428569</v>
      </c>
      <c r="L53" s="17">
        <f t="shared" si="14"/>
        <v>100625.60114285714</v>
      </c>
      <c r="M53" s="17">
        <f>Alex_ITSD_count_data!T53</f>
        <v>2.9</v>
      </c>
      <c r="N53" s="17">
        <f>Alex_ITSD_count_data!U53</f>
        <v>1387237.32</v>
      </c>
      <c r="O53" s="17">
        <f t="shared" si="15"/>
        <v>1075846.0467857143</v>
      </c>
      <c r="P53" s="17">
        <f t="shared" si="16"/>
        <v>1291015.2561428573</v>
      </c>
      <c r="Q53" s="17">
        <f t="shared" si="17"/>
        <v>860676.83742857154</v>
      </c>
      <c r="R53" s="17">
        <f>Alex_ITSD_count_data!V53</f>
        <v>2</v>
      </c>
      <c r="S53" s="17">
        <f>Alex_ITSD_count_data!W53</f>
        <v>8437.18</v>
      </c>
      <c r="T53" s="17">
        <f t="shared" si="18"/>
        <v>6943.5592857142865</v>
      </c>
      <c r="U53" s="17">
        <f t="shared" si="19"/>
        <v>8332.2711428571438</v>
      </c>
      <c r="V53" s="17">
        <f t="shared" si="20"/>
        <v>5554.8474285714292</v>
      </c>
      <c r="W53" s="17">
        <f>Alex_ITSD_count_data!X53</f>
        <v>3.3</v>
      </c>
    </row>
    <row r="54" spans="1:23" x14ac:dyDescent="0.25">
      <c r="A54" s="23">
        <f>Alex_ITSD_count_data!A54</f>
        <v>8.3136574074160308E-2</v>
      </c>
      <c r="B54" s="8" t="str">
        <f>Alex_ITSD_count_data!B54</f>
        <v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v>
      </c>
      <c r="C54" s="8" t="b">
        <f>Alex_ITSD_count_data!C54</f>
        <v>0</v>
      </c>
      <c r="D54" s="8" t="str">
        <f>Alex_ITSD_count_data!D54</f>
        <v>052SMPL.d</v>
      </c>
      <c r="E54" s="11">
        <f>Alex_ITSD_count_data!E54</f>
        <v>45246.563321759262</v>
      </c>
      <c r="F54" s="8" t="str">
        <f>Alex_ITSD_count_data!F54</f>
        <v>Sample</v>
      </c>
      <c r="G54" s="8">
        <f>Alex_ITSD_count_data!G54</f>
        <v>0</v>
      </c>
      <c r="H54" s="8" t="str">
        <f>Alex_ITSD_count_data!H54</f>
        <v>10-30-T</v>
      </c>
      <c r="I54" s="17">
        <f>Alex_ITSD_count_data!S54</f>
        <v>176810.27</v>
      </c>
      <c r="J54" s="17">
        <f t="shared" si="12"/>
        <v>125782.00142857141</v>
      </c>
      <c r="K54" s="17">
        <f t="shared" si="13"/>
        <v>150938.40171428569</v>
      </c>
      <c r="L54" s="17">
        <f t="shared" si="14"/>
        <v>100625.60114285714</v>
      </c>
      <c r="M54" s="17">
        <f>Alex_ITSD_count_data!T54</f>
        <v>3.6</v>
      </c>
      <c r="N54" s="17">
        <f>Alex_ITSD_count_data!U54</f>
        <v>1458086.75</v>
      </c>
      <c r="O54" s="17">
        <f t="shared" si="15"/>
        <v>1075846.0467857143</v>
      </c>
      <c r="P54" s="17">
        <f t="shared" si="16"/>
        <v>1291015.2561428573</v>
      </c>
      <c r="Q54" s="17">
        <f t="shared" si="17"/>
        <v>860676.83742857154</v>
      </c>
      <c r="R54" s="17">
        <f>Alex_ITSD_count_data!V54</f>
        <v>6.1</v>
      </c>
      <c r="S54" s="17">
        <f>Alex_ITSD_count_data!W54</f>
        <v>9497.34</v>
      </c>
      <c r="T54" s="17">
        <f t="shared" si="18"/>
        <v>6943.5592857142865</v>
      </c>
      <c r="U54" s="17">
        <f t="shared" si="19"/>
        <v>8332.2711428571438</v>
      </c>
      <c r="V54" s="17">
        <f t="shared" si="20"/>
        <v>5554.8474285714292</v>
      </c>
      <c r="W54" s="17">
        <f>Alex_ITSD_count_data!X54</f>
        <v>2.4</v>
      </c>
    </row>
    <row r="55" spans="1:23" x14ac:dyDescent="0.25">
      <c r="A55" s="23">
        <f>Alex_ITSD_count_data!A55</f>
        <v>8.427083332935581E-2</v>
      </c>
      <c r="B55" s="8" t="str">
        <f>Alex_ITSD_count_data!B55</f>
        <v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v>
      </c>
      <c r="C55" s="8" t="b">
        <f>Alex_ITSD_count_data!C55</f>
        <v>0</v>
      </c>
      <c r="D55" s="8" t="str">
        <f>Alex_ITSD_count_data!D55</f>
        <v>053SMPL.d</v>
      </c>
      <c r="E55" s="11">
        <f>Alex_ITSD_count_data!E55</f>
        <v>45246.564456018517</v>
      </c>
      <c r="F55" s="8" t="str">
        <f>Alex_ITSD_count_data!F55</f>
        <v>Sample</v>
      </c>
      <c r="G55" s="8">
        <f>Alex_ITSD_count_data!G55</f>
        <v>0</v>
      </c>
      <c r="H55" s="8" t="str">
        <f>Alex_ITSD_count_data!H55</f>
        <v>10-40-T</v>
      </c>
      <c r="I55" s="17">
        <f>Alex_ITSD_count_data!S55</f>
        <v>180948.75</v>
      </c>
      <c r="J55" s="17">
        <f t="shared" si="12"/>
        <v>125782.00142857141</v>
      </c>
      <c r="K55" s="17">
        <f t="shared" si="13"/>
        <v>150938.40171428569</v>
      </c>
      <c r="L55" s="17">
        <f t="shared" si="14"/>
        <v>100625.60114285714</v>
      </c>
      <c r="M55" s="17">
        <f>Alex_ITSD_count_data!T55</f>
        <v>3.2</v>
      </c>
      <c r="N55" s="17">
        <f>Alex_ITSD_count_data!U55</f>
        <v>1555817.11</v>
      </c>
      <c r="O55" s="17">
        <f t="shared" si="15"/>
        <v>1075846.0467857143</v>
      </c>
      <c r="P55" s="17">
        <f t="shared" si="16"/>
        <v>1291015.2561428573</v>
      </c>
      <c r="Q55" s="17">
        <f t="shared" si="17"/>
        <v>860676.83742857154</v>
      </c>
      <c r="R55" s="17">
        <f>Alex_ITSD_count_data!V55</f>
        <v>2.6</v>
      </c>
      <c r="S55" s="17">
        <f>Alex_ITSD_count_data!W55</f>
        <v>9253.69</v>
      </c>
      <c r="T55" s="17">
        <f t="shared" si="18"/>
        <v>6943.5592857142865</v>
      </c>
      <c r="U55" s="17">
        <f t="shared" si="19"/>
        <v>8332.2711428571438</v>
      </c>
      <c r="V55" s="17">
        <f t="shared" si="20"/>
        <v>5554.8474285714292</v>
      </c>
      <c r="W55" s="17">
        <f>Alex_ITSD_count_data!X55</f>
        <v>2</v>
      </c>
    </row>
    <row r="56" spans="1:23" x14ac:dyDescent="0.25">
      <c r="A56" s="23">
        <f>Alex_ITSD_count_data!A56</f>
        <v>8.5451388884393964E-2</v>
      </c>
      <c r="B56" s="8" t="str">
        <f>Alex_ITSD_count_data!B56</f>
        <v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v>
      </c>
      <c r="C56" s="8" t="b">
        <f>Alex_ITSD_count_data!C56</f>
        <v>0</v>
      </c>
      <c r="D56" s="8" t="str">
        <f>Alex_ITSD_count_data!D56</f>
        <v>054SMPL.d</v>
      </c>
      <c r="E56" s="11">
        <f>Alex_ITSD_count_data!E56</f>
        <v>45246.565636574072</v>
      </c>
      <c r="F56" s="8" t="str">
        <f>Alex_ITSD_count_data!F56</f>
        <v>Sample</v>
      </c>
      <c r="G56" s="8">
        <f>Alex_ITSD_count_data!G56</f>
        <v>0</v>
      </c>
      <c r="H56" s="8" t="str">
        <f>Alex_ITSD_count_data!H56</f>
        <v>10-50-T</v>
      </c>
      <c r="I56" s="17">
        <f>Alex_ITSD_count_data!S56</f>
        <v>181637.13</v>
      </c>
      <c r="J56" s="17">
        <f t="shared" si="12"/>
        <v>125782.00142857141</v>
      </c>
      <c r="K56" s="17">
        <f t="shared" si="13"/>
        <v>150938.40171428569</v>
      </c>
      <c r="L56" s="17">
        <f t="shared" si="14"/>
        <v>100625.60114285714</v>
      </c>
      <c r="M56" s="17">
        <f>Alex_ITSD_count_data!T56</f>
        <v>4</v>
      </c>
      <c r="N56" s="17">
        <f>Alex_ITSD_count_data!U56</f>
        <v>1491518.67</v>
      </c>
      <c r="O56" s="17">
        <f t="shared" si="15"/>
        <v>1075846.0467857143</v>
      </c>
      <c r="P56" s="17">
        <f t="shared" si="16"/>
        <v>1291015.2561428573</v>
      </c>
      <c r="Q56" s="17">
        <f t="shared" si="17"/>
        <v>860676.83742857154</v>
      </c>
      <c r="R56" s="17">
        <f>Alex_ITSD_count_data!V56</f>
        <v>7.5</v>
      </c>
      <c r="S56" s="17">
        <f>Alex_ITSD_count_data!W56</f>
        <v>9677.5499999999993</v>
      </c>
      <c r="T56" s="17">
        <f t="shared" si="18"/>
        <v>6943.5592857142865</v>
      </c>
      <c r="U56" s="17">
        <f t="shared" si="19"/>
        <v>8332.2711428571438</v>
      </c>
      <c r="V56" s="17">
        <f t="shared" si="20"/>
        <v>5554.8474285714292</v>
      </c>
      <c r="W56" s="17">
        <f>Alex_ITSD_count_data!X56</f>
        <v>5.4</v>
      </c>
    </row>
    <row r="57" spans="1:23" x14ac:dyDescent="0.25">
      <c r="A57" s="23">
        <f>Alex_ITSD_count_data!A57</f>
        <v>8.6585648146865424E-2</v>
      </c>
      <c r="B57" s="8" t="str">
        <f>Alex_ITSD_count_data!B57</f>
        <v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v>
      </c>
      <c r="C57" s="8" t="b">
        <f>Alex_ITSD_count_data!C57</f>
        <v>0</v>
      </c>
      <c r="D57" s="8" t="str">
        <f>Alex_ITSD_count_data!D57</f>
        <v>055SMPL.d</v>
      </c>
      <c r="E57" s="11">
        <f>Alex_ITSD_count_data!E57</f>
        <v>45246.566770833335</v>
      </c>
      <c r="F57" s="8" t="str">
        <f>Alex_ITSD_count_data!F57</f>
        <v>Sample</v>
      </c>
      <c r="G57" s="8">
        <f>Alex_ITSD_count_data!G57</f>
        <v>0</v>
      </c>
      <c r="H57" s="8" t="str">
        <f>Alex_ITSD_count_data!H57</f>
        <v>10-80-T</v>
      </c>
      <c r="I57" s="17">
        <f>Alex_ITSD_count_data!S57</f>
        <v>179742.8</v>
      </c>
      <c r="J57" s="17">
        <f t="shared" si="12"/>
        <v>125782.00142857141</v>
      </c>
      <c r="K57" s="17">
        <f t="shared" si="13"/>
        <v>150938.40171428569</v>
      </c>
      <c r="L57" s="17">
        <f t="shared" si="14"/>
        <v>100625.60114285714</v>
      </c>
      <c r="M57" s="17">
        <f>Alex_ITSD_count_data!T57</f>
        <v>4.4000000000000004</v>
      </c>
      <c r="N57" s="17">
        <f>Alex_ITSD_count_data!U57</f>
        <v>1508387.89</v>
      </c>
      <c r="O57" s="17">
        <f t="shared" si="15"/>
        <v>1075846.0467857143</v>
      </c>
      <c r="P57" s="17">
        <f t="shared" si="16"/>
        <v>1291015.2561428573</v>
      </c>
      <c r="Q57" s="17">
        <f t="shared" si="17"/>
        <v>860676.83742857154</v>
      </c>
      <c r="R57" s="17">
        <f>Alex_ITSD_count_data!V57</f>
        <v>8.3000000000000007</v>
      </c>
      <c r="S57" s="17">
        <f>Alex_ITSD_count_data!W57</f>
        <v>9814.06</v>
      </c>
      <c r="T57" s="17">
        <f t="shared" si="18"/>
        <v>6943.5592857142865</v>
      </c>
      <c r="U57" s="17">
        <f t="shared" si="19"/>
        <v>8332.2711428571438</v>
      </c>
      <c r="V57" s="17">
        <f t="shared" si="20"/>
        <v>5554.8474285714292</v>
      </c>
      <c r="W57" s="17">
        <f>Alex_ITSD_count_data!X57</f>
        <v>1.4</v>
      </c>
    </row>
    <row r="58" spans="1:23" x14ac:dyDescent="0.25">
      <c r="A58" s="23">
        <f>Alex_ITSD_count_data!A58</f>
        <v>8.7719907402060926E-2</v>
      </c>
      <c r="B58" s="8" t="str">
        <f>Alex_ITSD_count_data!B58</f>
        <v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v>
      </c>
      <c r="C58" s="8" t="b">
        <f>Alex_ITSD_count_data!C58</f>
        <v>0</v>
      </c>
      <c r="D58" s="8" t="str">
        <f>Alex_ITSD_count_data!D58</f>
        <v>056SMPL.d</v>
      </c>
      <c r="E58" s="11">
        <f>Alex_ITSD_count_data!E58</f>
        <v>45246.56790509259</v>
      </c>
      <c r="F58" s="8" t="str">
        <f>Alex_ITSD_count_data!F58</f>
        <v>Sample</v>
      </c>
      <c r="G58" s="8">
        <f>Alex_ITSD_count_data!G58</f>
        <v>0</v>
      </c>
      <c r="H58" s="8" t="str">
        <f>Alex_ITSD_count_data!H58</f>
        <v>10-100-T</v>
      </c>
      <c r="I58" s="17">
        <f>Alex_ITSD_count_data!S58</f>
        <v>184066.88</v>
      </c>
      <c r="J58" s="17">
        <f t="shared" si="12"/>
        <v>125782.00142857141</v>
      </c>
      <c r="K58" s="17">
        <f t="shared" si="13"/>
        <v>150938.40171428569</v>
      </c>
      <c r="L58" s="17">
        <f t="shared" si="14"/>
        <v>100625.60114285714</v>
      </c>
      <c r="M58" s="17">
        <f>Alex_ITSD_count_data!T58</f>
        <v>3.9</v>
      </c>
      <c r="N58" s="17">
        <f>Alex_ITSD_count_data!U58</f>
        <v>1584405.6</v>
      </c>
      <c r="O58" s="17">
        <f t="shared" si="15"/>
        <v>1075846.0467857143</v>
      </c>
      <c r="P58" s="17">
        <f t="shared" si="16"/>
        <v>1291015.2561428573</v>
      </c>
      <c r="Q58" s="17">
        <f t="shared" si="17"/>
        <v>860676.83742857154</v>
      </c>
      <c r="R58" s="17">
        <f>Alex_ITSD_count_data!V58</f>
        <v>3.7</v>
      </c>
      <c r="S58" s="17">
        <f>Alex_ITSD_count_data!W58</f>
        <v>9413.7199999999993</v>
      </c>
      <c r="T58" s="17">
        <f t="shared" si="18"/>
        <v>6943.5592857142865</v>
      </c>
      <c r="U58" s="17">
        <f t="shared" si="19"/>
        <v>8332.2711428571438</v>
      </c>
      <c r="V58" s="17">
        <f t="shared" si="20"/>
        <v>5554.8474285714292</v>
      </c>
      <c r="W58" s="17">
        <f>Alex_ITSD_count_data!X58</f>
        <v>4.7</v>
      </c>
    </row>
    <row r="59" spans="1:23" x14ac:dyDescent="0.25">
      <c r="A59" s="23">
        <f>Alex_ITSD_count_data!A59</f>
        <v>8.8854166664532386E-2</v>
      </c>
      <c r="B59" s="8" t="str">
        <f>Alex_ITSD_count_data!B59</f>
        <v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v>
      </c>
      <c r="C59" s="8" t="b">
        <f>Alex_ITSD_count_data!C59</f>
        <v>0</v>
      </c>
      <c r="D59" s="8" t="str">
        <f>Alex_ITSD_count_data!D59</f>
        <v>057SMPL.d</v>
      </c>
      <c r="E59" s="11">
        <f>Alex_ITSD_count_data!E59</f>
        <v>45246.569039351853</v>
      </c>
      <c r="F59" s="8" t="str">
        <f>Alex_ITSD_count_data!F59</f>
        <v>Sample</v>
      </c>
      <c r="G59" s="8">
        <f>Alex_ITSD_count_data!G59</f>
        <v>0</v>
      </c>
      <c r="H59" s="8" t="str">
        <f>Alex_ITSD_count_data!H59</f>
        <v>10-90-T</v>
      </c>
      <c r="I59" s="17">
        <f>Alex_ITSD_count_data!S59</f>
        <v>190906.8</v>
      </c>
      <c r="J59" s="17">
        <f t="shared" si="12"/>
        <v>125782.00142857141</v>
      </c>
      <c r="K59" s="17">
        <f t="shared" si="13"/>
        <v>150938.40171428569</v>
      </c>
      <c r="L59" s="17">
        <f t="shared" si="14"/>
        <v>100625.60114285714</v>
      </c>
      <c r="M59" s="17">
        <f>Alex_ITSD_count_data!T59</f>
        <v>2.4</v>
      </c>
      <c r="N59" s="17">
        <f>Alex_ITSD_count_data!U59</f>
        <v>1548428.73</v>
      </c>
      <c r="O59" s="17">
        <f t="shared" si="15"/>
        <v>1075846.0467857143</v>
      </c>
      <c r="P59" s="17">
        <f t="shared" si="16"/>
        <v>1291015.2561428573</v>
      </c>
      <c r="Q59" s="17">
        <f t="shared" si="17"/>
        <v>860676.83742857154</v>
      </c>
      <c r="R59" s="17">
        <f>Alex_ITSD_count_data!V59</f>
        <v>4.5</v>
      </c>
      <c r="S59" s="17">
        <f>Alex_ITSD_count_data!W59</f>
        <v>8349.65</v>
      </c>
      <c r="T59" s="17">
        <f t="shared" si="18"/>
        <v>6943.5592857142865</v>
      </c>
      <c r="U59" s="17">
        <f t="shared" si="19"/>
        <v>8332.2711428571438</v>
      </c>
      <c r="V59" s="17">
        <f t="shared" si="20"/>
        <v>5554.8474285714292</v>
      </c>
      <c r="W59" s="17">
        <f>Alex_ITSD_count_data!X59</f>
        <v>3.3</v>
      </c>
    </row>
    <row r="60" spans="1:23" x14ac:dyDescent="0.25">
      <c r="A60" s="23">
        <f>Alex_ITSD_count_data!A60</f>
        <v>9.0046296296350192E-2</v>
      </c>
      <c r="B60" s="8" t="str">
        <f>Alex_ITSD_count_data!B60</f>
        <v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v>
      </c>
      <c r="C60" s="8" t="b">
        <f>Alex_ITSD_count_data!C60</f>
        <v>0</v>
      </c>
      <c r="D60" s="8" t="str">
        <f>Alex_ITSD_count_data!D60</f>
        <v>058SMPL.d</v>
      </c>
      <c r="E60" s="11">
        <f>Alex_ITSD_count_data!E60</f>
        <v>45246.570231481484</v>
      </c>
      <c r="F60" s="8" t="str">
        <f>Alex_ITSD_count_data!F60</f>
        <v>Sample</v>
      </c>
      <c r="G60" s="8">
        <f>Alex_ITSD_count_data!G60</f>
        <v>0</v>
      </c>
      <c r="H60" s="8" t="str">
        <f>Alex_ITSD_count_data!H60</f>
        <v>10-60-T</v>
      </c>
      <c r="I60" s="17">
        <f>Alex_ITSD_count_data!S60</f>
        <v>190653.1</v>
      </c>
      <c r="J60" s="17">
        <f t="shared" si="12"/>
        <v>125782.00142857141</v>
      </c>
      <c r="K60" s="17">
        <f t="shared" si="13"/>
        <v>150938.40171428569</v>
      </c>
      <c r="L60" s="17">
        <f t="shared" si="14"/>
        <v>100625.60114285714</v>
      </c>
      <c r="M60" s="17">
        <f>Alex_ITSD_count_data!T60</f>
        <v>2.8</v>
      </c>
      <c r="N60" s="17">
        <f>Alex_ITSD_count_data!U60</f>
        <v>1647582.68</v>
      </c>
      <c r="O60" s="17">
        <f t="shared" si="15"/>
        <v>1075846.0467857143</v>
      </c>
      <c r="P60" s="17">
        <f t="shared" si="16"/>
        <v>1291015.2561428573</v>
      </c>
      <c r="Q60" s="17">
        <f t="shared" si="17"/>
        <v>860676.83742857154</v>
      </c>
      <c r="R60" s="17">
        <f>Alex_ITSD_count_data!V60</f>
        <v>1.6</v>
      </c>
      <c r="S60" s="17">
        <f>Alex_ITSD_count_data!W60</f>
        <v>9773.94</v>
      </c>
      <c r="T60" s="17">
        <f t="shared" si="18"/>
        <v>6943.5592857142865</v>
      </c>
      <c r="U60" s="17">
        <f t="shared" si="19"/>
        <v>8332.2711428571438</v>
      </c>
      <c r="V60" s="17">
        <f t="shared" si="20"/>
        <v>5554.8474285714292</v>
      </c>
      <c r="W60" s="17">
        <f>Alex_ITSD_count_data!X60</f>
        <v>6.4</v>
      </c>
    </row>
    <row r="61" spans="1:23" x14ac:dyDescent="0.25">
      <c r="A61" s="23">
        <f>Alex_ITSD_count_data!A61</f>
        <v>9.1180555551545694E-2</v>
      </c>
      <c r="B61" s="8" t="str">
        <f>Alex_ITSD_count_data!B61</f>
        <v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v>
      </c>
      <c r="C61" s="8" t="b">
        <f>Alex_ITSD_count_data!C61</f>
        <v>0</v>
      </c>
      <c r="D61" s="8" t="str">
        <f>Alex_ITSD_count_data!D61</f>
        <v>059SMPL.d</v>
      </c>
      <c r="E61" s="11">
        <f>Alex_ITSD_count_data!E61</f>
        <v>45246.57136574074</v>
      </c>
      <c r="F61" s="8" t="str">
        <f>Alex_ITSD_count_data!F61</f>
        <v>Sample</v>
      </c>
      <c r="G61" s="8">
        <f>Alex_ITSD_count_data!G61</f>
        <v>0</v>
      </c>
      <c r="H61" s="8" t="str">
        <f>Alex_ITSD_count_data!H61</f>
        <v>10-70-T</v>
      </c>
      <c r="I61" s="17">
        <f>Alex_ITSD_count_data!S61</f>
        <v>192020.93</v>
      </c>
      <c r="J61" s="17">
        <f t="shared" si="12"/>
        <v>125782.00142857141</v>
      </c>
      <c r="K61" s="17">
        <f t="shared" si="13"/>
        <v>150938.40171428569</v>
      </c>
      <c r="L61" s="17">
        <f t="shared" si="14"/>
        <v>100625.60114285714</v>
      </c>
      <c r="M61" s="17">
        <f>Alex_ITSD_count_data!T61</f>
        <v>1.3</v>
      </c>
      <c r="N61" s="17">
        <f>Alex_ITSD_count_data!U61</f>
        <v>1670914.14</v>
      </c>
      <c r="O61" s="17">
        <f t="shared" si="15"/>
        <v>1075846.0467857143</v>
      </c>
      <c r="P61" s="17">
        <f t="shared" si="16"/>
        <v>1291015.2561428573</v>
      </c>
      <c r="Q61" s="17">
        <f t="shared" si="17"/>
        <v>860676.83742857154</v>
      </c>
      <c r="R61" s="17">
        <f>Alex_ITSD_count_data!V61</f>
        <v>0.6</v>
      </c>
      <c r="S61" s="17">
        <f>Alex_ITSD_count_data!W61</f>
        <v>9827.4500000000007</v>
      </c>
      <c r="T61" s="17">
        <f t="shared" si="18"/>
        <v>6943.5592857142865</v>
      </c>
      <c r="U61" s="17">
        <f t="shared" si="19"/>
        <v>8332.2711428571438</v>
      </c>
      <c r="V61" s="17">
        <f t="shared" si="20"/>
        <v>5554.8474285714292</v>
      </c>
      <c r="W61" s="17">
        <f>Alex_ITSD_count_data!X61</f>
        <v>3.8</v>
      </c>
    </row>
    <row r="62" spans="1:23" x14ac:dyDescent="0.25">
      <c r="A62" s="23">
        <f>Alex_ITSD_count_data!A62</f>
        <v>9.2303240737237502E-2</v>
      </c>
      <c r="B62" s="8" t="str">
        <f>Alex_ITSD_count_data!B62</f>
        <v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v>
      </c>
      <c r="C62" s="8" t="b">
        <f>Alex_ITSD_count_data!C62</f>
        <v>0</v>
      </c>
      <c r="D62" s="8" t="str">
        <f>Alex_ITSD_count_data!D62</f>
        <v>060SMPL.d</v>
      </c>
      <c r="E62" s="11">
        <f>Alex_ITSD_count_data!E62</f>
        <v>45246.572488425925</v>
      </c>
      <c r="F62" s="8" t="str">
        <f>Alex_ITSD_count_data!F62</f>
        <v>Sample</v>
      </c>
      <c r="G62" s="8">
        <f>Alex_ITSD_count_data!G62</f>
        <v>0</v>
      </c>
      <c r="H62" s="8" t="str">
        <f>Alex_ITSD_count_data!H62</f>
        <v>10-0-B</v>
      </c>
      <c r="I62" s="17">
        <f>Alex_ITSD_count_data!S62</f>
        <v>192551.42</v>
      </c>
      <c r="J62" s="17">
        <f t="shared" si="12"/>
        <v>125782.00142857141</v>
      </c>
      <c r="K62" s="17">
        <f t="shared" si="13"/>
        <v>150938.40171428569</v>
      </c>
      <c r="L62" s="17">
        <f t="shared" si="14"/>
        <v>100625.60114285714</v>
      </c>
      <c r="M62" s="17">
        <f>Alex_ITSD_count_data!T62</f>
        <v>2.2000000000000002</v>
      </c>
      <c r="N62" s="17">
        <f>Alex_ITSD_count_data!U62</f>
        <v>1658047.94</v>
      </c>
      <c r="O62" s="17">
        <f t="shared" si="15"/>
        <v>1075846.0467857143</v>
      </c>
      <c r="P62" s="17">
        <f t="shared" si="16"/>
        <v>1291015.2561428573</v>
      </c>
      <c r="Q62" s="17">
        <f t="shared" si="17"/>
        <v>860676.83742857154</v>
      </c>
      <c r="R62" s="17">
        <f>Alex_ITSD_count_data!V62</f>
        <v>2.9</v>
      </c>
      <c r="S62" s="17">
        <f>Alex_ITSD_count_data!W62</f>
        <v>10411.76</v>
      </c>
      <c r="T62" s="17">
        <f t="shared" si="18"/>
        <v>6943.5592857142865</v>
      </c>
      <c r="U62" s="17">
        <f t="shared" si="19"/>
        <v>8332.2711428571438</v>
      </c>
      <c r="V62" s="17">
        <f t="shared" si="20"/>
        <v>5554.8474285714292</v>
      </c>
      <c r="W62" s="17">
        <f>Alex_ITSD_count_data!X62</f>
        <v>4.8</v>
      </c>
    </row>
    <row r="63" spans="1:23" x14ac:dyDescent="0.25">
      <c r="A63" s="23">
        <f>Alex_ITSD_count_data!A63</f>
        <v>9.3425925922929309E-2</v>
      </c>
      <c r="B63" s="8" t="str">
        <f>Alex_ITSD_count_data!B63</f>
        <v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v>
      </c>
      <c r="C63" s="8" t="b">
        <f>Alex_ITSD_count_data!C63</f>
        <v>0</v>
      </c>
      <c r="D63" s="8" t="str">
        <f>Alex_ITSD_count_data!D63</f>
        <v>061SMPL.d</v>
      </c>
      <c r="E63" s="11">
        <f>Alex_ITSD_count_data!E63</f>
        <v>45246.573611111111</v>
      </c>
      <c r="F63" s="8" t="str">
        <f>Alex_ITSD_count_data!F63</f>
        <v>Sample</v>
      </c>
      <c r="G63" s="8">
        <f>Alex_ITSD_count_data!G63</f>
        <v>0</v>
      </c>
      <c r="H63" s="8" t="str">
        <f>Alex_ITSD_count_data!H63</f>
        <v>10-20-B</v>
      </c>
      <c r="I63" s="17">
        <f>Alex_ITSD_count_data!S63</f>
        <v>196048.52</v>
      </c>
      <c r="J63" s="17">
        <f t="shared" si="12"/>
        <v>125782.00142857141</v>
      </c>
      <c r="K63" s="17">
        <f t="shared" si="13"/>
        <v>150938.40171428569</v>
      </c>
      <c r="L63" s="17">
        <f t="shared" si="14"/>
        <v>100625.60114285714</v>
      </c>
      <c r="M63" s="17">
        <f>Alex_ITSD_count_data!T63</f>
        <v>2.1</v>
      </c>
      <c r="N63" s="17">
        <f>Alex_ITSD_count_data!U63</f>
        <v>1691485.24</v>
      </c>
      <c r="O63" s="17">
        <f t="shared" si="15"/>
        <v>1075846.0467857143</v>
      </c>
      <c r="P63" s="17">
        <f t="shared" si="16"/>
        <v>1291015.2561428573</v>
      </c>
      <c r="Q63" s="17">
        <f t="shared" si="17"/>
        <v>860676.83742857154</v>
      </c>
      <c r="R63" s="17">
        <f>Alex_ITSD_count_data!V63</f>
        <v>2.6</v>
      </c>
      <c r="S63" s="17">
        <f>Alex_ITSD_count_data!W63</f>
        <v>10301.36</v>
      </c>
      <c r="T63" s="17">
        <f t="shared" si="18"/>
        <v>6943.5592857142865</v>
      </c>
      <c r="U63" s="17">
        <f t="shared" si="19"/>
        <v>8332.2711428571438</v>
      </c>
      <c r="V63" s="17">
        <f t="shared" si="20"/>
        <v>5554.8474285714292</v>
      </c>
      <c r="W63" s="17">
        <f>Alex_ITSD_count_data!X63</f>
        <v>3.5</v>
      </c>
    </row>
    <row r="64" spans="1:23" x14ac:dyDescent="0.25">
      <c r="A64" s="23">
        <f>Alex_ITSD_count_data!A64</f>
        <v>9.4606481477967463E-2</v>
      </c>
      <c r="B64" s="8" t="str">
        <f>Alex_ITSD_count_data!B64</f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C64" s="8" t="b">
        <f>Alex_ITSD_count_data!C64</f>
        <v>0</v>
      </c>
      <c r="D64" s="8" t="str">
        <f>Alex_ITSD_count_data!D64</f>
        <v>062SMPL.d</v>
      </c>
      <c r="E64" s="11">
        <f>Alex_ITSD_count_data!E64</f>
        <v>45246.574791666666</v>
      </c>
      <c r="F64" s="8" t="str">
        <f>Alex_ITSD_count_data!F64</f>
        <v>Sample</v>
      </c>
      <c r="G64" s="8">
        <f>Alex_ITSD_count_data!G64</f>
        <v>0</v>
      </c>
      <c r="H64" s="8" t="str">
        <f>Alex_ITSD_count_data!H64</f>
        <v xml:space="preserve">blk </v>
      </c>
      <c r="I64" s="17">
        <f>Alex_ITSD_count_data!S64</f>
        <v>188001.7</v>
      </c>
      <c r="J64" s="17">
        <f t="shared" si="12"/>
        <v>125782.00142857141</v>
      </c>
      <c r="K64" s="17">
        <f t="shared" si="13"/>
        <v>150938.40171428569</v>
      </c>
      <c r="L64" s="17">
        <f t="shared" si="14"/>
        <v>100625.60114285714</v>
      </c>
      <c r="M64" s="17">
        <f>Alex_ITSD_count_data!T64</f>
        <v>3.8</v>
      </c>
      <c r="N64" s="17">
        <f>Alex_ITSD_count_data!U64</f>
        <v>1646761.64</v>
      </c>
      <c r="O64" s="17">
        <f t="shared" si="15"/>
        <v>1075846.0467857143</v>
      </c>
      <c r="P64" s="17">
        <f t="shared" si="16"/>
        <v>1291015.2561428573</v>
      </c>
      <c r="Q64" s="17">
        <f t="shared" si="17"/>
        <v>860676.83742857154</v>
      </c>
      <c r="R64" s="17">
        <f>Alex_ITSD_count_data!V64</f>
        <v>4.2</v>
      </c>
      <c r="S64" s="17">
        <f>Alex_ITSD_count_data!W64</f>
        <v>9607.42</v>
      </c>
      <c r="T64" s="17">
        <f t="shared" si="18"/>
        <v>6943.5592857142865</v>
      </c>
      <c r="U64" s="17">
        <f t="shared" si="19"/>
        <v>8332.2711428571438</v>
      </c>
      <c r="V64" s="17">
        <f t="shared" si="20"/>
        <v>5554.8474285714292</v>
      </c>
      <c r="W64" s="17">
        <f>Alex_ITSD_count_data!X64</f>
        <v>4.0999999999999996</v>
      </c>
    </row>
    <row r="65" spans="1:23" x14ac:dyDescent="0.25">
      <c r="A65" s="23">
        <f>Alex_ITSD_count_data!A65</f>
        <v>9.5740740740438923E-2</v>
      </c>
      <c r="B65" s="8" t="str">
        <f>Alex_ITSD_count_data!B65</f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C65" s="8" t="b">
        <f>Alex_ITSD_count_data!C65</f>
        <v>0</v>
      </c>
      <c r="D65" s="8" t="str">
        <f>Alex_ITSD_count_data!D65</f>
        <v>063SMPL.d</v>
      </c>
      <c r="E65" s="11">
        <f>Alex_ITSD_count_data!E65</f>
        <v>45246.575925925928</v>
      </c>
      <c r="F65" s="8" t="str">
        <f>Alex_ITSD_count_data!F65</f>
        <v>Sample</v>
      </c>
      <c r="G65" s="8">
        <f>Alex_ITSD_count_data!G65</f>
        <v>0</v>
      </c>
      <c r="H65" s="8" t="str">
        <f>Alex_ITSD_count_data!H65</f>
        <v>100 ppb check</v>
      </c>
      <c r="I65" s="17">
        <f>Alex_ITSD_count_data!S65</f>
        <v>191833.94</v>
      </c>
      <c r="J65" s="17">
        <f t="shared" si="12"/>
        <v>125782.00142857141</v>
      </c>
      <c r="K65" s="17">
        <f t="shared" si="13"/>
        <v>150938.40171428569</v>
      </c>
      <c r="L65" s="17">
        <f t="shared" si="14"/>
        <v>100625.60114285714</v>
      </c>
      <c r="M65" s="17">
        <f>Alex_ITSD_count_data!T65</f>
        <v>28.1</v>
      </c>
      <c r="N65" s="17">
        <f>Alex_ITSD_count_data!U65</f>
        <v>1642997.11</v>
      </c>
      <c r="O65" s="17">
        <f t="shared" si="15"/>
        <v>1075846.0467857143</v>
      </c>
      <c r="P65" s="17">
        <f t="shared" si="16"/>
        <v>1291015.2561428573</v>
      </c>
      <c r="Q65" s="17">
        <f t="shared" si="17"/>
        <v>860676.83742857154</v>
      </c>
      <c r="R65" s="17">
        <f>Alex_ITSD_count_data!V65</f>
        <v>32</v>
      </c>
      <c r="S65" s="17">
        <f>Alex_ITSD_count_data!W65</f>
        <v>9347.14</v>
      </c>
      <c r="T65" s="17">
        <f t="shared" si="18"/>
        <v>6943.5592857142865</v>
      </c>
      <c r="U65" s="17">
        <f t="shared" si="19"/>
        <v>8332.2711428571438</v>
      </c>
      <c r="V65" s="17">
        <f t="shared" si="20"/>
        <v>5554.8474285714292</v>
      </c>
      <c r="W65" s="17">
        <f>Alex_ITSD_count_data!X65</f>
        <v>21.7</v>
      </c>
    </row>
    <row r="66" spans="1:23" x14ac:dyDescent="0.25">
      <c r="A66" s="23">
        <f>Alex_ITSD_count_data!A66</f>
        <v>9.6874999995634425E-2</v>
      </c>
      <c r="B66" s="8" t="str">
        <f>Alex_ITSD_count_data!B66</f>
        <v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v>
      </c>
      <c r="C66" s="8" t="b">
        <f>Alex_ITSD_count_data!C66</f>
        <v>0</v>
      </c>
      <c r="D66" s="8" t="str">
        <f>Alex_ITSD_count_data!D66</f>
        <v>064SMPL.d</v>
      </c>
      <c r="E66" s="11">
        <f>Alex_ITSD_count_data!E66</f>
        <v>45246.577060185184</v>
      </c>
      <c r="F66" s="8" t="str">
        <f>Alex_ITSD_count_data!F66</f>
        <v>Sample</v>
      </c>
      <c r="G66" s="8">
        <f>Alex_ITSD_count_data!G66</f>
        <v>0</v>
      </c>
      <c r="H66" s="8" t="str">
        <f>Alex_ITSD_count_data!H66</f>
        <v>10-80-B</v>
      </c>
      <c r="I66" s="17">
        <f>Alex_ITSD_count_data!S66</f>
        <v>199047.63</v>
      </c>
      <c r="J66" s="17">
        <f t="shared" si="12"/>
        <v>125782.00142857141</v>
      </c>
      <c r="K66" s="17">
        <f t="shared" si="13"/>
        <v>150938.40171428569</v>
      </c>
      <c r="L66" s="17">
        <f t="shared" si="14"/>
        <v>100625.60114285714</v>
      </c>
      <c r="M66" s="17">
        <f>Alex_ITSD_count_data!T66</f>
        <v>2.2000000000000002</v>
      </c>
      <c r="N66" s="17">
        <f>Alex_ITSD_count_data!U66</f>
        <v>1711979.04</v>
      </c>
      <c r="O66" s="17">
        <f t="shared" si="15"/>
        <v>1075846.0467857143</v>
      </c>
      <c r="P66" s="17">
        <f t="shared" si="16"/>
        <v>1291015.2561428573</v>
      </c>
      <c r="Q66" s="17">
        <f t="shared" si="17"/>
        <v>860676.83742857154</v>
      </c>
      <c r="R66" s="17">
        <f>Alex_ITSD_count_data!V66</f>
        <v>2.2000000000000002</v>
      </c>
      <c r="S66" s="17">
        <f>Alex_ITSD_count_data!W66</f>
        <v>10494.6</v>
      </c>
      <c r="T66" s="17">
        <f t="shared" si="18"/>
        <v>6943.5592857142865</v>
      </c>
      <c r="U66" s="17">
        <f t="shared" si="19"/>
        <v>8332.2711428571438</v>
      </c>
      <c r="V66" s="17">
        <f t="shared" si="20"/>
        <v>5554.8474285714292</v>
      </c>
      <c r="W66" s="17">
        <f>Alex_ITSD_count_data!X66</f>
        <v>2.2000000000000002</v>
      </c>
    </row>
    <row r="67" spans="1:23" x14ac:dyDescent="0.25">
      <c r="A67" s="23">
        <f>Alex_ITSD_count_data!A67</f>
        <v>9.7997685181326233E-2</v>
      </c>
      <c r="B67" s="8" t="str">
        <f>Alex_ITSD_count_data!B67</f>
        <v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v>
      </c>
      <c r="C67" s="8" t="b">
        <f>Alex_ITSD_count_data!C67</f>
        <v>0</v>
      </c>
      <c r="D67" s="8" t="str">
        <f>Alex_ITSD_count_data!D67</f>
        <v>065SMPL.d</v>
      </c>
      <c r="E67" s="11">
        <f>Alex_ITSD_count_data!E67</f>
        <v>45246.578182870369</v>
      </c>
      <c r="F67" s="8" t="str">
        <f>Alex_ITSD_count_data!F67</f>
        <v>Sample</v>
      </c>
      <c r="G67" s="8">
        <f>Alex_ITSD_count_data!G67</f>
        <v>0</v>
      </c>
      <c r="H67" s="8" t="str">
        <f>Alex_ITSD_count_data!H67</f>
        <v>10-90-B</v>
      </c>
      <c r="I67" s="17">
        <f>Alex_ITSD_count_data!S67</f>
        <v>196743.36</v>
      </c>
      <c r="J67" s="17">
        <f t="shared" ref="J67:J86" si="21">$AB$2</f>
        <v>125782.00142857141</v>
      </c>
      <c r="K67" s="17">
        <f t="shared" ref="K67:K86" si="22">$AB$4</f>
        <v>150938.40171428569</v>
      </c>
      <c r="L67" s="17">
        <f t="shared" ref="L67:L86" si="23">$AB$5</f>
        <v>100625.60114285714</v>
      </c>
      <c r="M67" s="17">
        <f>Alex_ITSD_count_data!T67</f>
        <v>3.6</v>
      </c>
      <c r="N67" s="17">
        <f>Alex_ITSD_count_data!U67</f>
        <v>1703670.96</v>
      </c>
      <c r="O67" s="17">
        <f t="shared" ref="O67:O86" si="24">$AC$2</f>
        <v>1075846.0467857143</v>
      </c>
      <c r="P67" s="17">
        <f t="shared" ref="P67:P86" si="25">$AC$4</f>
        <v>1291015.2561428573</v>
      </c>
      <c r="Q67" s="17">
        <f t="shared" ref="Q67:Q86" si="26">$AC$5</f>
        <v>860676.83742857154</v>
      </c>
      <c r="R67" s="17">
        <f>Alex_ITSD_count_data!V67</f>
        <v>2.2999999999999998</v>
      </c>
      <c r="S67" s="17">
        <f>Alex_ITSD_count_data!W67</f>
        <v>9590.4699999999993</v>
      </c>
      <c r="T67" s="17">
        <f t="shared" ref="T67:T86" si="27">$AD$2</f>
        <v>6943.5592857142865</v>
      </c>
      <c r="U67" s="17">
        <f t="shared" ref="U67:U86" si="28">$AD$4</f>
        <v>8332.2711428571438</v>
      </c>
      <c r="V67" s="17">
        <f t="shared" ref="V67:V86" si="29">$AD$5</f>
        <v>5554.8474285714292</v>
      </c>
      <c r="W67" s="17">
        <f>Alex_ITSD_count_data!X67</f>
        <v>2.1</v>
      </c>
    </row>
    <row r="68" spans="1:23" x14ac:dyDescent="0.25">
      <c r="A68" s="23">
        <f>Alex_ITSD_count_data!A68</f>
        <v>9.9178240736364387E-2</v>
      </c>
      <c r="B68" s="8" t="str">
        <f>Alex_ITSD_count_data!B68</f>
        <v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v>
      </c>
      <c r="C68" s="8" t="b">
        <f>Alex_ITSD_count_data!C68</f>
        <v>0</v>
      </c>
      <c r="D68" s="8" t="str">
        <f>Alex_ITSD_count_data!D68</f>
        <v>066SMPL.d</v>
      </c>
      <c r="E68" s="11">
        <f>Alex_ITSD_count_data!E68</f>
        <v>45246.579363425924</v>
      </c>
      <c r="F68" s="8" t="str">
        <f>Alex_ITSD_count_data!F68</f>
        <v>Sample</v>
      </c>
      <c r="G68" s="8">
        <f>Alex_ITSD_count_data!G68</f>
        <v>0</v>
      </c>
      <c r="H68" s="8" t="str">
        <f>Alex_ITSD_count_data!H68</f>
        <v>10-10-B</v>
      </c>
      <c r="I68" s="17">
        <f>Alex_ITSD_count_data!S68</f>
        <v>197496.38</v>
      </c>
      <c r="J68" s="17">
        <f t="shared" si="21"/>
        <v>125782.00142857141</v>
      </c>
      <c r="K68" s="17">
        <f t="shared" si="22"/>
        <v>150938.40171428569</v>
      </c>
      <c r="L68" s="17">
        <f t="shared" si="23"/>
        <v>100625.60114285714</v>
      </c>
      <c r="M68" s="17">
        <f>Alex_ITSD_count_data!T68</f>
        <v>2.7</v>
      </c>
      <c r="N68" s="17">
        <f>Alex_ITSD_count_data!U68</f>
        <v>1733122.58</v>
      </c>
      <c r="O68" s="17">
        <f t="shared" si="24"/>
        <v>1075846.0467857143</v>
      </c>
      <c r="P68" s="17">
        <f t="shared" si="25"/>
        <v>1291015.2561428573</v>
      </c>
      <c r="Q68" s="17">
        <f t="shared" si="26"/>
        <v>860676.83742857154</v>
      </c>
      <c r="R68" s="17">
        <f>Alex_ITSD_count_data!V68</f>
        <v>2.2999999999999998</v>
      </c>
      <c r="S68" s="17">
        <f>Alex_ITSD_count_data!W68</f>
        <v>10461.31</v>
      </c>
      <c r="T68" s="17">
        <f t="shared" si="27"/>
        <v>6943.5592857142865</v>
      </c>
      <c r="U68" s="17">
        <f t="shared" si="28"/>
        <v>8332.2711428571438</v>
      </c>
      <c r="V68" s="17">
        <f t="shared" si="29"/>
        <v>5554.8474285714292</v>
      </c>
      <c r="W68" s="17">
        <f>Alex_ITSD_count_data!X68</f>
        <v>3.8</v>
      </c>
    </row>
    <row r="69" spans="1:23" x14ac:dyDescent="0.25">
      <c r="A69" s="23">
        <f>Alex_ITSD_count_data!A69</f>
        <v>0.10030092592205619</v>
      </c>
      <c r="B69" s="8" t="str">
        <f>Alex_ITSD_count_data!B69</f>
        <v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v>
      </c>
      <c r="C69" s="8" t="b">
        <f>Alex_ITSD_count_data!C69</f>
        <v>0</v>
      </c>
      <c r="D69" s="8" t="str">
        <f>Alex_ITSD_count_data!D69</f>
        <v>067SMPL.d</v>
      </c>
      <c r="E69" s="11">
        <f>Alex_ITSD_count_data!E69</f>
        <v>45246.58048611111</v>
      </c>
      <c r="F69" s="8" t="str">
        <f>Alex_ITSD_count_data!F69</f>
        <v>Sample</v>
      </c>
      <c r="G69" s="8">
        <f>Alex_ITSD_count_data!G69</f>
        <v>0</v>
      </c>
      <c r="H69" s="8" t="str">
        <f>Alex_ITSD_count_data!H69</f>
        <v>10-50-B</v>
      </c>
      <c r="I69" s="17">
        <f>Alex_ITSD_count_data!S69</f>
        <v>201018.26</v>
      </c>
      <c r="J69" s="17">
        <f t="shared" si="21"/>
        <v>125782.00142857141</v>
      </c>
      <c r="K69" s="17">
        <f t="shared" si="22"/>
        <v>150938.40171428569</v>
      </c>
      <c r="L69" s="17">
        <f t="shared" si="23"/>
        <v>100625.60114285714</v>
      </c>
      <c r="M69" s="17">
        <f>Alex_ITSD_count_data!T69</f>
        <v>2.1</v>
      </c>
      <c r="N69" s="17">
        <f>Alex_ITSD_count_data!U69</f>
        <v>1742151.74</v>
      </c>
      <c r="O69" s="17">
        <f t="shared" si="24"/>
        <v>1075846.0467857143</v>
      </c>
      <c r="P69" s="17">
        <f t="shared" si="25"/>
        <v>1291015.2561428573</v>
      </c>
      <c r="Q69" s="17">
        <f t="shared" si="26"/>
        <v>860676.83742857154</v>
      </c>
      <c r="R69" s="17">
        <f>Alex_ITSD_count_data!V69</f>
        <v>2.2999999999999998</v>
      </c>
      <c r="S69" s="17">
        <f>Alex_ITSD_count_data!W69</f>
        <v>10401.209999999999</v>
      </c>
      <c r="T69" s="17">
        <f t="shared" si="27"/>
        <v>6943.5592857142865</v>
      </c>
      <c r="U69" s="17">
        <f t="shared" si="28"/>
        <v>8332.2711428571438</v>
      </c>
      <c r="V69" s="17">
        <f t="shared" si="29"/>
        <v>5554.8474285714292</v>
      </c>
      <c r="W69" s="17">
        <f>Alex_ITSD_count_data!X69</f>
        <v>3.6</v>
      </c>
    </row>
    <row r="70" spans="1:23" x14ac:dyDescent="0.25">
      <c r="A70" s="23">
        <f>Alex_ITSD_count_data!A70</f>
        <v>0.10144675925403135</v>
      </c>
      <c r="B70" s="8" t="str">
        <f>Alex_ITSD_count_data!B70</f>
        <v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v>
      </c>
      <c r="C70" s="8" t="b">
        <f>Alex_ITSD_count_data!C70</f>
        <v>0</v>
      </c>
      <c r="D70" s="8" t="str">
        <f>Alex_ITSD_count_data!D70</f>
        <v>068SMPL.d</v>
      </c>
      <c r="E70" s="11">
        <f>Alex_ITSD_count_data!E70</f>
        <v>45246.581631944442</v>
      </c>
      <c r="F70" s="8" t="str">
        <f>Alex_ITSD_count_data!F70</f>
        <v>Sample</v>
      </c>
      <c r="G70" s="8">
        <f>Alex_ITSD_count_data!G70</f>
        <v>0</v>
      </c>
      <c r="H70" s="8" t="str">
        <f>Alex_ITSD_count_data!H70</f>
        <v>10-60-B</v>
      </c>
      <c r="I70" s="17">
        <f>Alex_ITSD_count_data!S70</f>
        <v>201285.28</v>
      </c>
      <c r="J70" s="17">
        <f t="shared" si="21"/>
        <v>125782.00142857141</v>
      </c>
      <c r="K70" s="17">
        <f t="shared" si="22"/>
        <v>150938.40171428569</v>
      </c>
      <c r="L70" s="17">
        <f t="shared" si="23"/>
        <v>100625.60114285714</v>
      </c>
      <c r="M70" s="17">
        <f>Alex_ITSD_count_data!T70</f>
        <v>3</v>
      </c>
      <c r="N70" s="17">
        <f>Alex_ITSD_count_data!U70</f>
        <v>1746084.45</v>
      </c>
      <c r="O70" s="17">
        <f t="shared" si="24"/>
        <v>1075846.0467857143</v>
      </c>
      <c r="P70" s="17">
        <f t="shared" si="25"/>
        <v>1291015.2561428573</v>
      </c>
      <c r="Q70" s="17">
        <f t="shared" si="26"/>
        <v>860676.83742857154</v>
      </c>
      <c r="R70" s="17">
        <f>Alex_ITSD_count_data!V70</f>
        <v>2.7</v>
      </c>
      <c r="S70" s="17">
        <f>Alex_ITSD_count_data!W70</f>
        <v>10454.51</v>
      </c>
      <c r="T70" s="17">
        <f t="shared" si="27"/>
        <v>6943.5592857142865</v>
      </c>
      <c r="U70" s="17">
        <f t="shared" si="28"/>
        <v>8332.2711428571438</v>
      </c>
      <c r="V70" s="17">
        <f t="shared" si="29"/>
        <v>5554.8474285714292</v>
      </c>
      <c r="W70" s="17">
        <f>Alex_ITSD_count_data!X70</f>
        <v>4.0999999999999996</v>
      </c>
    </row>
    <row r="71" spans="1:23" x14ac:dyDescent="0.25">
      <c r="A71" s="23">
        <f>Alex_ITSD_count_data!A71</f>
        <v>0.10255787037021946</v>
      </c>
      <c r="B71" s="8" t="str">
        <f>Alex_ITSD_count_data!B71</f>
        <v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v>
      </c>
      <c r="C71" s="8" t="b">
        <f>Alex_ITSD_count_data!C71</f>
        <v>0</v>
      </c>
      <c r="D71" s="8" t="str">
        <f>Alex_ITSD_count_data!D71</f>
        <v>069SMPL.d</v>
      </c>
      <c r="E71" s="11">
        <f>Alex_ITSD_count_data!E71</f>
        <v>45246.582743055558</v>
      </c>
      <c r="F71" s="8" t="str">
        <f>Alex_ITSD_count_data!F71</f>
        <v>Sample</v>
      </c>
      <c r="G71" s="8">
        <f>Alex_ITSD_count_data!G71</f>
        <v>0</v>
      </c>
      <c r="H71" s="8" t="str">
        <f>Alex_ITSD_count_data!H71</f>
        <v>10-70-B</v>
      </c>
      <c r="I71" s="17">
        <f>Alex_ITSD_count_data!S71</f>
        <v>201933.85</v>
      </c>
      <c r="J71" s="17">
        <f t="shared" si="21"/>
        <v>125782.00142857141</v>
      </c>
      <c r="K71" s="17">
        <f t="shared" si="22"/>
        <v>150938.40171428569</v>
      </c>
      <c r="L71" s="17">
        <f t="shared" si="23"/>
        <v>100625.60114285714</v>
      </c>
      <c r="M71" s="17">
        <f>Alex_ITSD_count_data!T71</f>
        <v>4.3</v>
      </c>
      <c r="N71" s="17">
        <f>Alex_ITSD_count_data!U71</f>
        <v>1754612.01</v>
      </c>
      <c r="O71" s="17">
        <f t="shared" si="24"/>
        <v>1075846.0467857143</v>
      </c>
      <c r="P71" s="17">
        <f t="shared" si="25"/>
        <v>1291015.2561428573</v>
      </c>
      <c r="Q71" s="17">
        <f t="shared" si="26"/>
        <v>860676.83742857154</v>
      </c>
      <c r="R71" s="17">
        <f>Alex_ITSD_count_data!V71</f>
        <v>3.5</v>
      </c>
      <c r="S71" s="17">
        <f>Alex_ITSD_count_data!W71</f>
        <v>10594.9</v>
      </c>
      <c r="T71" s="17">
        <f t="shared" si="27"/>
        <v>6943.5592857142865</v>
      </c>
      <c r="U71" s="17">
        <f t="shared" si="28"/>
        <v>8332.2711428571438</v>
      </c>
      <c r="V71" s="17">
        <f t="shared" si="29"/>
        <v>5554.8474285714292</v>
      </c>
      <c r="W71" s="17">
        <f>Alex_ITSD_count_data!X71</f>
        <v>2</v>
      </c>
    </row>
    <row r="72" spans="1:23" x14ac:dyDescent="0.25">
      <c r="A72" s="23">
        <f>Alex_ITSD_count_data!A72</f>
        <v>0.10373842592525762</v>
      </c>
      <c r="B72" s="8" t="str">
        <f>Alex_ITSD_count_data!B72</f>
        <v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v>
      </c>
      <c r="C72" s="8" t="b">
        <f>Alex_ITSD_count_data!C72</f>
        <v>0</v>
      </c>
      <c r="D72" s="8" t="str">
        <f>Alex_ITSD_count_data!D72</f>
        <v>070SMPL.d</v>
      </c>
      <c r="E72" s="11">
        <f>Alex_ITSD_count_data!E72</f>
        <v>45246.583923611113</v>
      </c>
      <c r="F72" s="8" t="str">
        <f>Alex_ITSD_count_data!F72</f>
        <v>Sample</v>
      </c>
      <c r="G72" s="8">
        <f>Alex_ITSD_count_data!G72</f>
        <v>0</v>
      </c>
      <c r="H72" s="8" t="str">
        <f>Alex_ITSD_count_data!H72</f>
        <v>10-100-B</v>
      </c>
      <c r="I72" s="17">
        <f>Alex_ITSD_count_data!S72</f>
        <v>200272.37</v>
      </c>
      <c r="J72" s="17">
        <f t="shared" si="21"/>
        <v>125782.00142857141</v>
      </c>
      <c r="K72" s="17">
        <f t="shared" si="22"/>
        <v>150938.40171428569</v>
      </c>
      <c r="L72" s="17">
        <f t="shared" si="23"/>
        <v>100625.60114285714</v>
      </c>
      <c r="M72" s="17">
        <f>Alex_ITSD_count_data!T72</f>
        <v>1.6</v>
      </c>
      <c r="N72" s="17">
        <f>Alex_ITSD_count_data!U72</f>
        <v>1741981.95</v>
      </c>
      <c r="O72" s="17">
        <f t="shared" si="24"/>
        <v>1075846.0467857143</v>
      </c>
      <c r="P72" s="17">
        <f t="shared" si="25"/>
        <v>1291015.2561428573</v>
      </c>
      <c r="Q72" s="17">
        <f t="shared" si="26"/>
        <v>860676.83742857154</v>
      </c>
      <c r="R72" s="17">
        <f>Alex_ITSD_count_data!V72</f>
        <v>2.9</v>
      </c>
      <c r="S72" s="17">
        <f>Alex_ITSD_count_data!W72</f>
        <v>10160.94</v>
      </c>
      <c r="T72" s="17">
        <f t="shared" si="27"/>
        <v>6943.5592857142865</v>
      </c>
      <c r="U72" s="17">
        <f t="shared" si="28"/>
        <v>8332.2711428571438</v>
      </c>
      <c r="V72" s="17">
        <f t="shared" si="29"/>
        <v>5554.8474285714292</v>
      </c>
      <c r="W72" s="17">
        <f>Alex_ITSD_count_data!X72</f>
        <v>1.5</v>
      </c>
    </row>
    <row r="73" spans="1:23" x14ac:dyDescent="0.25">
      <c r="A73" s="23">
        <f>Alex_ITSD_count_data!A73</f>
        <v>0.10488425925723277</v>
      </c>
      <c r="B73" s="8" t="str">
        <f>Alex_ITSD_count_data!B73</f>
        <v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v>
      </c>
      <c r="C73" s="8" t="b">
        <f>Alex_ITSD_count_data!C73</f>
        <v>0</v>
      </c>
      <c r="D73" s="8" t="str">
        <f>Alex_ITSD_count_data!D73</f>
        <v>071SMPL.d</v>
      </c>
      <c r="E73" s="11">
        <f>Alex_ITSD_count_data!E73</f>
        <v>45246.585069444445</v>
      </c>
      <c r="F73" s="8" t="str">
        <f>Alex_ITSD_count_data!F73</f>
        <v>Sample</v>
      </c>
      <c r="G73" s="8">
        <f>Alex_ITSD_count_data!G73</f>
        <v>0</v>
      </c>
      <c r="H73" s="8" t="str">
        <f>Alex_ITSD_count_data!H73</f>
        <v>20-10-T</v>
      </c>
      <c r="I73" s="17">
        <f>Alex_ITSD_count_data!S73</f>
        <v>203853.83</v>
      </c>
      <c r="J73" s="17">
        <f t="shared" si="21"/>
        <v>125782.00142857141</v>
      </c>
      <c r="K73" s="17">
        <f t="shared" si="22"/>
        <v>150938.40171428569</v>
      </c>
      <c r="L73" s="17">
        <f t="shared" si="23"/>
        <v>100625.60114285714</v>
      </c>
      <c r="M73" s="17">
        <f>Alex_ITSD_count_data!T73</f>
        <v>4.3</v>
      </c>
      <c r="N73" s="17">
        <f>Alex_ITSD_count_data!U73</f>
        <v>1766525.81</v>
      </c>
      <c r="O73" s="17">
        <f t="shared" si="24"/>
        <v>1075846.0467857143</v>
      </c>
      <c r="P73" s="17">
        <f t="shared" si="25"/>
        <v>1291015.2561428573</v>
      </c>
      <c r="Q73" s="17">
        <f t="shared" si="26"/>
        <v>860676.83742857154</v>
      </c>
      <c r="R73" s="17">
        <f>Alex_ITSD_count_data!V73</f>
        <v>4.5</v>
      </c>
      <c r="S73" s="17">
        <f>Alex_ITSD_count_data!W73</f>
        <v>10247.67</v>
      </c>
      <c r="T73" s="17">
        <f t="shared" si="27"/>
        <v>6943.5592857142865</v>
      </c>
      <c r="U73" s="17">
        <f t="shared" si="28"/>
        <v>8332.2711428571438</v>
      </c>
      <c r="V73" s="17">
        <f t="shared" si="29"/>
        <v>5554.8474285714292</v>
      </c>
      <c r="W73" s="17">
        <f>Alex_ITSD_count_data!X73</f>
        <v>7.9</v>
      </c>
    </row>
    <row r="74" spans="1:23" x14ac:dyDescent="0.25">
      <c r="A74" s="23">
        <f>Alex_ITSD_count_data!A74</f>
        <v>0.10601851851242827</v>
      </c>
      <c r="B74" s="8" t="str">
        <f>Alex_ITSD_count_data!B74</f>
        <v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v>
      </c>
      <c r="C74" s="8" t="b">
        <f>Alex_ITSD_count_data!C74</f>
        <v>0</v>
      </c>
      <c r="D74" s="8" t="str">
        <f>Alex_ITSD_count_data!D74</f>
        <v>072SMPL.d</v>
      </c>
      <c r="E74" s="11">
        <f>Alex_ITSD_count_data!E74</f>
        <v>45246.5862037037</v>
      </c>
      <c r="F74" s="8" t="str">
        <f>Alex_ITSD_count_data!F74</f>
        <v>Sample</v>
      </c>
      <c r="G74" s="8">
        <f>Alex_ITSD_count_data!G74</f>
        <v>0</v>
      </c>
      <c r="H74" s="8" t="str">
        <f>Alex_ITSD_count_data!H74</f>
        <v>20-50-T</v>
      </c>
      <c r="I74" s="17">
        <f>Alex_ITSD_count_data!S74</f>
        <v>202765.11</v>
      </c>
      <c r="J74" s="17">
        <f t="shared" si="21"/>
        <v>125782.00142857141</v>
      </c>
      <c r="K74" s="17">
        <f t="shared" si="22"/>
        <v>150938.40171428569</v>
      </c>
      <c r="L74" s="17">
        <f t="shared" si="23"/>
        <v>100625.60114285714</v>
      </c>
      <c r="M74" s="17">
        <f>Alex_ITSD_count_data!T74</f>
        <v>4</v>
      </c>
      <c r="N74" s="17">
        <f>Alex_ITSD_count_data!U74</f>
        <v>1763836.85</v>
      </c>
      <c r="O74" s="17">
        <f t="shared" si="24"/>
        <v>1075846.0467857143</v>
      </c>
      <c r="P74" s="17">
        <f t="shared" si="25"/>
        <v>1291015.2561428573</v>
      </c>
      <c r="Q74" s="17">
        <f t="shared" si="26"/>
        <v>860676.83742857154</v>
      </c>
      <c r="R74" s="17">
        <f>Alex_ITSD_count_data!V74</f>
        <v>4.0999999999999996</v>
      </c>
      <c r="S74" s="17">
        <f>Alex_ITSD_count_data!W74</f>
        <v>10214.36</v>
      </c>
      <c r="T74" s="17">
        <f t="shared" si="27"/>
        <v>6943.5592857142865</v>
      </c>
      <c r="U74" s="17">
        <f t="shared" si="28"/>
        <v>8332.2711428571438</v>
      </c>
      <c r="V74" s="17">
        <f t="shared" si="29"/>
        <v>5554.8474285714292</v>
      </c>
      <c r="W74" s="17">
        <f>Alex_ITSD_count_data!X74</f>
        <v>8.1</v>
      </c>
    </row>
    <row r="75" spans="1:23" x14ac:dyDescent="0.25">
      <c r="A75" s="23">
        <f>Alex_ITSD_count_data!A75</f>
        <v>0.10715277777489973</v>
      </c>
      <c r="B75" s="8" t="str">
        <f>Alex_ITSD_count_data!B75</f>
        <v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v>
      </c>
      <c r="C75" s="8" t="b">
        <f>Alex_ITSD_count_data!C75</f>
        <v>0</v>
      </c>
      <c r="D75" s="8" t="str">
        <f>Alex_ITSD_count_data!D75</f>
        <v>073SMPL.d</v>
      </c>
      <c r="E75" s="11">
        <f>Alex_ITSD_count_data!E75</f>
        <v>45246.587337962963</v>
      </c>
      <c r="F75" s="8" t="str">
        <f>Alex_ITSD_count_data!F75</f>
        <v>Sample</v>
      </c>
      <c r="G75" s="8">
        <f>Alex_ITSD_count_data!G75</f>
        <v>0</v>
      </c>
      <c r="H75" s="8" t="str">
        <f>Alex_ITSD_count_data!H75</f>
        <v>20-70-B</v>
      </c>
      <c r="I75" s="17">
        <f>Alex_ITSD_count_data!S75</f>
        <v>202000.13</v>
      </c>
      <c r="J75" s="17">
        <f t="shared" si="21"/>
        <v>125782.00142857141</v>
      </c>
      <c r="K75" s="17">
        <f t="shared" si="22"/>
        <v>150938.40171428569</v>
      </c>
      <c r="L75" s="17">
        <f t="shared" si="23"/>
        <v>100625.60114285714</v>
      </c>
      <c r="M75" s="17">
        <f>Alex_ITSD_count_data!T75</f>
        <v>2.6</v>
      </c>
      <c r="N75" s="17">
        <f>Alex_ITSD_count_data!U75</f>
        <v>1724379.35</v>
      </c>
      <c r="O75" s="17">
        <f t="shared" si="24"/>
        <v>1075846.0467857143</v>
      </c>
      <c r="P75" s="17">
        <f t="shared" si="25"/>
        <v>1291015.2561428573</v>
      </c>
      <c r="Q75" s="17">
        <f t="shared" si="26"/>
        <v>860676.83742857154</v>
      </c>
      <c r="R75" s="17">
        <f>Alex_ITSD_count_data!V75</f>
        <v>2.5</v>
      </c>
      <c r="S75" s="17">
        <f>Alex_ITSD_count_data!W75</f>
        <v>10528.22</v>
      </c>
      <c r="T75" s="17">
        <f t="shared" si="27"/>
        <v>6943.5592857142865</v>
      </c>
      <c r="U75" s="17">
        <f t="shared" si="28"/>
        <v>8332.2711428571438</v>
      </c>
      <c r="V75" s="17">
        <f t="shared" si="29"/>
        <v>5554.8474285714292</v>
      </c>
      <c r="W75" s="17">
        <f>Alex_ITSD_count_data!X75</f>
        <v>1.8</v>
      </c>
    </row>
    <row r="76" spans="1:23" x14ac:dyDescent="0.25">
      <c r="A76" s="23">
        <f>Alex_ITSD_count_data!A76</f>
        <v>0.10834490740671754</v>
      </c>
      <c r="B76" s="8" t="str">
        <f>Alex_ITSD_count_data!B76</f>
        <v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v>
      </c>
      <c r="C76" s="8" t="b">
        <f>Alex_ITSD_count_data!C76</f>
        <v>0</v>
      </c>
      <c r="D76" s="8" t="str">
        <f>Alex_ITSD_count_data!D76</f>
        <v>074SMPL.d</v>
      </c>
      <c r="E76" s="11">
        <f>Alex_ITSD_count_data!E76</f>
        <v>45246.588530092595</v>
      </c>
      <c r="F76" s="8" t="str">
        <f>Alex_ITSD_count_data!F76</f>
        <v>Sample</v>
      </c>
      <c r="G76" s="8">
        <f>Alex_ITSD_count_data!G76</f>
        <v>0</v>
      </c>
      <c r="H76" s="8" t="str">
        <f>Alex_ITSD_count_data!H76</f>
        <v>20-60-B</v>
      </c>
      <c r="I76" s="17">
        <f>Alex_ITSD_count_data!S76</f>
        <v>197643.47</v>
      </c>
      <c r="J76" s="17">
        <f t="shared" si="21"/>
        <v>125782.00142857141</v>
      </c>
      <c r="K76" s="17">
        <f t="shared" si="22"/>
        <v>150938.40171428569</v>
      </c>
      <c r="L76" s="17">
        <f t="shared" si="23"/>
        <v>100625.60114285714</v>
      </c>
      <c r="M76" s="17">
        <f>Alex_ITSD_count_data!T76</f>
        <v>2.9</v>
      </c>
      <c r="N76" s="17">
        <f>Alex_ITSD_count_data!U76</f>
        <v>1745395.86</v>
      </c>
      <c r="O76" s="17">
        <f t="shared" si="24"/>
        <v>1075846.0467857143</v>
      </c>
      <c r="P76" s="17">
        <f t="shared" si="25"/>
        <v>1291015.2561428573</v>
      </c>
      <c r="Q76" s="17">
        <f t="shared" si="26"/>
        <v>860676.83742857154</v>
      </c>
      <c r="R76" s="17">
        <f>Alex_ITSD_count_data!V76</f>
        <v>1.2</v>
      </c>
      <c r="S76" s="17">
        <f>Alex_ITSD_count_data!W76</f>
        <v>9507.1299999999992</v>
      </c>
      <c r="T76" s="17">
        <f t="shared" si="27"/>
        <v>6943.5592857142865</v>
      </c>
      <c r="U76" s="17">
        <f t="shared" si="28"/>
        <v>8332.2711428571438</v>
      </c>
      <c r="V76" s="17">
        <f t="shared" si="29"/>
        <v>5554.8474285714292</v>
      </c>
      <c r="W76" s="17">
        <f>Alex_ITSD_count_data!X76</f>
        <v>2.2000000000000002</v>
      </c>
    </row>
    <row r="77" spans="1:23" x14ac:dyDescent="0.25">
      <c r="A77" s="23">
        <f>Alex_ITSD_count_data!A77</f>
        <v>0.10947916666191304</v>
      </c>
      <c r="B77" s="8" t="str">
        <f>Alex_ITSD_count_data!B77</f>
        <v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v>
      </c>
      <c r="C77" s="8" t="b">
        <f>Alex_ITSD_count_data!C77</f>
        <v>0</v>
      </c>
      <c r="D77" s="8" t="str">
        <f>Alex_ITSD_count_data!D77</f>
        <v>075SMPL.d</v>
      </c>
      <c r="E77" s="11">
        <f>Alex_ITSD_count_data!E77</f>
        <v>45246.58966435185</v>
      </c>
      <c r="F77" s="8" t="str">
        <f>Alex_ITSD_count_data!F77</f>
        <v>Sample</v>
      </c>
      <c r="G77" s="8">
        <f>Alex_ITSD_count_data!G77</f>
        <v>0</v>
      </c>
      <c r="H77" s="8" t="str">
        <f>Alex_ITSD_count_data!H77</f>
        <v>20-80-B</v>
      </c>
      <c r="I77" s="17">
        <f>Alex_ITSD_count_data!S77</f>
        <v>199026.16</v>
      </c>
      <c r="J77" s="17">
        <f t="shared" si="21"/>
        <v>125782.00142857141</v>
      </c>
      <c r="K77" s="17">
        <f t="shared" si="22"/>
        <v>150938.40171428569</v>
      </c>
      <c r="L77" s="17">
        <f t="shared" si="23"/>
        <v>100625.60114285714</v>
      </c>
      <c r="M77" s="17">
        <f>Alex_ITSD_count_data!T77</f>
        <v>3</v>
      </c>
      <c r="N77" s="17">
        <f>Alex_ITSD_count_data!U77</f>
        <v>1750624.72</v>
      </c>
      <c r="O77" s="17">
        <f t="shared" si="24"/>
        <v>1075846.0467857143</v>
      </c>
      <c r="P77" s="17">
        <f t="shared" si="25"/>
        <v>1291015.2561428573</v>
      </c>
      <c r="Q77" s="17">
        <f t="shared" si="26"/>
        <v>860676.83742857154</v>
      </c>
      <c r="R77" s="17">
        <f>Alex_ITSD_count_data!V77</f>
        <v>2.8</v>
      </c>
      <c r="S77" s="17">
        <f>Alex_ITSD_count_data!W77</f>
        <v>9870.9599999999991</v>
      </c>
      <c r="T77" s="17">
        <f t="shared" si="27"/>
        <v>6943.5592857142865</v>
      </c>
      <c r="U77" s="17">
        <f t="shared" si="28"/>
        <v>8332.2711428571438</v>
      </c>
      <c r="V77" s="17">
        <f t="shared" si="29"/>
        <v>5554.8474285714292</v>
      </c>
      <c r="W77" s="17">
        <f>Alex_ITSD_count_data!X77</f>
        <v>3.8</v>
      </c>
    </row>
    <row r="78" spans="1:23" x14ac:dyDescent="0.25">
      <c r="A78" s="23">
        <f>Alex_ITSD_count_data!A78</f>
        <v>0.1106134259243845</v>
      </c>
      <c r="B78" s="8" t="str">
        <f>Alex_ITSD_count_data!B78</f>
        <v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v>
      </c>
      <c r="C78" s="8" t="b">
        <f>Alex_ITSD_count_data!C78</f>
        <v>0</v>
      </c>
      <c r="D78" s="8" t="str">
        <f>Alex_ITSD_count_data!D78</f>
        <v>076SMPL.d</v>
      </c>
      <c r="E78" s="11">
        <f>Alex_ITSD_count_data!E78</f>
        <v>45246.590798611112</v>
      </c>
      <c r="F78" s="8" t="str">
        <f>Alex_ITSD_count_data!F78</f>
        <v>Sample</v>
      </c>
      <c r="G78" s="8">
        <f>Alex_ITSD_count_data!G78</f>
        <v>0</v>
      </c>
      <c r="H78" s="8" t="str">
        <f>Alex_ITSD_count_data!H78</f>
        <v>20-90-T</v>
      </c>
      <c r="I78" s="17">
        <f>Alex_ITSD_count_data!S78</f>
        <v>200186.8</v>
      </c>
      <c r="J78" s="17">
        <f t="shared" si="21"/>
        <v>125782.00142857141</v>
      </c>
      <c r="K78" s="17">
        <f t="shared" si="22"/>
        <v>150938.40171428569</v>
      </c>
      <c r="L78" s="17">
        <f t="shared" si="23"/>
        <v>100625.60114285714</v>
      </c>
      <c r="M78" s="17">
        <f>Alex_ITSD_count_data!T78</f>
        <v>2.6</v>
      </c>
      <c r="N78" s="17">
        <f>Alex_ITSD_count_data!U78</f>
        <v>1743629.45</v>
      </c>
      <c r="O78" s="17">
        <f t="shared" si="24"/>
        <v>1075846.0467857143</v>
      </c>
      <c r="P78" s="17">
        <f t="shared" si="25"/>
        <v>1291015.2561428573</v>
      </c>
      <c r="Q78" s="17">
        <f t="shared" si="26"/>
        <v>860676.83742857154</v>
      </c>
      <c r="R78" s="17">
        <f>Alex_ITSD_count_data!V78</f>
        <v>1.7</v>
      </c>
      <c r="S78" s="17">
        <f>Alex_ITSD_count_data!W78</f>
        <v>10114.370000000001</v>
      </c>
      <c r="T78" s="17">
        <f t="shared" si="27"/>
        <v>6943.5592857142865</v>
      </c>
      <c r="U78" s="17">
        <f t="shared" si="28"/>
        <v>8332.2711428571438</v>
      </c>
      <c r="V78" s="17">
        <f t="shared" si="29"/>
        <v>5554.8474285714292</v>
      </c>
      <c r="W78" s="17">
        <f>Alex_ITSD_count_data!X78</f>
        <v>1.1000000000000001</v>
      </c>
    </row>
    <row r="79" spans="1:23" x14ac:dyDescent="0.25">
      <c r="A79" s="23">
        <f>Alex_ITSD_count_data!A79</f>
        <v>0.11174768517958</v>
      </c>
      <c r="B79" s="8" t="str">
        <f>Alex_ITSD_count_data!B79</f>
        <v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v>
      </c>
      <c r="C79" s="8" t="b">
        <f>Alex_ITSD_count_data!C79</f>
        <v>0</v>
      </c>
      <c r="D79" s="8" t="str">
        <f>Alex_ITSD_count_data!D79</f>
        <v>077SMPL.d</v>
      </c>
      <c r="E79" s="11">
        <f>Alex_ITSD_count_data!E79</f>
        <v>45246.591932870368</v>
      </c>
      <c r="F79" s="8" t="str">
        <f>Alex_ITSD_count_data!F79</f>
        <v>Sample</v>
      </c>
      <c r="G79" s="8">
        <f>Alex_ITSD_count_data!G79</f>
        <v>0</v>
      </c>
      <c r="H79" s="8" t="str">
        <f>Alex_ITSD_count_data!H79</f>
        <v>DI H2O</v>
      </c>
      <c r="I79" s="17">
        <f>Alex_ITSD_count_data!S79</f>
        <v>199169.21</v>
      </c>
      <c r="J79" s="17">
        <f t="shared" si="21"/>
        <v>125782.00142857141</v>
      </c>
      <c r="K79" s="17">
        <f t="shared" si="22"/>
        <v>150938.40171428569</v>
      </c>
      <c r="L79" s="17">
        <f t="shared" si="23"/>
        <v>100625.60114285714</v>
      </c>
      <c r="M79" s="17">
        <f>Alex_ITSD_count_data!T79</f>
        <v>2.7</v>
      </c>
      <c r="N79" s="17">
        <f>Alex_ITSD_count_data!U79</f>
        <v>1779022.84</v>
      </c>
      <c r="O79" s="17">
        <f t="shared" si="24"/>
        <v>1075846.0467857143</v>
      </c>
      <c r="P79" s="17">
        <f t="shared" si="25"/>
        <v>1291015.2561428573</v>
      </c>
      <c r="Q79" s="17">
        <f t="shared" si="26"/>
        <v>860676.83742857154</v>
      </c>
      <c r="R79" s="17">
        <f>Alex_ITSD_count_data!V79</f>
        <v>2</v>
      </c>
      <c r="S79" s="17">
        <f>Alex_ITSD_count_data!W79</f>
        <v>9787.0300000000007</v>
      </c>
      <c r="T79" s="17">
        <f t="shared" si="27"/>
        <v>6943.5592857142865</v>
      </c>
      <c r="U79" s="17">
        <f t="shared" si="28"/>
        <v>8332.2711428571438</v>
      </c>
      <c r="V79" s="17">
        <f t="shared" si="29"/>
        <v>5554.8474285714292</v>
      </c>
      <c r="W79" s="17">
        <f>Alex_ITSD_count_data!X79</f>
        <v>10</v>
      </c>
    </row>
    <row r="80" spans="1:23" x14ac:dyDescent="0.25">
      <c r="A80" s="23">
        <f>Alex_ITSD_count_data!A80</f>
        <v>0.11293981481139781</v>
      </c>
      <c r="B80" s="8" t="str">
        <f>Alex_ITSD_count_data!B80</f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C80" s="8" t="b">
        <f>Alex_ITSD_count_data!C80</f>
        <v>0</v>
      </c>
      <c r="D80" s="8" t="str">
        <f>Alex_ITSD_count_data!D80</f>
        <v>078SMPL.d</v>
      </c>
      <c r="E80" s="11">
        <f>Alex_ITSD_count_data!E80</f>
        <v>45246.593124999999</v>
      </c>
      <c r="F80" s="8" t="str">
        <f>Alex_ITSD_count_data!F80</f>
        <v>Sample</v>
      </c>
      <c r="G80" s="8">
        <f>Alex_ITSD_count_data!G80</f>
        <v>0</v>
      </c>
      <c r="H80" s="8" t="str">
        <f>Alex_ITSD_count_data!H80</f>
        <v>blk</v>
      </c>
      <c r="I80" s="17">
        <f>Alex_ITSD_count_data!S80</f>
        <v>200405.89</v>
      </c>
      <c r="J80" s="17">
        <f t="shared" si="21"/>
        <v>125782.00142857141</v>
      </c>
      <c r="K80" s="17">
        <f t="shared" si="22"/>
        <v>150938.40171428569</v>
      </c>
      <c r="L80" s="17">
        <f t="shared" si="23"/>
        <v>100625.60114285714</v>
      </c>
      <c r="M80" s="17">
        <f>Alex_ITSD_count_data!T80</f>
        <v>3.8</v>
      </c>
      <c r="N80" s="17">
        <f>Alex_ITSD_count_data!U80</f>
        <v>1754948.15</v>
      </c>
      <c r="O80" s="17">
        <f t="shared" si="24"/>
        <v>1075846.0467857143</v>
      </c>
      <c r="P80" s="17">
        <f t="shared" si="25"/>
        <v>1291015.2561428573</v>
      </c>
      <c r="Q80" s="17">
        <f t="shared" si="26"/>
        <v>860676.83742857154</v>
      </c>
      <c r="R80" s="17">
        <f>Alex_ITSD_count_data!V80</f>
        <v>3.2</v>
      </c>
      <c r="S80" s="17">
        <f>Alex_ITSD_count_data!W80</f>
        <v>10696.92</v>
      </c>
      <c r="T80" s="17">
        <f t="shared" si="27"/>
        <v>6943.5592857142865</v>
      </c>
      <c r="U80" s="17">
        <f t="shared" si="28"/>
        <v>8332.2711428571438</v>
      </c>
      <c r="V80" s="17">
        <f t="shared" si="29"/>
        <v>5554.8474285714292</v>
      </c>
      <c r="W80" s="17">
        <f>Alex_ITSD_count_data!X80</f>
        <v>5</v>
      </c>
    </row>
    <row r="81" spans="1:23" x14ac:dyDescent="0.25">
      <c r="A81" s="23">
        <f>Alex_ITSD_count_data!A81</f>
        <v>0.11407407407386927</v>
      </c>
      <c r="B81" s="8" t="str">
        <f>Alex_ITSD_count_data!B81</f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C81" s="8" t="b">
        <f>Alex_ITSD_count_data!C81</f>
        <v>0</v>
      </c>
      <c r="D81" s="8" t="str">
        <f>Alex_ITSD_count_data!D81</f>
        <v>079SMPL.d</v>
      </c>
      <c r="E81" s="11">
        <f>Alex_ITSD_count_data!E81</f>
        <v>45246.594259259262</v>
      </c>
      <c r="F81" s="8" t="str">
        <f>Alex_ITSD_count_data!F81</f>
        <v>Sample</v>
      </c>
      <c r="G81" s="8">
        <f>Alex_ITSD_count_data!G81</f>
        <v>0</v>
      </c>
      <c r="H81" s="8" t="str">
        <f>Alex_ITSD_count_data!H81</f>
        <v>100 ppb check</v>
      </c>
      <c r="I81" s="17">
        <f>Alex_ITSD_count_data!S81</f>
        <v>202535.27</v>
      </c>
      <c r="J81" s="17">
        <f t="shared" si="21"/>
        <v>125782.00142857141</v>
      </c>
      <c r="K81" s="17">
        <f t="shared" si="22"/>
        <v>150938.40171428569</v>
      </c>
      <c r="L81" s="17">
        <f t="shared" si="23"/>
        <v>100625.60114285714</v>
      </c>
      <c r="M81" s="17">
        <f>Alex_ITSD_count_data!T81</f>
        <v>3.4</v>
      </c>
      <c r="N81" s="17">
        <f>Alex_ITSD_count_data!U81</f>
        <v>1744522.37</v>
      </c>
      <c r="O81" s="17">
        <f t="shared" si="24"/>
        <v>1075846.0467857143</v>
      </c>
      <c r="P81" s="17">
        <f t="shared" si="25"/>
        <v>1291015.2561428573</v>
      </c>
      <c r="Q81" s="17">
        <f t="shared" si="26"/>
        <v>860676.83742857154</v>
      </c>
      <c r="R81" s="17">
        <f>Alex_ITSD_count_data!V81</f>
        <v>3.3</v>
      </c>
      <c r="S81" s="17">
        <f>Alex_ITSD_count_data!W81</f>
        <v>9403.7099999999991</v>
      </c>
      <c r="T81" s="17">
        <f t="shared" si="27"/>
        <v>6943.5592857142865</v>
      </c>
      <c r="U81" s="17">
        <f t="shared" si="28"/>
        <v>8332.2711428571438</v>
      </c>
      <c r="V81" s="17">
        <f t="shared" si="29"/>
        <v>5554.8474285714292</v>
      </c>
      <c r="W81" s="17">
        <f>Alex_ITSD_count_data!X81</f>
        <v>5.5</v>
      </c>
    </row>
    <row r="82" spans="1:23" x14ac:dyDescent="0.25">
      <c r="A82" s="23">
        <f>Alex_ITSD_count_data!A82</f>
        <v>0.11520833332906477</v>
      </c>
      <c r="B82" s="8" t="str">
        <f>Alex_ITSD_count_data!B82</f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C82" s="8" t="b">
        <f>Alex_ITSD_count_data!C82</f>
        <v>0</v>
      </c>
      <c r="D82" s="8" t="str">
        <f>Alex_ITSD_count_data!D82</f>
        <v>080SMPL.d</v>
      </c>
      <c r="E82" s="11">
        <f>Alex_ITSD_count_data!E82</f>
        <v>45246.595393518517</v>
      </c>
      <c r="F82" s="8" t="str">
        <f>Alex_ITSD_count_data!F82</f>
        <v>CalStd</v>
      </c>
      <c r="G82" s="8">
        <f>Alex_ITSD_count_data!G82</f>
        <v>10</v>
      </c>
      <c r="H82" s="8" t="str">
        <f>Alex_ITSD_count_data!H82</f>
        <v>level 10 m6</v>
      </c>
      <c r="I82" s="17">
        <f>Alex_ITSD_count_data!S82</f>
        <v>200714.18</v>
      </c>
      <c r="J82" s="17">
        <f t="shared" si="21"/>
        <v>125782.00142857141</v>
      </c>
      <c r="K82" s="17">
        <f t="shared" si="22"/>
        <v>150938.40171428569</v>
      </c>
      <c r="L82" s="17">
        <f t="shared" si="23"/>
        <v>100625.60114285714</v>
      </c>
      <c r="M82" s="17">
        <f>Alex_ITSD_count_data!T82</f>
        <v>2.2999999999999998</v>
      </c>
      <c r="N82" s="17">
        <f>Alex_ITSD_count_data!U82</f>
        <v>1697271.9</v>
      </c>
      <c r="O82" s="17">
        <f t="shared" si="24"/>
        <v>1075846.0467857143</v>
      </c>
      <c r="P82" s="17">
        <f t="shared" si="25"/>
        <v>1291015.2561428573</v>
      </c>
      <c r="Q82" s="17">
        <f t="shared" si="26"/>
        <v>860676.83742857154</v>
      </c>
      <c r="R82" s="17">
        <f>Alex_ITSD_count_data!V82</f>
        <v>1.7</v>
      </c>
      <c r="S82" s="17">
        <f>Alex_ITSD_count_data!W82</f>
        <v>9387.18</v>
      </c>
      <c r="T82" s="17">
        <f t="shared" si="27"/>
        <v>6943.5592857142865</v>
      </c>
      <c r="U82" s="17">
        <f t="shared" si="28"/>
        <v>8332.2711428571438</v>
      </c>
      <c r="V82" s="17">
        <f t="shared" si="29"/>
        <v>5554.8474285714292</v>
      </c>
      <c r="W82" s="17">
        <f>Alex_ITSD_count_data!X82</f>
        <v>5.5</v>
      </c>
    </row>
    <row r="83" spans="1:23" x14ac:dyDescent="0.25">
      <c r="A83" s="23">
        <f>Alex_ITSD_count_data!A83</f>
        <v>0.11633101851475658</v>
      </c>
      <c r="B83" s="8" t="str">
        <f>Alex_ITSD_count_data!B83</f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C83" s="8" t="b">
        <f>Alex_ITSD_count_data!C83</f>
        <v>0</v>
      </c>
      <c r="D83" s="8" t="str">
        <f>Alex_ITSD_count_data!D83</f>
        <v>081SMPL.d</v>
      </c>
      <c r="E83" s="11">
        <f>Alex_ITSD_count_data!E83</f>
        <v>45246.596516203703</v>
      </c>
      <c r="F83" s="8" t="str">
        <f>Alex_ITSD_count_data!F83</f>
        <v>CalStd</v>
      </c>
      <c r="G83" s="8">
        <f>Alex_ITSD_count_data!G83</f>
        <v>11</v>
      </c>
      <c r="H83" s="8" t="str">
        <f>Alex_ITSD_count_data!H83</f>
        <v>level 11 m6</v>
      </c>
      <c r="I83" s="17">
        <f>Alex_ITSD_count_data!S83</f>
        <v>180908.09</v>
      </c>
      <c r="J83" s="17">
        <f t="shared" si="21"/>
        <v>125782.00142857141</v>
      </c>
      <c r="K83" s="17">
        <f t="shared" si="22"/>
        <v>150938.40171428569</v>
      </c>
      <c r="L83" s="17">
        <f t="shared" si="23"/>
        <v>100625.60114285714</v>
      </c>
      <c r="M83" s="17">
        <f>Alex_ITSD_count_data!T83</f>
        <v>1.6</v>
      </c>
      <c r="N83" s="17">
        <f>Alex_ITSD_count_data!U83</f>
        <v>1348858.31</v>
      </c>
      <c r="O83" s="17">
        <f t="shared" si="24"/>
        <v>1075846.0467857143</v>
      </c>
      <c r="P83" s="17">
        <f t="shared" si="25"/>
        <v>1291015.2561428573</v>
      </c>
      <c r="Q83" s="17">
        <f t="shared" si="26"/>
        <v>860676.83742857154</v>
      </c>
      <c r="R83" s="17">
        <f>Alex_ITSD_count_data!V83</f>
        <v>1.8</v>
      </c>
      <c r="S83" s="17">
        <f>Alex_ITSD_count_data!W83</f>
        <v>8643.16</v>
      </c>
      <c r="T83" s="17">
        <f t="shared" si="27"/>
        <v>6943.5592857142865</v>
      </c>
      <c r="U83" s="17">
        <f t="shared" si="28"/>
        <v>8332.2711428571438</v>
      </c>
      <c r="V83" s="17">
        <f t="shared" si="29"/>
        <v>5554.8474285714292</v>
      </c>
      <c r="W83" s="17">
        <f>Alex_ITSD_count_data!X83</f>
        <v>2.6</v>
      </c>
    </row>
    <row r="84" spans="1:23" x14ac:dyDescent="0.25">
      <c r="A84" s="23">
        <f>Alex_ITSD_count_data!A84</f>
        <v>0.11753472221607808</v>
      </c>
      <c r="B84" s="8" t="str">
        <f>Alex_ITSD_count_data!B84</f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C84" s="8" t="b">
        <f>Alex_ITSD_count_data!C84</f>
        <v>0</v>
      </c>
      <c r="D84" s="8" t="str">
        <f>Alex_ITSD_count_data!D84</f>
        <v>082SMPL.d</v>
      </c>
      <c r="E84" s="11">
        <f>Alex_ITSD_count_data!E84</f>
        <v>45246.597719907404</v>
      </c>
      <c r="F84" s="8" t="str">
        <f>Alex_ITSD_count_data!F84</f>
        <v>Sample</v>
      </c>
      <c r="G84" s="8">
        <f>Alex_ITSD_count_data!G84</f>
        <v>0</v>
      </c>
      <c r="H84" s="8" t="str">
        <f>Alex_ITSD_count_data!H84</f>
        <v>blk</v>
      </c>
      <c r="I84" s="17">
        <f>Alex_ITSD_count_data!S84</f>
        <v>198844.31</v>
      </c>
      <c r="J84" s="17">
        <f t="shared" si="21"/>
        <v>125782.00142857141</v>
      </c>
      <c r="K84" s="17">
        <f t="shared" si="22"/>
        <v>150938.40171428569</v>
      </c>
      <c r="L84" s="17">
        <f t="shared" si="23"/>
        <v>100625.60114285714</v>
      </c>
      <c r="M84" s="17">
        <f>Alex_ITSD_count_data!T84</f>
        <v>3.1</v>
      </c>
      <c r="N84" s="17">
        <f>Alex_ITSD_count_data!U84</f>
        <v>1831976.22</v>
      </c>
      <c r="O84" s="17">
        <f t="shared" si="24"/>
        <v>1075846.0467857143</v>
      </c>
      <c r="P84" s="17">
        <f t="shared" si="25"/>
        <v>1291015.2561428573</v>
      </c>
      <c r="Q84" s="17">
        <f t="shared" si="26"/>
        <v>860676.83742857154</v>
      </c>
      <c r="R84" s="17">
        <f>Alex_ITSD_count_data!V84</f>
        <v>2.6</v>
      </c>
      <c r="S84" s="17">
        <f>Alex_ITSD_count_data!W84</f>
        <v>10484.790000000001</v>
      </c>
      <c r="T84" s="17">
        <f t="shared" si="27"/>
        <v>6943.5592857142865</v>
      </c>
      <c r="U84" s="17">
        <f t="shared" si="28"/>
        <v>8332.2711428571438</v>
      </c>
      <c r="V84" s="17">
        <f t="shared" si="29"/>
        <v>5554.8474285714292</v>
      </c>
      <c r="W84" s="17">
        <f>Alex_ITSD_count_data!X84</f>
        <v>9.1999999999999993</v>
      </c>
    </row>
    <row r="85" spans="1:23" x14ac:dyDescent="0.25">
      <c r="A85" s="23">
        <f>Alex_ITSD_count_data!A85</f>
        <v>0.11868055555532919</v>
      </c>
      <c r="B85" s="8" t="str">
        <f>Alex_ITSD_count_data!B85</f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C85" s="8" t="b">
        <f>Alex_ITSD_count_data!C85</f>
        <v>0</v>
      </c>
      <c r="D85" s="8" t="str">
        <f>Alex_ITSD_count_data!D85</f>
        <v>083SMPL.d</v>
      </c>
      <c r="E85" s="11">
        <f>Alex_ITSD_count_data!E85</f>
        <v>45246.598865740743</v>
      </c>
      <c r="F85" s="8" t="str">
        <f>Alex_ITSD_count_data!F85</f>
        <v>Sample</v>
      </c>
      <c r="G85" s="8">
        <f>Alex_ITSD_count_data!G85</f>
        <v>0</v>
      </c>
      <c r="H85" s="8" t="str">
        <f>Alex_ITSD_count_data!H85</f>
        <v>blk</v>
      </c>
      <c r="I85" s="17">
        <f>Alex_ITSD_count_data!S85</f>
        <v>198456.42</v>
      </c>
      <c r="J85" s="17">
        <f t="shared" si="21"/>
        <v>125782.00142857141</v>
      </c>
      <c r="K85" s="17">
        <f t="shared" si="22"/>
        <v>150938.40171428569</v>
      </c>
      <c r="L85" s="17">
        <f t="shared" si="23"/>
        <v>100625.60114285714</v>
      </c>
      <c r="M85" s="17">
        <f>Alex_ITSD_count_data!T85</f>
        <v>2.2999999999999998</v>
      </c>
      <c r="N85" s="17">
        <f>Alex_ITSD_count_data!U85</f>
        <v>1855948.25</v>
      </c>
      <c r="O85" s="17">
        <f t="shared" si="24"/>
        <v>1075846.0467857143</v>
      </c>
      <c r="P85" s="17">
        <f t="shared" si="25"/>
        <v>1291015.2561428573</v>
      </c>
      <c r="Q85" s="17">
        <f t="shared" si="26"/>
        <v>860676.83742857154</v>
      </c>
      <c r="R85" s="17">
        <f>Alex_ITSD_count_data!V85</f>
        <v>2.1</v>
      </c>
      <c r="S85" s="17">
        <f>Alex_ITSD_count_data!W85</f>
        <v>9874.17</v>
      </c>
      <c r="T85" s="17">
        <f t="shared" si="27"/>
        <v>6943.5592857142865</v>
      </c>
      <c r="U85" s="17">
        <f t="shared" si="28"/>
        <v>8332.2711428571438</v>
      </c>
      <c r="V85" s="17">
        <f t="shared" si="29"/>
        <v>5554.8474285714292</v>
      </c>
      <c r="W85" s="17">
        <f>Alex_ITSD_count_data!X85</f>
        <v>8.8000000000000007</v>
      </c>
    </row>
    <row r="86" spans="1:23" x14ac:dyDescent="0.25">
      <c r="A86" s="23">
        <f>Alex_ITSD_count_data!A86</f>
        <v>0.119803240741021</v>
      </c>
      <c r="B86" s="8" t="str">
        <f>Alex_ITSD_count_data!B86</f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C86" s="8" t="b">
        <f>Alex_ITSD_count_data!C86</f>
        <v>0</v>
      </c>
      <c r="D86" s="8" t="str">
        <f>Alex_ITSD_count_data!D86</f>
        <v>084SMPL.d</v>
      </c>
      <c r="E86" s="11">
        <f>Alex_ITSD_count_data!E86</f>
        <v>45246.599988425929</v>
      </c>
      <c r="F86" s="8" t="str">
        <f>Alex_ITSD_count_data!F86</f>
        <v>Sample</v>
      </c>
      <c r="G86" s="8">
        <f>Alex_ITSD_count_data!G86</f>
        <v>0</v>
      </c>
      <c r="H86" s="8" t="str">
        <f>Alex_ITSD_count_data!H86</f>
        <v>blk</v>
      </c>
      <c r="I86" s="17">
        <f>Alex_ITSD_count_data!S86</f>
        <v>200559.28</v>
      </c>
      <c r="J86" s="17">
        <f t="shared" si="21"/>
        <v>125782.00142857141</v>
      </c>
      <c r="K86" s="17">
        <f t="shared" si="22"/>
        <v>150938.40171428569</v>
      </c>
      <c r="L86" s="17">
        <f t="shared" si="23"/>
        <v>100625.60114285714</v>
      </c>
      <c r="M86" s="17">
        <f>Alex_ITSD_count_data!T86</f>
        <v>3.3</v>
      </c>
      <c r="N86" s="17">
        <f>Alex_ITSD_count_data!U86</f>
        <v>1821425.03</v>
      </c>
      <c r="O86" s="17">
        <f t="shared" si="24"/>
        <v>1075846.0467857143</v>
      </c>
      <c r="P86" s="17">
        <f t="shared" si="25"/>
        <v>1291015.2561428573</v>
      </c>
      <c r="Q86" s="17">
        <f t="shared" si="26"/>
        <v>860676.83742857154</v>
      </c>
      <c r="R86" s="17">
        <f>Alex_ITSD_count_data!V86</f>
        <v>4.0999999999999996</v>
      </c>
      <c r="S86" s="17">
        <f>Alex_ITSD_count_data!W86</f>
        <v>9477.1200000000008</v>
      </c>
      <c r="T86" s="17">
        <f t="shared" si="27"/>
        <v>6943.5592857142865</v>
      </c>
      <c r="U86" s="17">
        <f t="shared" si="28"/>
        <v>8332.2711428571438</v>
      </c>
      <c r="V86" s="17">
        <f t="shared" si="29"/>
        <v>5554.8474285714292</v>
      </c>
      <c r="W86" s="17">
        <f>Alex_ITSD_count_data!X86</f>
        <v>2.8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3614-7E82-469C-9EC7-2C530BF5CE48}">
  <dimension ref="A1:BU86"/>
  <sheetViews>
    <sheetView tabSelected="1" zoomScale="85" zoomScaleNormal="85" workbookViewId="0">
      <selection activeCell="N72" sqref="N72"/>
    </sheetView>
  </sheetViews>
  <sheetFormatPr defaultRowHeight="15" x14ac:dyDescent="0.25"/>
  <cols>
    <col min="1" max="1" width="9.140625" style="24"/>
    <col min="5" max="5" width="9.140625" style="1"/>
    <col min="8" max="8" width="17.42578125" customWidth="1"/>
    <col min="9" max="9" width="13.42578125" bestFit="1" customWidth="1"/>
    <col min="10" max="10" width="9.28515625" bestFit="1" customWidth="1"/>
    <col min="11" max="11" width="13.85546875" style="49" bestFit="1" customWidth="1"/>
    <col min="12" max="12" width="19.5703125" customWidth="1"/>
    <col min="13" max="16" width="22.85546875" customWidth="1"/>
    <col min="17" max="17" width="27.85546875" customWidth="1"/>
    <col min="18" max="18" width="25.42578125" style="1" customWidth="1"/>
    <col min="19" max="19" width="12.5703125" customWidth="1"/>
    <col min="20" max="20" width="10.140625" customWidth="1"/>
    <col min="21" max="21" width="14.42578125" customWidth="1"/>
    <col min="22" max="22" width="11.7109375" style="1" customWidth="1"/>
    <col min="23" max="23" width="17.5703125" bestFit="1" customWidth="1"/>
    <col min="24" max="24" width="14.42578125" bestFit="1" customWidth="1"/>
    <col min="25" max="25" width="13.85546875" bestFit="1" customWidth="1"/>
    <col min="26" max="26" width="14.140625" customWidth="1"/>
    <col min="27" max="27" width="9.28515625" bestFit="1" customWidth="1"/>
    <col min="28" max="28" width="11.5703125" bestFit="1" customWidth="1"/>
    <col min="29" max="29" width="13.42578125" bestFit="1" customWidth="1"/>
    <col min="31" max="31" width="13.42578125" bestFit="1" customWidth="1"/>
    <col min="40" max="40" width="13.85546875" customWidth="1"/>
    <col min="41" max="41" width="16.85546875" customWidth="1"/>
    <col min="42" max="42" width="18.28515625" customWidth="1"/>
    <col min="43" max="43" width="27.85546875" customWidth="1"/>
    <col min="45" max="45" width="32.28515625" customWidth="1"/>
    <col min="46" max="46" width="14" style="1" customWidth="1"/>
    <col min="50" max="50" width="9.140625" style="1"/>
    <col min="52" max="52" width="15" customWidth="1"/>
    <col min="54" max="54" width="35.85546875" customWidth="1"/>
    <col min="55" max="55" width="13" customWidth="1"/>
    <col min="56" max="56" width="13.28515625" style="20" customWidth="1"/>
    <col min="57" max="57" width="11.85546875" style="20" bestFit="1" customWidth="1"/>
    <col min="58" max="58" width="11.5703125" style="20" bestFit="1" customWidth="1"/>
    <col min="59" max="59" width="12.7109375" style="20" bestFit="1" customWidth="1"/>
    <col min="60" max="60" width="11.85546875" style="20" bestFit="1" customWidth="1"/>
    <col min="61" max="61" width="10.7109375" style="20" bestFit="1" customWidth="1"/>
    <col min="62" max="62" width="9.42578125" style="20" bestFit="1" customWidth="1"/>
    <col min="63" max="63" width="11.5703125" style="20" customWidth="1"/>
    <col min="64" max="64" width="11.5703125" style="20" bestFit="1" customWidth="1"/>
    <col min="65" max="65" width="12.28515625" style="20" bestFit="1" customWidth="1"/>
    <col min="66" max="66" width="9.42578125" style="20" bestFit="1" customWidth="1"/>
    <col min="67" max="67" width="12.5703125" style="20" bestFit="1" customWidth="1"/>
    <col min="68" max="68" width="11.85546875" bestFit="1" customWidth="1"/>
    <col min="69" max="69" width="18.140625" bestFit="1" customWidth="1"/>
    <col min="70" max="70" width="15" bestFit="1" customWidth="1"/>
  </cols>
  <sheetData>
    <row r="1" spans="1:73" x14ac:dyDescent="0.25">
      <c r="A1" s="22"/>
      <c r="B1" s="7" t="str">
        <f>Alex_ITSD_count_data!B1</f>
        <v>Sample</v>
      </c>
      <c r="C1" s="7"/>
      <c r="D1" s="7"/>
      <c r="E1" s="10"/>
      <c r="F1" s="7"/>
      <c r="G1" s="7"/>
      <c r="H1" s="7"/>
      <c r="I1" s="13" t="str">
        <f>Alex_ITSD_count_data!K1</f>
        <v xml:space="preserve">55  Mn  [ He ] </v>
      </c>
      <c r="J1" s="13"/>
      <c r="K1" s="45" t="s">
        <v>295</v>
      </c>
      <c r="L1" s="42" t="s">
        <v>320</v>
      </c>
      <c r="M1" s="42" t="s">
        <v>321</v>
      </c>
      <c r="N1" s="7" t="s">
        <v>362</v>
      </c>
      <c r="O1" s="13" t="s">
        <v>364</v>
      </c>
      <c r="P1" s="13" t="s">
        <v>363</v>
      </c>
      <c r="Q1" s="2" t="s">
        <v>275</v>
      </c>
      <c r="R1" s="10"/>
      <c r="S1" s="7" t="str">
        <f>B1</f>
        <v>Sample</v>
      </c>
      <c r="T1" s="7"/>
      <c r="U1" s="7"/>
      <c r="V1" s="10"/>
      <c r="W1" s="7"/>
      <c r="X1" s="7"/>
      <c r="Y1" s="7"/>
      <c r="Z1" s="13" t="str">
        <f>I1</f>
        <v xml:space="preserve">55  Mn  [ He ] </v>
      </c>
      <c r="AA1" s="13"/>
      <c r="AB1" s="29"/>
      <c r="AC1" s="29"/>
      <c r="AD1" s="29"/>
      <c r="AE1" s="29"/>
      <c r="AF1" s="29"/>
      <c r="AG1" s="29"/>
      <c r="AH1" s="29"/>
      <c r="AI1" s="29"/>
      <c r="AJ1" s="29"/>
      <c r="AO1" s="2" t="s">
        <v>288</v>
      </c>
      <c r="AS1" s="2" t="s">
        <v>274</v>
      </c>
      <c r="AT1" s="10"/>
      <c r="AU1" s="7" t="str">
        <f>S1</f>
        <v>Sample</v>
      </c>
      <c r="AV1" s="7"/>
      <c r="AW1" s="7"/>
      <c r="AX1" s="10"/>
      <c r="AY1" s="7"/>
      <c r="AZ1" s="7"/>
      <c r="BA1" s="7"/>
      <c r="BB1" s="13" t="s">
        <v>276</v>
      </c>
      <c r="BC1" s="13"/>
      <c r="BD1" s="29"/>
      <c r="BE1" s="29"/>
      <c r="BF1" s="29"/>
      <c r="BG1" s="29"/>
      <c r="BH1" s="29"/>
      <c r="BI1" s="29"/>
      <c r="BJ1" s="29"/>
      <c r="BK1" s="29"/>
      <c r="BL1" s="29"/>
      <c r="BM1"/>
      <c r="BN1"/>
      <c r="BO1"/>
      <c r="BQ1" s="2" t="s">
        <v>288</v>
      </c>
      <c r="BU1" s="2"/>
    </row>
    <row r="2" spans="1:73" x14ac:dyDescent="0.25">
      <c r="A2" s="22" t="str">
        <f>Alex_ITSD_count_data!A2</f>
        <v>Number</v>
      </c>
      <c r="B2" s="7"/>
      <c r="C2" s="7" t="str">
        <f>Alex_ITSD_count_data!C2</f>
        <v>Rjct</v>
      </c>
      <c r="D2" s="7" t="str">
        <f>Alex_ITSD_count_data!D2</f>
        <v>Data File</v>
      </c>
      <c r="E2" s="10" t="str">
        <f>Alex_ITSD_count_data!E2</f>
        <v>Acq. Date-Time</v>
      </c>
      <c r="F2" s="7" t="str">
        <f>Alex_ITSD_count_data!F2</f>
        <v>Type</v>
      </c>
      <c r="G2" s="7" t="str">
        <f>Alex_ITSD_count_data!G2</f>
        <v>Level</v>
      </c>
      <c r="H2" s="7" t="str">
        <f>Alex_ITSD_count_data!H2</f>
        <v>Sample Name</v>
      </c>
      <c r="I2" s="13" t="str">
        <f>Alex_ITSD_count_data!K2</f>
        <v>CPS</v>
      </c>
      <c r="J2" s="13" t="str">
        <f>Alex_ITSD_count_data!L2</f>
        <v>CPS RSD</v>
      </c>
      <c r="K2" s="45" t="s">
        <v>296</v>
      </c>
      <c r="L2" s="42" t="s">
        <v>326</v>
      </c>
      <c r="M2" s="42" t="s">
        <v>327</v>
      </c>
      <c r="N2" s="28"/>
      <c r="O2" s="42" t="s">
        <v>326</v>
      </c>
      <c r="P2" s="42" t="s">
        <v>327</v>
      </c>
      <c r="R2" s="10" t="str">
        <f>A2</f>
        <v>Number</v>
      </c>
      <c r="S2" s="7"/>
      <c r="T2" s="7" t="str">
        <f t="shared" ref="T2:Y2" si="0">C2</f>
        <v>Rjct</v>
      </c>
      <c r="U2" s="7" t="str">
        <f t="shared" si="0"/>
        <v>Data File</v>
      </c>
      <c r="V2" s="10" t="str">
        <f t="shared" si="0"/>
        <v>Acq. Date-Time</v>
      </c>
      <c r="W2" s="7" t="str">
        <f t="shared" si="0"/>
        <v>Type</v>
      </c>
      <c r="X2" s="7" t="str">
        <f t="shared" si="0"/>
        <v>Level</v>
      </c>
      <c r="Y2" s="7" t="str">
        <f t="shared" si="0"/>
        <v>Sample Name</v>
      </c>
      <c r="Z2" s="13" t="str">
        <f>I2</f>
        <v>CPS</v>
      </c>
      <c r="AA2" s="13" t="str">
        <f>J2</f>
        <v>CPS RSD</v>
      </c>
      <c r="AB2" s="27" t="s">
        <v>256</v>
      </c>
      <c r="AC2" s="27" t="s">
        <v>264</v>
      </c>
      <c r="AD2" s="27" t="s">
        <v>265</v>
      </c>
      <c r="AE2" s="27" t="s">
        <v>266</v>
      </c>
      <c r="AF2" s="27" t="s">
        <v>267</v>
      </c>
      <c r="AG2" s="28" t="s">
        <v>257</v>
      </c>
      <c r="AH2" s="28" t="s">
        <v>260</v>
      </c>
      <c r="AI2" s="28" t="s">
        <v>261</v>
      </c>
      <c r="AJ2" s="28" t="s">
        <v>287</v>
      </c>
      <c r="AO2" s="7" t="s">
        <v>272</v>
      </c>
      <c r="AP2" s="7" t="s">
        <v>273</v>
      </c>
      <c r="AT2" s="10" t="str">
        <f t="shared" ref="AT2:AT8" si="1">R2</f>
        <v>Number</v>
      </c>
      <c r="AU2" s="7"/>
      <c r="AV2" s="7" t="str">
        <f t="shared" ref="AV2:BK2" si="2">T2</f>
        <v>Rjct</v>
      </c>
      <c r="AW2" s="7" t="str">
        <f t="shared" si="2"/>
        <v>Data File</v>
      </c>
      <c r="AX2" s="10" t="str">
        <f t="shared" si="2"/>
        <v>Acq. Date-Time</v>
      </c>
      <c r="AY2" s="7" t="str">
        <f t="shared" si="2"/>
        <v>Type</v>
      </c>
      <c r="AZ2" s="7" t="str">
        <f t="shared" si="2"/>
        <v>Level</v>
      </c>
      <c r="BA2" s="7" t="str">
        <f t="shared" si="2"/>
        <v>Sample Name</v>
      </c>
      <c r="BB2" s="13" t="str">
        <f t="shared" si="2"/>
        <v>CPS</v>
      </c>
      <c r="BC2" s="13" t="str">
        <f t="shared" si="2"/>
        <v>CPS RSD</v>
      </c>
      <c r="BD2" s="27" t="str">
        <f t="shared" si="2"/>
        <v>Mean</v>
      </c>
      <c r="BE2" s="27" t="str">
        <f t="shared" si="2"/>
        <v>120% Mean</v>
      </c>
      <c r="BF2" s="27" t="str">
        <f t="shared" si="2"/>
        <v>80% Mean</v>
      </c>
      <c r="BG2" s="27" t="str">
        <f t="shared" si="2"/>
        <v>110% Mean</v>
      </c>
      <c r="BH2" s="27" t="str">
        <f t="shared" si="2"/>
        <v>90% Mean</v>
      </c>
      <c r="BI2" s="28" t="str">
        <f t="shared" si="2"/>
        <v>Stdev</v>
      </c>
      <c r="BJ2" s="28" t="str">
        <f t="shared" si="2"/>
        <v>RelStdev</v>
      </c>
      <c r="BK2" s="28" t="str">
        <f t="shared" si="2"/>
        <v>Range</v>
      </c>
      <c r="BL2" s="28" t="s">
        <v>287</v>
      </c>
      <c r="BM2"/>
      <c r="BN2"/>
      <c r="BO2"/>
      <c r="BQ2" s="7" t="s">
        <v>272</v>
      </c>
      <c r="BR2" s="7" t="s">
        <v>273</v>
      </c>
      <c r="BU2" s="2"/>
    </row>
    <row r="3" spans="1:73" x14ac:dyDescent="0.25">
      <c r="A3" s="23">
        <f>Alex_ITSD_count_data!A3</f>
        <v>0</v>
      </c>
      <c r="B3" s="8"/>
      <c r="C3" s="8" t="b">
        <f>Alex_ITSD_count_data!C3</f>
        <v>0</v>
      </c>
      <c r="D3" s="8" t="str">
        <f>Alex_ITSD_count_data!D3</f>
        <v>001SMPL.d</v>
      </c>
      <c r="E3" s="11">
        <f>Alex_ITSD_count_data!E3</f>
        <v>45246.480185185188</v>
      </c>
      <c r="F3" s="8" t="str">
        <f>Alex_ITSD_count_data!F3</f>
        <v>Sample</v>
      </c>
      <c r="G3" s="8">
        <f>Alex_ITSD_count_data!G3</f>
        <v>0</v>
      </c>
      <c r="H3" s="8" t="str">
        <f>Alex_ITSD_count_data!H3</f>
        <v>blk</v>
      </c>
      <c r="I3" s="17">
        <f>Alex_ITSD_count_data!K3</f>
        <v>1360.11</v>
      </c>
      <c r="J3" s="17">
        <f>Alex_ITSD_count_data!L3</f>
        <v>3.2</v>
      </c>
      <c r="K3" s="46"/>
      <c r="L3" s="17"/>
      <c r="M3" s="17"/>
      <c r="N3" s="8"/>
      <c r="O3" s="8"/>
      <c r="P3" s="8"/>
      <c r="R3" s="23">
        <f t="shared" ref="R3:AA3" si="3">A12</f>
        <v>1.0532407402934041E-2</v>
      </c>
      <c r="S3" s="8" t="str">
        <f t="shared" si="3"/>
        <v>45  Sc ( ISTD )  [ He ] :  ISTD Recovery Percent value = 294.14 is outside the allowed range [80.00, 120.00]103  Rh ( ISTD )  [ He ] :  ISTD Recovery Percent value = 306.45 is outside the allowed range [80.00, 120.00]</v>
      </c>
      <c r="T3" s="8" t="b">
        <f t="shared" si="3"/>
        <v>0</v>
      </c>
      <c r="U3" s="8" t="str">
        <f t="shared" si="3"/>
        <v>010CALS.d</v>
      </c>
      <c r="V3" s="11">
        <f t="shared" si="3"/>
        <v>45246.490717592591</v>
      </c>
      <c r="W3" s="8" t="str">
        <f t="shared" si="3"/>
        <v>CalStd</v>
      </c>
      <c r="X3" s="8">
        <f t="shared" si="3"/>
        <v>7</v>
      </c>
      <c r="Y3" s="8" t="str">
        <f t="shared" si="3"/>
        <v>100 ppb m16 + Al</v>
      </c>
      <c r="Z3" s="8">
        <f t="shared" si="3"/>
        <v>985597.82</v>
      </c>
      <c r="AA3" s="8">
        <f t="shared" si="3"/>
        <v>1.3</v>
      </c>
      <c r="AB3" s="8">
        <f>AVERAGE(Z3:Z8)</f>
        <v>1025652.61</v>
      </c>
      <c r="AC3" s="8">
        <f>1.2*AB3</f>
        <v>1230783.132</v>
      </c>
      <c r="AD3" s="8">
        <f>0.8*AB3</f>
        <v>820522.08799999999</v>
      </c>
      <c r="AE3" s="8">
        <f>1.1*AB3</f>
        <v>1128217.871</v>
      </c>
      <c r="AF3" s="8">
        <f>0.9*AB3</f>
        <v>923087.34900000005</v>
      </c>
      <c r="AG3" s="8">
        <f>STDEV(Z3:Z8)</f>
        <v>41400.834280210387</v>
      </c>
      <c r="AH3" s="8">
        <f>AG3/AB3 * 100</f>
        <v>4.0365357506583432</v>
      </c>
      <c r="AI3" s="8">
        <f>MAX(Z3:Z8)-MIN(Z3:Z8)</f>
        <v>89822.110000000102</v>
      </c>
      <c r="AJ3" s="8">
        <f>AG3/SQRT(COUNT(Z3:Z8))</f>
        <v>16901.81981867359</v>
      </c>
      <c r="AN3" t="s">
        <v>280</v>
      </c>
      <c r="AO3" s="17" cm="1">
        <f t="array" ref="AO3:AP7">LINEST(Z3:Z8,V3:V8, TRUE, TRUE)</f>
        <v>924172.073737978</v>
      </c>
      <c r="AP3" s="17">
        <v>-41814570832.098328</v>
      </c>
      <c r="AQ3" s="20" t="s">
        <v>281</v>
      </c>
      <c r="AT3" s="23">
        <f t="shared" si="1"/>
        <v>1.0532407402934041E-2</v>
      </c>
      <c r="AU3" s="8" t="str">
        <f t="shared" ref="AU3:BA8" si="4">S3</f>
        <v>45  Sc ( ISTD )  [ He ] :  ISTD Recovery Percent value = 294.14 is outside the allowed range [80.00, 120.00]103  Rh ( ISTD )  [ He ] :  ISTD Recovery Percent value = 306.45 is outside the allowed range [80.00, 120.00]</v>
      </c>
      <c r="AV3" s="8" t="b">
        <f t="shared" si="4"/>
        <v>0</v>
      </c>
      <c r="AW3" s="8" t="str">
        <f t="shared" si="4"/>
        <v>010CALS.d</v>
      </c>
      <c r="AX3" s="11">
        <f t="shared" si="4"/>
        <v>45246.490717592591</v>
      </c>
      <c r="AY3" s="8" t="str">
        <f t="shared" si="4"/>
        <v>CalStd</v>
      </c>
      <c r="AZ3" s="8">
        <f t="shared" si="4"/>
        <v>7</v>
      </c>
      <c r="BA3" s="8" t="str">
        <f t="shared" si="4"/>
        <v>100 ppb m16 + Al</v>
      </c>
      <c r="BB3" s="17">
        <f t="shared" ref="BB3:BB8" si="5">Z3-($AO$3*AT3)</f>
        <v>975864.06320897711</v>
      </c>
      <c r="BC3" s="8"/>
      <c r="BD3" s="8">
        <f>AVERAGE(BB3:BB8)</f>
        <v>962589.98859726114</v>
      </c>
      <c r="BE3" s="8">
        <f>1.2*BD3</f>
        <v>1155107.9863167133</v>
      </c>
      <c r="BF3" s="8">
        <f>0.8*BD3</f>
        <v>770071.990877809</v>
      </c>
      <c r="BG3" s="8">
        <f>1.1*BD3</f>
        <v>1058848.9874569874</v>
      </c>
      <c r="BH3" s="8">
        <f>0.9*BD3</f>
        <v>866330.98973753501</v>
      </c>
      <c r="BI3" s="8">
        <f>STDEV(BB3:BB8)</f>
        <v>22552.31967954549</v>
      </c>
      <c r="BJ3" s="8">
        <f>BI3/BD3 * 100</f>
        <v>2.3428791018707731</v>
      </c>
      <c r="BK3" s="8">
        <f>MAX(BB3:BB8)-MIN(BB3:BB8)</f>
        <v>50366.348813897232</v>
      </c>
      <c r="BL3" s="8">
        <f>BI3/SQRT(COUNT(BB3:BB8))</f>
        <v>9206.9459551689815</v>
      </c>
      <c r="BM3"/>
      <c r="BN3"/>
      <c r="BO3"/>
      <c r="BP3" t="s">
        <v>280</v>
      </c>
      <c r="BQ3" s="17" cm="1">
        <f t="array" ref="BQ3:BR7">LINEST(BB3:BB8,AX3:AX8, TRUE, TRUE)</f>
        <v>-1.2992110615907085E-10</v>
      </c>
      <c r="BR3" s="17">
        <v>962589.98860313965</v>
      </c>
      <c r="BS3" s="20" t="s">
        <v>281</v>
      </c>
      <c r="BU3" s="20"/>
    </row>
    <row r="4" spans="1:73" x14ac:dyDescent="0.25">
      <c r="A4" s="23">
        <f>Alex_ITSD_count_data!A4</f>
        <v>1.1458333319751546E-3</v>
      </c>
      <c r="B4" s="8" t="str">
        <f>Alex_ITSD_count_data!B4</f>
        <v>56  Fe  [ He ] :  CPS RSD value = 5.02 is over the allowed maximum = 5.00</v>
      </c>
      <c r="C4" s="8" t="b">
        <f>Alex_ITSD_count_data!C4</f>
        <v>0</v>
      </c>
      <c r="D4" s="8" t="str">
        <f>Alex_ITSD_count_data!D4</f>
        <v>002SMPL.d</v>
      </c>
      <c r="E4" s="11">
        <f>Alex_ITSD_count_data!E4</f>
        <v>45246.48133101852</v>
      </c>
      <c r="F4" s="8" t="str">
        <f>Alex_ITSD_count_data!F4</f>
        <v>Sample</v>
      </c>
      <c r="G4" s="8">
        <f>Alex_ITSD_count_data!G4</f>
        <v>0</v>
      </c>
      <c r="H4" s="8" t="str">
        <f>Alex_ITSD_count_data!H4</f>
        <v>blk</v>
      </c>
      <c r="I4" s="17">
        <f>Alex_ITSD_count_data!K4</f>
        <v>690.04</v>
      </c>
      <c r="J4" s="17">
        <f>Alex_ITSD_count_data!L4</f>
        <v>20.399999999999999</v>
      </c>
      <c r="K4" s="46"/>
      <c r="L4" s="17"/>
      <c r="M4" s="17"/>
      <c r="N4" s="8"/>
      <c r="O4" s="8"/>
      <c r="P4" s="8"/>
      <c r="R4" s="23">
        <f t="shared" ref="R4:AA4" si="6">A29</f>
        <v>4.2407407403516117E-2</v>
      </c>
      <c r="S4" s="8" t="str">
        <f t="shared" si="6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T4" s="8" t="b">
        <f t="shared" si="6"/>
        <v>0</v>
      </c>
      <c r="U4" s="8" t="str">
        <f t="shared" si="6"/>
        <v>027SMPL.d</v>
      </c>
      <c r="V4" s="11">
        <f t="shared" si="6"/>
        <v>45246.522592592592</v>
      </c>
      <c r="W4" s="8" t="str">
        <f t="shared" si="6"/>
        <v>Sample</v>
      </c>
      <c r="X4" s="8">
        <f t="shared" si="6"/>
        <v>0</v>
      </c>
      <c r="Y4" s="8" t="str">
        <f t="shared" si="6"/>
        <v>100 ppb check</v>
      </c>
      <c r="Z4" s="8">
        <f t="shared" si="6"/>
        <v>982640.22</v>
      </c>
      <c r="AA4" s="8">
        <f t="shared" si="6"/>
        <v>1.3</v>
      </c>
      <c r="AB4" s="8">
        <f>$AB$3</f>
        <v>1025652.61</v>
      </c>
      <c r="AC4" s="8">
        <f t="shared" ref="AC4:AJ4" si="7">AC$3</f>
        <v>1230783.132</v>
      </c>
      <c r="AD4" s="8">
        <f t="shared" si="7"/>
        <v>820522.08799999999</v>
      </c>
      <c r="AE4" s="8">
        <f t="shared" si="7"/>
        <v>1128217.871</v>
      </c>
      <c r="AF4" s="8">
        <f t="shared" si="7"/>
        <v>923087.34900000005</v>
      </c>
      <c r="AG4" s="8">
        <f t="shared" si="7"/>
        <v>41400.834280210387</v>
      </c>
      <c r="AH4" s="8">
        <f t="shared" si="7"/>
        <v>4.0365357506583432</v>
      </c>
      <c r="AI4" s="8">
        <f t="shared" si="7"/>
        <v>89822.110000000102</v>
      </c>
      <c r="AJ4" s="8">
        <f t="shared" si="7"/>
        <v>16901.81981867359</v>
      </c>
      <c r="AN4" t="s">
        <v>286</v>
      </c>
      <c r="AO4" s="17">
        <v>300154.26279169158</v>
      </c>
      <c r="AP4" s="17">
        <v>13580944385.49827</v>
      </c>
      <c r="AQ4" t="s">
        <v>282</v>
      </c>
      <c r="AT4" s="23">
        <f t="shared" si="1"/>
        <v>4.2407407403516117E-2</v>
      </c>
      <c r="AU4" s="8" t="str">
        <f t="shared" si="4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AV4" s="8" t="b">
        <f t="shared" si="4"/>
        <v>0</v>
      </c>
      <c r="AW4" s="8" t="str">
        <f t="shared" si="4"/>
        <v>027SMPL.d</v>
      </c>
      <c r="AX4" s="11">
        <f t="shared" si="4"/>
        <v>45246.522592592592</v>
      </c>
      <c r="AY4" s="8" t="str">
        <f t="shared" si="4"/>
        <v>Sample</v>
      </c>
      <c r="AZ4" s="8">
        <f t="shared" si="4"/>
        <v>0</v>
      </c>
      <c r="BA4" s="8" t="str">
        <f t="shared" si="4"/>
        <v>100 ppb check</v>
      </c>
      <c r="BB4" s="17">
        <f t="shared" si="5"/>
        <v>943448.47835804126</v>
      </c>
      <c r="BC4" s="8"/>
      <c r="BD4" s="8">
        <f t="shared" ref="BD4:BL4" si="8">BD$3</f>
        <v>962589.98859726114</v>
      </c>
      <c r="BE4" s="8">
        <f t="shared" si="8"/>
        <v>1155107.9863167133</v>
      </c>
      <c r="BF4" s="8">
        <f t="shared" si="8"/>
        <v>770071.990877809</v>
      </c>
      <c r="BG4" s="8">
        <f t="shared" si="8"/>
        <v>1058848.9874569874</v>
      </c>
      <c r="BH4" s="8">
        <f t="shared" si="8"/>
        <v>866330.98973753501</v>
      </c>
      <c r="BI4" s="8">
        <f t="shared" si="8"/>
        <v>22552.31967954549</v>
      </c>
      <c r="BJ4" s="8">
        <f t="shared" si="8"/>
        <v>2.3428791018707731</v>
      </c>
      <c r="BK4" s="8">
        <f t="shared" si="8"/>
        <v>50366.348813897232</v>
      </c>
      <c r="BL4" s="8">
        <f t="shared" si="8"/>
        <v>9206.9459551689815</v>
      </c>
      <c r="BM4"/>
      <c r="BN4"/>
      <c r="BO4"/>
      <c r="BP4" t="s">
        <v>286</v>
      </c>
      <c r="BQ4" s="17">
        <v>300154.26279169152</v>
      </c>
      <c r="BR4" s="17">
        <v>13580944385.498266</v>
      </c>
      <c r="BS4" t="s">
        <v>282</v>
      </c>
      <c r="BU4" s="20"/>
    </row>
    <row r="5" spans="1:73" x14ac:dyDescent="0.25">
      <c r="A5" s="23">
        <f>Alex_ITSD_count_data!A5</f>
        <v>2.3263888870133087E-3</v>
      </c>
      <c r="B5" s="8"/>
      <c r="C5" s="8" t="b">
        <f>Alex_ITSD_count_data!C5</f>
        <v>0</v>
      </c>
      <c r="D5" s="8" t="str">
        <f>Alex_ITSD_count_data!D5</f>
        <v>003SMPL.d</v>
      </c>
      <c r="E5" s="11">
        <f>Alex_ITSD_count_data!E5</f>
        <v>45246.482511574075</v>
      </c>
      <c r="F5" s="8" t="str">
        <f>Alex_ITSD_count_data!F5</f>
        <v>Sample</v>
      </c>
      <c r="G5" s="8">
        <f>Alex_ITSD_count_data!G5</f>
        <v>0</v>
      </c>
      <c r="H5" s="8" t="str">
        <f>Alex_ITSD_count_data!H5</f>
        <v>blk</v>
      </c>
      <c r="I5" s="17">
        <f>Alex_ITSD_count_data!K5</f>
        <v>383.36</v>
      </c>
      <c r="J5" s="17">
        <f>Alex_ITSD_count_data!L5</f>
        <v>15.9</v>
      </c>
      <c r="K5" s="46"/>
      <c r="L5" s="17"/>
      <c r="M5" s="17"/>
      <c r="N5" s="8"/>
      <c r="O5" s="8"/>
      <c r="P5" s="8"/>
      <c r="R5" s="23">
        <f t="shared" ref="R5:AA5" si="9">A41</f>
        <v>6.4664351848477963E-2</v>
      </c>
      <c r="S5" s="8" t="str">
        <f t="shared" si="9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T5" s="8" t="b">
        <f t="shared" si="9"/>
        <v>0</v>
      </c>
      <c r="U5" s="8" t="str">
        <f t="shared" si="9"/>
        <v>039SMPL.d</v>
      </c>
      <c r="V5" s="11">
        <f t="shared" si="9"/>
        <v>45246.544849537036</v>
      </c>
      <c r="W5" s="8" t="str">
        <f t="shared" si="9"/>
        <v>Sample</v>
      </c>
      <c r="X5" s="8">
        <f t="shared" si="9"/>
        <v>0</v>
      </c>
      <c r="Y5" s="8" t="str">
        <f t="shared" si="9"/>
        <v>100 ppb check</v>
      </c>
      <c r="Z5" s="8">
        <f t="shared" si="9"/>
        <v>997681.26</v>
      </c>
      <c r="AA5" s="8">
        <f t="shared" si="9"/>
        <v>1.8</v>
      </c>
      <c r="AB5" s="8">
        <f t="shared" ref="AB5:AB8" si="10">$AB$3</f>
        <v>1025652.61</v>
      </c>
      <c r="AC5" s="8">
        <f t="shared" ref="AC5:AF8" si="11">AC$3</f>
        <v>1230783.132</v>
      </c>
      <c r="AD5" s="8">
        <f t="shared" si="11"/>
        <v>820522.08799999999</v>
      </c>
      <c r="AE5" s="8">
        <f t="shared" si="11"/>
        <v>1128217.871</v>
      </c>
      <c r="AF5" s="8">
        <f t="shared" si="11"/>
        <v>923087.34900000005</v>
      </c>
      <c r="AG5" s="8">
        <f t="shared" ref="AG5:AI8" si="12">AG$3</f>
        <v>41400.834280210387</v>
      </c>
      <c r="AH5" s="8">
        <f t="shared" si="12"/>
        <v>4.0365357506583432</v>
      </c>
      <c r="AI5" s="8">
        <f t="shared" si="12"/>
        <v>89822.110000000102</v>
      </c>
      <c r="AJ5" s="8">
        <f t="shared" ref="AJ5:AJ8" si="13">AJ$3</f>
        <v>16901.81981867359</v>
      </c>
      <c r="AN5" t="s">
        <v>277</v>
      </c>
      <c r="AO5" s="44">
        <v>0.7032680897127882</v>
      </c>
      <c r="AP5" s="17">
        <v>25214.259926884999</v>
      </c>
      <c r="AQ5" t="s">
        <v>285</v>
      </c>
      <c r="AT5" s="23">
        <f t="shared" si="1"/>
        <v>6.4664351848477963E-2</v>
      </c>
      <c r="AU5" s="8" t="str">
        <f t="shared" si="4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AV5" s="8" t="b">
        <f t="shared" si="4"/>
        <v>0</v>
      </c>
      <c r="AW5" s="8" t="str">
        <f t="shared" si="4"/>
        <v>039SMPL.d</v>
      </c>
      <c r="AX5" s="11">
        <f t="shared" si="4"/>
        <v>45246.544849537036</v>
      </c>
      <c r="AY5" s="8" t="str">
        <f t="shared" si="4"/>
        <v>Sample</v>
      </c>
      <c r="AZ5" s="8">
        <f t="shared" si="4"/>
        <v>0</v>
      </c>
      <c r="BA5" s="8" t="str">
        <f t="shared" si="4"/>
        <v>100 ppb check</v>
      </c>
      <c r="BB5" s="17">
        <f t="shared" si="5"/>
        <v>937920.27185526991</v>
      </c>
      <c r="BC5" s="8"/>
      <c r="BD5" s="8">
        <f t="shared" ref="BD5:BD8" si="14">BD$3</f>
        <v>962589.98859726114</v>
      </c>
      <c r="BE5" s="8">
        <f t="shared" ref="BE5:BH8" si="15">BE$3</f>
        <v>1155107.9863167133</v>
      </c>
      <c r="BF5" s="8">
        <f t="shared" si="15"/>
        <v>770071.990877809</v>
      </c>
      <c r="BG5" s="8">
        <f t="shared" si="15"/>
        <v>1058848.9874569874</v>
      </c>
      <c r="BH5" s="8">
        <f t="shared" si="15"/>
        <v>866330.98973753501</v>
      </c>
      <c r="BI5" s="8">
        <f t="shared" ref="BI5:BK8" si="16">BI$3</f>
        <v>22552.31967954549</v>
      </c>
      <c r="BJ5" s="8">
        <f t="shared" si="16"/>
        <v>2.3428791018707731</v>
      </c>
      <c r="BK5" s="8">
        <f t="shared" si="16"/>
        <v>50366.348813897232</v>
      </c>
      <c r="BL5" s="8">
        <f t="shared" ref="BL5:BL8" si="17">BL$3</f>
        <v>9206.9459551689815</v>
      </c>
      <c r="BM5"/>
      <c r="BN5"/>
      <c r="BO5"/>
      <c r="BP5" t="s">
        <v>277</v>
      </c>
      <c r="BQ5" s="17">
        <v>0</v>
      </c>
      <c r="BR5" s="17">
        <v>25214.259926884992</v>
      </c>
      <c r="BS5" t="s">
        <v>285</v>
      </c>
      <c r="BU5" s="20"/>
    </row>
    <row r="6" spans="1:73" x14ac:dyDescent="0.25">
      <c r="A6" s="23">
        <f>Alex_ITSD_count_data!A6</f>
        <v>3.4490740727051161E-3</v>
      </c>
      <c r="B6" s="8"/>
      <c r="C6" s="8" t="b">
        <f>Alex_ITSD_count_data!C6</f>
        <v>0</v>
      </c>
      <c r="D6" s="8" t="str">
        <f>Alex_ITSD_count_data!D6</f>
        <v>004CALB.d</v>
      </c>
      <c r="E6" s="11">
        <f>Alex_ITSD_count_data!E6</f>
        <v>45246.483634259261</v>
      </c>
      <c r="F6" s="8" t="str">
        <f>Alex_ITSD_count_data!F6</f>
        <v>CalBlk</v>
      </c>
      <c r="G6" s="8">
        <f>Alex_ITSD_count_data!G6</f>
        <v>1</v>
      </c>
      <c r="H6" s="8" t="str">
        <f>Alex_ITSD_count_data!H6</f>
        <v xml:space="preserve">0 ppb </v>
      </c>
      <c r="I6" s="17">
        <f>Alex_ITSD_count_data!K6</f>
        <v>1416.78</v>
      </c>
      <c r="J6" s="17">
        <f>Alex_ITSD_count_data!L6</f>
        <v>12.4</v>
      </c>
      <c r="K6" s="47">
        <f>I6-($AO$3*A6)</f>
        <v>-1770.7579382477809</v>
      </c>
      <c r="L6" s="17">
        <f>(I6-$AP$30)*(1/$AO$30)</f>
        <v>-2.9874004602518323</v>
      </c>
      <c r="M6" s="17">
        <f>'[1]Alex-Mn_As_data'!J6</f>
        <v>0</v>
      </c>
      <c r="N6" s="8"/>
      <c r="O6" s="17"/>
      <c r="P6" s="17"/>
      <c r="R6" s="23">
        <f t="shared" ref="R6:AA6" si="18">A53</f>
        <v>8.2002314811688848E-2</v>
      </c>
      <c r="S6" s="8" t="str">
        <f t="shared" si="18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T6" s="8" t="b">
        <f t="shared" si="18"/>
        <v>0</v>
      </c>
      <c r="U6" s="8" t="str">
        <f t="shared" si="18"/>
        <v>051SMPL.d</v>
      </c>
      <c r="V6" s="11">
        <f t="shared" si="18"/>
        <v>45246.5621875</v>
      </c>
      <c r="W6" s="8" t="str">
        <f t="shared" si="18"/>
        <v>Sample</v>
      </c>
      <c r="X6" s="8">
        <f t="shared" si="18"/>
        <v>0</v>
      </c>
      <c r="Y6" s="8" t="str">
        <f t="shared" si="18"/>
        <v>100 ppb check</v>
      </c>
      <c r="Z6" s="8">
        <f t="shared" si="18"/>
        <v>1064070.8700000001</v>
      </c>
      <c r="AA6" s="8">
        <f t="shared" si="18"/>
        <v>1.2</v>
      </c>
      <c r="AB6" s="8">
        <f t="shared" si="10"/>
        <v>1025652.61</v>
      </c>
      <c r="AC6" s="8">
        <f t="shared" si="11"/>
        <v>1230783.132</v>
      </c>
      <c r="AD6" s="8">
        <f t="shared" si="11"/>
        <v>820522.08799999999</v>
      </c>
      <c r="AE6" s="8">
        <f t="shared" si="11"/>
        <v>1128217.871</v>
      </c>
      <c r="AF6" s="8">
        <f t="shared" si="11"/>
        <v>923087.34900000005</v>
      </c>
      <c r="AG6" s="8">
        <f t="shared" si="12"/>
        <v>41400.834280210387</v>
      </c>
      <c r="AH6" s="8">
        <f t="shared" si="12"/>
        <v>4.0365357506583432</v>
      </c>
      <c r="AI6" s="8">
        <f t="shared" si="12"/>
        <v>89822.110000000102</v>
      </c>
      <c r="AJ6" s="8">
        <f t="shared" si="13"/>
        <v>16901.81981867359</v>
      </c>
      <c r="AN6" t="s">
        <v>278</v>
      </c>
      <c r="AO6" s="17">
        <v>9.4801814746797248</v>
      </c>
      <c r="AP6" s="17">
        <v>4</v>
      </c>
      <c r="AQ6" t="s">
        <v>283</v>
      </c>
      <c r="AT6" s="23">
        <f t="shared" si="1"/>
        <v>8.2002314811688848E-2</v>
      </c>
      <c r="AU6" s="8" t="str">
        <f t="shared" si="4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AV6" s="8" t="b">
        <f t="shared" si="4"/>
        <v>0</v>
      </c>
      <c r="AW6" s="8" t="str">
        <f t="shared" si="4"/>
        <v>051SMPL.d</v>
      </c>
      <c r="AX6" s="11">
        <f t="shared" si="4"/>
        <v>45246.5621875</v>
      </c>
      <c r="AY6" s="8" t="str">
        <f t="shared" si="4"/>
        <v>Sample</v>
      </c>
      <c r="AZ6" s="8">
        <f t="shared" si="4"/>
        <v>0</v>
      </c>
      <c r="BA6" s="8" t="str">
        <f t="shared" si="4"/>
        <v>100 ppb check</v>
      </c>
      <c r="BB6" s="17">
        <f t="shared" si="5"/>
        <v>988286.62066916714</v>
      </c>
      <c r="BC6" s="8"/>
      <c r="BD6" s="8">
        <f t="shared" si="14"/>
        <v>962589.98859726114</v>
      </c>
      <c r="BE6" s="8">
        <f t="shared" si="15"/>
        <v>1155107.9863167133</v>
      </c>
      <c r="BF6" s="8">
        <f t="shared" si="15"/>
        <v>770071.990877809</v>
      </c>
      <c r="BG6" s="8">
        <f t="shared" si="15"/>
        <v>1058848.9874569874</v>
      </c>
      <c r="BH6" s="8">
        <f t="shared" si="15"/>
        <v>866330.98973753501</v>
      </c>
      <c r="BI6" s="8">
        <f t="shared" si="16"/>
        <v>22552.31967954549</v>
      </c>
      <c r="BJ6" s="8">
        <f t="shared" si="16"/>
        <v>2.3428791018707731</v>
      </c>
      <c r="BK6" s="8">
        <f t="shared" si="16"/>
        <v>50366.348813897232</v>
      </c>
      <c r="BL6" s="8">
        <f t="shared" si="17"/>
        <v>9206.9459551689815</v>
      </c>
      <c r="BM6"/>
      <c r="BN6"/>
      <c r="BO6"/>
      <c r="BP6" t="s">
        <v>278</v>
      </c>
      <c r="BQ6" s="17">
        <v>0</v>
      </c>
      <c r="BR6" s="17">
        <v>4</v>
      </c>
      <c r="BS6" t="s">
        <v>283</v>
      </c>
      <c r="BU6" s="20"/>
    </row>
    <row r="7" spans="1:73" x14ac:dyDescent="0.25">
      <c r="A7" s="23">
        <f>Alex_ITSD_count_data!A7</f>
        <v>4.6180555509636179E-3</v>
      </c>
      <c r="B7" s="8"/>
      <c r="C7" s="8" t="b">
        <f>Alex_ITSD_count_data!C7</f>
        <v>0</v>
      </c>
      <c r="D7" s="8" t="str">
        <f>Alex_ITSD_count_data!D7</f>
        <v>005CALS.d</v>
      </c>
      <c r="E7" s="11">
        <f>Alex_ITSD_count_data!E7</f>
        <v>45246.484803240739</v>
      </c>
      <c r="F7" s="8" t="str">
        <f>Alex_ITSD_count_data!F7</f>
        <v>CalStd</v>
      </c>
      <c r="G7" s="8">
        <f>Alex_ITSD_count_data!G7</f>
        <v>2</v>
      </c>
      <c r="H7" s="8" t="str">
        <f>Alex_ITSD_count_data!H7</f>
        <v>0.5 ppb m16 + Al</v>
      </c>
      <c r="I7" s="17">
        <f>Alex_ITSD_count_data!K7</f>
        <v>5757.99</v>
      </c>
      <c r="J7" s="17">
        <f>Alex_ITSD_count_data!L7</f>
        <v>4.5</v>
      </c>
      <c r="K7" s="47">
        <f t="shared" ref="K7:K70" si="19">I7-($AO$3*A7)</f>
        <v>1490.1120248287725</v>
      </c>
      <c r="L7" s="17">
        <f>(I7-$AP$30)*(1/$AO$30)</f>
        <v>-2.505960653040467</v>
      </c>
      <c r="M7" s="17">
        <f>'[1]Alex-Mn_As_data'!J7</f>
        <v>0.48</v>
      </c>
      <c r="N7" s="8"/>
      <c r="O7" s="17"/>
      <c r="P7" s="17"/>
      <c r="R7" s="23">
        <f t="shared" ref="R7:AA7" si="20">A65</f>
        <v>9.5740740740438923E-2</v>
      </c>
      <c r="S7" s="8" t="str">
        <f t="shared" si="20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T7" s="8" t="b">
        <f t="shared" si="20"/>
        <v>0</v>
      </c>
      <c r="U7" s="8" t="str">
        <f t="shared" si="20"/>
        <v>063SMPL.d</v>
      </c>
      <c r="V7" s="11">
        <f t="shared" si="20"/>
        <v>45246.575925925928</v>
      </c>
      <c r="W7" s="8" t="str">
        <f t="shared" si="20"/>
        <v>Sample</v>
      </c>
      <c r="X7" s="8">
        <f t="shared" si="20"/>
        <v>0</v>
      </c>
      <c r="Y7" s="8" t="str">
        <f t="shared" si="20"/>
        <v>100 ppb check</v>
      </c>
      <c r="Z7" s="8">
        <f t="shared" si="20"/>
        <v>1072462.33</v>
      </c>
      <c r="AA7" s="8">
        <f t="shared" si="20"/>
        <v>4.7</v>
      </c>
      <c r="AB7" s="8">
        <f t="shared" si="10"/>
        <v>1025652.61</v>
      </c>
      <c r="AC7" s="8">
        <f t="shared" si="11"/>
        <v>1230783.132</v>
      </c>
      <c r="AD7" s="8">
        <f t="shared" si="11"/>
        <v>820522.08799999999</v>
      </c>
      <c r="AE7" s="8">
        <f t="shared" si="11"/>
        <v>1128217.871</v>
      </c>
      <c r="AF7" s="8">
        <f t="shared" si="11"/>
        <v>923087.34900000005</v>
      </c>
      <c r="AG7" s="8">
        <f t="shared" si="12"/>
        <v>41400.834280210387</v>
      </c>
      <c r="AH7" s="8">
        <f t="shared" si="12"/>
        <v>4.0365357506583432</v>
      </c>
      <c r="AI7" s="8">
        <f t="shared" si="12"/>
        <v>89822.110000000102</v>
      </c>
      <c r="AJ7" s="8">
        <f t="shared" si="13"/>
        <v>16901.81981867359</v>
      </c>
      <c r="AN7" t="s">
        <v>279</v>
      </c>
      <c r="AO7" s="17">
        <v>6027109780.8451424</v>
      </c>
      <c r="AP7" s="17">
        <v>2543035614.6420751</v>
      </c>
      <c r="AQ7" t="s">
        <v>284</v>
      </c>
      <c r="AT7" s="23">
        <f t="shared" si="1"/>
        <v>9.5740740740438923E-2</v>
      </c>
      <c r="AU7" s="8" t="str">
        <f t="shared" si="4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AV7" s="8" t="b">
        <f t="shared" si="4"/>
        <v>0</v>
      </c>
      <c r="AW7" s="8" t="str">
        <f t="shared" si="4"/>
        <v>063SMPL.d</v>
      </c>
      <c r="AX7" s="11">
        <f t="shared" si="4"/>
        <v>45246.575925925928</v>
      </c>
      <c r="AY7" s="8" t="str">
        <f t="shared" si="4"/>
        <v>Sample</v>
      </c>
      <c r="AZ7" s="8">
        <f t="shared" si="4"/>
        <v>0</v>
      </c>
      <c r="BA7" s="8" t="str">
        <f t="shared" si="4"/>
        <v>100 ppb check</v>
      </c>
      <c r="BB7" s="17">
        <f t="shared" si="5"/>
        <v>983981.41108869854</v>
      </c>
      <c r="BC7" s="8"/>
      <c r="BD7" s="8">
        <f t="shared" si="14"/>
        <v>962589.98859726114</v>
      </c>
      <c r="BE7" s="8">
        <f t="shared" si="15"/>
        <v>1155107.9863167133</v>
      </c>
      <c r="BF7" s="8">
        <f t="shared" si="15"/>
        <v>770071.990877809</v>
      </c>
      <c r="BG7" s="8">
        <f t="shared" si="15"/>
        <v>1058848.9874569874</v>
      </c>
      <c r="BH7" s="8">
        <f t="shared" si="15"/>
        <v>866330.98973753501</v>
      </c>
      <c r="BI7" s="8">
        <f t="shared" si="16"/>
        <v>22552.31967954549</v>
      </c>
      <c r="BJ7" s="8">
        <f t="shared" si="16"/>
        <v>2.3428791018707731</v>
      </c>
      <c r="BK7" s="8">
        <f t="shared" si="16"/>
        <v>50366.348813897232</v>
      </c>
      <c r="BL7" s="8">
        <f t="shared" si="17"/>
        <v>9206.9459551689815</v>
      </c>
      <c r="BM7"/>
      <c r="BN7"/>
      <c r="BO7"/>
      <c r="BP7" t="s">
        <v>279</v>
      </c>
      <c r="BQ7" s="17">
        <v>0</v>
      </c>
      <c r="BR7" s="17">
        <v>2543035614.6420736</v>
      </c>
      <c r="BS7" t="s">
        <v>284</v>
      </c>
      <c r="BU7" s="20"/>
    </row>
    <row r="8" spans="1:73" x14ac:dyDescent="0.25">
      <c r="A8" s="23">
        <f>Alex_ITSD_count_data!A8</f>
        <v>5.7870370364980772E-3</v>
      </c>
      <c r="B8" s="8" t="str">
        <f>Alex_ITSD_count_data!B8</f>
        <v>45  Sc ( ISTD )  [ He ] :  ISTD Recovery Percent value = 135.23 is outside the allowed range [80.00, 120.00]103  Rh ( ISTD )  [ He ] :  ISTD Recovery Percent value = 137.11 is outside the allowed range [80.00, 120.00]</v>
      </c>
      <c r="C8" s="8" t="b">
        <f>Alex_ITSD_count_data!C8</f>
        <v>0</v>
      </c>
      <c r="D8" s="8" t="str">
        <f>Alex_ITSD_count_data!D8</f>
        <v>006CALS.d</v>
      </c>
      <c r="E8" s="11">
        <f>Alex_ITSD_count_data!E8</f>
        <v>45246.485972222225</v>
      </c>
      <c r="F8" s="8" t="str">
        <f>Alex_ITSD_count_data!F8</f>
        <v>CalStd</v>
      </c>
      <c r="G8" s="8">
        <f>Alex_ITSD_count_data!G8</f>
        <v>3</v>
      </c>
      <c r="H8" s="8" t="str">
        <f>Alex_ITSD_count_data!H8</f>
        <v>1 ppb m16 + Al</v>
      </c>
      <c r="I8" s="17">
        <f>Alex_ITSD_count_data!K8</f>
        <v>10894.51</v>
      </c>
      <c r="J8" s="17">
        <f>Alex_ITSD_count_data!L8</f>
        <v>2.6</v>
      </c>
      <c r="K8" s="47">
        <f t="shared" si="19"/>
        <v>5546.2919811810898</v>
      </c>
      <c r="L8" s="17">
        <f t="shared" ref="L8:L71" si="21">(I8-$AP$30)*(1/$AO$30)</f>
        <v>-1.9363210367728085</v>
      </c>
      <c r="M8" s="17">
        <f>'[1]Alex-Mn_As_data'!J8</f>
        <v>1.0469999999999999</v>
      </c>
      <c r="N8" s="8"/>
      <c r="O8" s="17"/>
      <c r="P8" s="17"/>
      <c r="R8" s="23">
        <f t="shared" ref="R8:AA8" si="22">A81</f>
        <v>0.11407407407386927</v>
      </c>
      <c r="S8" s="8" t="str">
        <f t="shared" si="22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T8" s="8" t="b">
        <f t="shared" si="22"/>
        <v>0</v>
      </c>
      <c r="U8" s="8" t="str">
        <f t="shared" si="22"/>
        <v>079SMPL.d</v>
      </c>
      <c r="V8" s="11">
        <f t="shared" si="22"/>
        <v>45246.594259259262</v>
      </c>
      <c r="W8" s="8" t="str">
        <f t="shared" si="22"/>
        <v>Sample</v>
      </c>
      <c r="X8" s="8">
        <f t="shared" si="22"/>
        <v>0</v>
      </c>
      <c r="Y8" s="8" t="str">
        <f t="shared" si="22"/>
        <v>100 ppb check</v>
      </c>
      <c r="Z8" s="8">
        <f t="shared" si="22"/>
        <v>1051463.1599999999</v>
      </c>
      <c r="AA8" s="8">
        <f t="shared" si="22"/>
        <v>2.1</v>
      </c>
      <c r="AB8" s="8">
        <f t="shared" si="10"/>
        <v>1025652.61</v>
      </c>
      <c r="AC8" s="8">
        <f t="shared" si="11"/>
        <v>1230783.132</v>
      </c>
      <c r="AD8" s="8">
        <f t="shared" si="11"/>
        <v>820522.08799999999</v>
      </c>
      <c r="AE8" s="8">
        <f t="shared" si="11"/>
        <v>1128217.871</v>
      </c>
      <c r="AF8" s="8">
        <f t="shared" si="11"/>
        <v>923087.34900000005</v>
      </c>
      <c r="AG8" s="8">
        <f t="shared" si="12"/>
        <v>41400.834280210387</v>
      </c>
      <c r="AH8" s="8">
        <f t="shared" si="12"/>
        <v>4.0365357506583432</v>
      </c>
      <c r="AI8" s="8">
        <f t="shared" si="12"/>
        <v>89822.110000000102</v>
      </c>
      <c r="AJ8" s="8">
        <f t="shared" si="13"/>
        <v>16901.81981867359</v>
      </c>
      <c r="AT8" s="23">
        <f t="shared" si="1"/>
        <v>0.11407407407386927</v>
      </c>
      <c r="AU8" s="8" t="str">
        <f t="shared" si="4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AV8" s="8" t="b">
        <f t="shared" si="4"/>
        <v>0</v>
      </c>
      <c r="AW8" s="8" t="str">
        <f t="shared" si="4"/>
        <v>079SMPL.d</v>
      </c>
      <c r="AX8" s="11">
        <f t="shared" si="4"/>
        <v>45246.594259259262</v>
      </c>
      <c r="AY8" s="8" t="str">
        <f t="shared" si="4"/>
        <v>Sample</v>
      </c>
      <c r="AZ8" s="8">
        <f t="shared" si="4"/>
        <v>0</v>
      </c>
      <c r="BA8" s="8" t="str">
        <f t="shared" si="4"/>
        <v>100 ppb check</v>
      </c>
      <c r="BB8" s="17">
        <f t="shared" si="5"/>
        <v>946039.0864034124</v>
      </c>
      <c r="BC8" s="8"/>
      <c r="BD8" s="8">
        <f t="shared" si="14"/>
        <v>962589.98859726114</v>
      </c>
      <c r="BE8" s="8">
        <f t="shared" si="15"/>
        <v>1155107.9863167133</v>
      </c>
      <c r="BF8" s="8">
        <f t="shared" si="15"/>
        <v>770071.990877809</v>
      </c>
      <c r="BG8" s="8">
        <f t="shared" si="15"/>
        <v>1058848.9874569874</v>
      </c>
      <c r="BH8" s="8">
        <f t="shared" si="15"/>
        <v>866330.98973753501</v>
      </c>
      <c r="BI8" s="8">
        <f t="shared" si="16"/>
        <v>22552.31967954549</v>
      </c>
      <c r="BJ8" s="8">
        <f t="shared" si="16"/>
        <v>2.3428791018707731</v>
      </c>
      <c r="BK8" s="8">
        <f t="shared" si="16"/>
        <v>50366.348813897232</v>
      </c>
      <c r="BL8" s="8">
        <f t="shared" si="17"/>
        <v>9206.9459551689815</v>
      </c>
      <c r="BM8"/>
      <c r="BN8"/>
      <c r="BO8"/>
    </row>
    <row r="9" spans="1:73" x14ac:dyDescent="0.25">
      <c r="A9" s="23">
        <f>Alex_ITSD_count_data!A9</f>
        <v>7.0023148145992309E-3</v>
      </c>
      <c r="B9" s="8" t="str">
        <f>Alex_ITSD_count_data!B9</f>
        <v>45  Sc ( ISTD )  [ He ] :  ISTD Recovery Percent value = 158.50 is outside the allowed range [80.00, 120.00]103  Rh ( ISTD )  [ He ] :  ISTD Recovery Percent value = 166.42 is outside the allowed range [80.00, 120.00]</v>
      </c>
      <c r="C9" s="8" t="b">
        <f>Alex_ITSD_count_data!C9</f>
        <v>0</v>
      </c>
      <c r="D9" s="8" t="str">
        <f>Alex_ITSD_count_data!D9</f>
        <v>007CALS.d</v>
      </c>
      <c r="E9" s="11">
        <f>Alex_ITSD_count_data!E9</f>
        <v>45246.487187500003</v>
      </c>
      <c r="F9" s="8" t="str">
        <f>Alex_ITSD_count_data!F9</f>
        <v>CalStd</v>
      </c>
      <c r="G9" s="8">
        <f>Alex_ITSD_count_data!G9</f>
        <v>4</v>
      </c>
      <c r="H9" s="8" t="str">
        <f>Alex_ITSD_count_data!H9</f>
        <v>5 ppb m16 + Al</v>
      </c>
      <c r="I9" s="17">
        <f>Alex_ITSD_count_data!K9</f>
        <v>50599.4</v>
      </c>
      <c r="J9" s="17">
        <f>Alex_ITSD_count_data!L9</f>
        <v>2.6</v>
      </c>
      <c r="K9" s="47">
        <f t="shared" si="19"/>
        <v>44128.056196825666</v>
      </c>
      <c r="L9" s="17">
        <f t="shared" si="21"/>
        <v>2.4669477723722117</v>
      </c>
      <c r="M9" s="17">
        <f>'[1]Alex-Mn_As_data'!J9</f>
        <v>5.4329999999999998</v>
      </c>
      <c r="N9" s="8"/>
      <c r="O9" s="17"/>
      <c r="P9" s="17"/>
      <c r="BB9" s="20"/>
      <c r="BD9"/>
      <c r="BE9"/>
      <c r="BF9"/>
      <c r="BG9"/>
      <c r="BH9"/>
      <c r="BI9"/>
      <c r="BJ9"/>
      <c r="BK9"/>
      <c r="BL9"/>
      <c r="BM9"/>
      <c r="BN9"/>
      <c r="BO9"/>
    </row>
    <row r="10" spans="1:73" x14ac:dyDescent="0.25">
      <c r="A10" s="23">
        <f>Alex_ITSD_count_data!A10</f>
        <v>8.182870369637385E-3</v>
      </c>
      <c r="B10" s="8" t="str">
        <f>Alex_ITSD_count_data!B10</f>
        <v>45  Sc ( ISTD )  [ He ] :  ISTD Recovery Percent value = 191.39 is outside the allowed range [80.00, 120.00]103  Rh ( ISTD )  [ He ] :  ISTD Recovery Percent value = 202.01 is outside the allowed range [80.00, 120.00]</v>
      </c>
      <c r="C10" s="8" t="b">
        <f>Alex_ITSD_count_data!C10</f>
        <v>0</v>
      </c>
      <c r="D10" s="8" t="str">
        <f>Alex_ITSD_count_data!D10</f>
        <v>008CALS.d</v>
      </c>
      <c r="E10" s="11">
        <f>Alex_ITSD_count_data!E10</f>
        <v>45246.488368055558</v>
      </c>
      <c r="F10" s="8" t="str">
        <f>Alex_ITSD_count_data!F10</f>
        <v>CalStd</v>
      </c>
      <c r="G10" s="8">
        <f>Alex_ITSD_count_data!G10</f>
        <v>5</v>
      </c>
      <c r="H10" s="8" t="str">
        <f>Alex_ITSD_count_data!H10</f>
        <v>10 ppb m16 + Al</v>
      </c>
      <c r="I10" s="17">
        <f>Alex_ITSD_count_data!K10</f>
        <v>98558.31</v>
      </c>
      <c r="J10" s="17">
        <f>Alex_ITSD_count_data!L10</f>
        <v>2.5</v>
      </c>
      <c r="K10" s="47">
        <f t="shared" si="19"/>
        <v>90995.929721363165</v>
      </c>
      <c r="L10" s="17">
        <f t="shared" si="21"/>
        <v>7.7855866736156907</v>
      </c>
      <c r="M10" s="17">
        <f>'[1]Alex-Mn_As_data'!J10</f>
        <v>10.731</v>
      </c>
      <c r="N10" s="8"/>
      <c r="O10" s="17"/>
      <c r="P10" s="17"/>
      <c r="Q10" s="2" t="s">
        <v>263</v>
      </c>
      <c r="R10" s="10"/>
      <c r="S10" s="7" t="str">
        <f>B1</f>
        <v>Sample</v>
      </c>
      <c r="T10" s="7"/>
      <c r="U10" s="7"/>
      <c r="V10" s="10"/>
      <c r="W10" s="7"/>
      <c r="X10" s="7"/>
      <c r="Y10" s="7"/>
      <c r="Z10" s="13" t="str">
        <f>I1</f>
        <v xml:space="preserve">55  Mn  [ He ] </v>
      </c>
      <c r="AA10" s="13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O10" s="2" t="s">
        <v>290</v>
      </c>
      <c r="AS10" s="2" t="s">
        <v>289</v>
      </c>
      <c r="AT10" s="10"/>
      <c r="AU10" s="7" t="str">
        <f t="shared" ref="AU10:AU24" si="23">S10</f>
        <v>Sample</v>
      </c>
      <c r="AV10" s="7"/>
      <c r="AW10" s="7"/>
      <c r="AX10" s="10"/>
      <c r="AY10" s="7"/>
      <c r="AZ10" s="7"/>
      <c r="BA10" s="7"/>
      <c r="BB10" s="42" t="str">
        <f t="shared" ref="BB10:BB11" si="24">Z10</f>
        <v xml:space="preserve">55  Mn  [ He ] </v>
      </c>
      <c r="BC10" s="13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Q10" s="2" t="s">
        <v>288</v>
      </c>
      <c r="BU10" s="2"/>
    </row>
    <row r="11" spans="1:73" x14ac:dyDescent="0.25">
      <c r="A11" s="23">
        <f>Alex_ITSD_count_data!A11</f>
        <v>9.3287037016125396E-3</v>
      </c>
      <c r="B11" s="8" t="str">
        <f>Alex_ITSD_count_data!B11</f>
        <v>45  Sc ( ISTD )  [ He ] :  ISTD Recovery Percent value = 226.75 is outside the allowed range [80.00, 120.00]103  Rh ( ISTD )  [ He ] :  ISTD Recovery Percent value = 246.55 is outside the allowed range [80.00, 120.00]</v>
      </c>
      <c r="C11" s="8" t="b">
        <f>Alex_ITSD_count_data!C11</f>
        <v>0</v>
      </c>
      <c r="D11" s="8" t="str">
        <f>Alex_ITSD_count_data!D11</f>
        <v>009CALS.d</v>
      </c>
      <c r="E11" s="11">
        <f>Alex_ITSD_count_data!E11</f>
        <v>45246.48951388889</v>
      </c>
      <c r="F11" s="8" t="str">
        <f>Alex_ITSD_count_data!F11</f>
        <v>CalStd</v>
      </c>
      <c r="G11" s="8">
        <f>Alex_ITSD_count_data!G11</f>
        <v>6</v>
      </c>
      <c r="H11" s="8" t="str">
        <f>Alex_ITSD_count_data!H11</f>
        <v>50 ppb m16 + Al</v>
      </c>
      <c r="I11" s="17">
        <f>Alex_ITSD_count_data!K11</f>
        <v>493088.85</v>
      </c>
      <c r="J11" s="17">
        <f>Alex_ITSD_count_data!L11</f>
        <v>1.9</v>
      </c>
      <c r="K11" s="47">
        <f t="shared" si="19"/>
        <v>484467.52255479357</v>
      </c>
      <c r="L11" s="17">
        <f t="shared" si="21"/>
        <v>51.538988862543597</v>
      </c>
      <c r="M11" s="17">
        <f>'[1]Alex-Mn_As_data'!J11</f>
        <v>54.311999999999998</v>
      </c>
      <c r="N11" s="8"/>
      <c r="O11" s="17"/>
      <c r="P11" s="17"/>
      <c r="R11" s="10" t="str">
        <f>A2</f>
        <v>Number</v>
      </c>
      <c r="S11" s="7"/>
      <c r="T11" s="7" t="str">
        <f t="shared" ref="T11:Y14" si="25">C2</f>
        <v>Rjct</v>
      </c>
      <c r="U11" s="7" t="str">
        <f t="shared" si="25"/>
        <v>Data File</v>
      </c>
      <c r="V11" s="10" t="str">
        <f t="shared" si="25"/>
        <v>Acq. Date-Time</v>
      </c>
      <c r="W11" s="7" t="str">
        <f t="shared" si="25"/>
        <v>Type</v>
      </c>
      <c r="X11" s="7" t="str">
        <f t="shared" si="25"/>
        <v>Level</v>
      </c>
      <c r="Y11" s="7" t="str">
        <f t="shared" si="25"/>
        <v>Sample Name</v>
      </c>
      <c r="Z11" s="13" t="str">
        <f>I2</f>
        <v>CPS</v>
      </c>
      <c r="AA11" s="13" t="str">
        <f>J2</f>
        <v>CPS RSD</v>
      </c>
      <c r="AB11" s="27" t="s">
        <v>256</v>
      </c>
      <c r="AC11" s="27" t="s">
        <v>264</v>
      </c>
      <c r="AD11" s="27" t="s">
        <v>265</v>
      </c>
      <c r="AE11" s="27" t="s">
        <v>266</v>
      </c>
      <c r="AF11" s="27" t="s">
        <v>267</v>
      </c>
      <c r="AG11" s="28" t="s">
        <v>257</v>
      </c>
      <c r="AH11" s="28" t="s">
        <v>260</v>
      </c>
      <c r="AI11" s="28" t="s">
        <v>261</v>
      </c>
      <c r="AJ11" s="28" t="s">
        <v>269</v>
      </c>
      <c r="AK11" s="28" t="s">
        <v>270</v>
      </c>
      <c r="AL11" s="28" t="s">
        <v>271</v>
      </c>
      <c r="AM11" s="28" t="s">
        <v>268</v>
      </c>
      <c r="AO11" s="7" t="s">
        <v>272</v>
      </c>
      <c r="AP11" s="7" t="s">
        <v>273</v>
      </c>
      <c r="AT11" s="10" t="str">
        <f t="shared" ref="AT11:AT24" si="26">R11</f>
        <v>Number</v>
      </c>
      <c r="AU11" s="7"/>
      <c r="AV11" s="7" t="str">
        <f t="shared" ref="AV11:AV24" si="27">T11</f>
        <v>Rjct</v>
      </c>
      <c r="AW11" s="7" t="str">
        <f t="shared" ref="AW11:AW24" si="28">U11</f>
        <v>Data File</v>
      </c>
      <c r="AX11" s="10" t="str">
        <f t="shared" ref="AX11:AX24" si="29">V11</f>
        <v>Acq. Date-Time</v>
      </c>
      <c r="AY11" s="7" t="str">
        <f t="shared" ref="AY11:AY24" si="30">W11</f>
        <v>Type</v>
      </c>
      <c r="AZ11" s="7" t="str">
        <f t="shared" ref="AZ11" si="31">X11</f>
        <v>Level</v>
      </c>
      <c r="BA11" s="7" t="str">
        <f t="shared" ref="BA11:BA24" si="32">Y11</f>
        <v>Sample Name</v>
      </c>
      <c r="BB11" s="42" t="str">
        <f t="shared" si="24"/>
        <v>CPS</v>
      </c>
      <c r="BC11" s="13" t="str">
        <f t="shared" ref="BC11" si="33">AA11</f>
        <v>CPS RSD</v>
      </c>
      <c r="BD11" s="27" t="str">
        <f t="shared" ref="BD11" si="34">AB11</f>
        <v>Mean</v>
      </c>
      <c r="BE11" s="27" t="str">
        <f t="shared" ref="BE11" si="35">AC11</f>
        <v>120% Mean</v>
      </c>
      <c r="BF11" s="27" t="str">
        <f t="shared" ref="BF11" si="36">AD11</f>
        <v>80% Mean</v>
      </c>
      <c r="BG11" s="27" t="str">
        <f t="shared" ref="BG11" si="37">AE11</f>
        <v>110% Mean</v>
      </c>
      <c r="BH11" s="27" t="str">
        <f t="shared" ref="BH11" si="38">AF11</f>
        <v>90% Mean</v>
      </c>
      <c r="BI11" s="28" t="str">
        <f t="shared" ref="BI11" si="39">AG11</f>
        <v>Stdev</v>
      </c>
      <c r="BJ11" s="28" t="str">
        <f t="shared" ref="BJ11" si="40">AH11</f>
        <v>RelStdev</v>
      </c>
      <c r="BK11" s="28" t="str">
        <f t="shared" ref="BK11" si="41">AI11</f>
        <v>Range</v>
      </c>
      <c r="BL11" s="28" t="str">
        <f t="shared" ref="BL11" si="42">AJ11</f>
        <v>plus 1 Std</v>
      </c>
      <c r="BM11" s="28" t="str">
        <f t="shared" ref="BM11" si="43">AK11</f>
        <v>minus 1 Std</v>
      </c>
      <c r="BN11" s="28" t="str">
        <f t="shared" ref="BN11" si="44">AL11</f>
        <v>plus 2 Std</v>
      </c>
      <c r="BO11" s="28" t="str">
        <f t="shared" ref="BO11" si="45">AM11</f>
        <v>minus 2 Std</v>
      </c>
      <c r="BQ11" s="7" t="s">
        <v>272</v>
      </c>
      <c r="BR11" s="7" t="s">
        <v>273</v>
      </c>
      <c r="BU11" s="2"/>
    </row>
    <row r="12" spans="1:73" x14ac:dyDescent="0.25">
      <c r="A12" s="23">
        <f>Alex_ITSD_count_data!A12</f>
        <v>1.0532407402934041E-2</v>
      </c>
      <c r="B12" s="8" t="str">
        <f>Alex_ITSD_count_data!B12</f>
        <v>45  Sc ( ISTD )  [ He ] :  ISTD Recovery Percent value = 294.14 is outside the allowed range [80.00, 120.00]103  Rh ( ISTD )  [ He ] :  ISTD Recovery Percent value = 306.45 is outside the allowed range [80.00, 120.00]</v>
      </c>
      <c r="C12" s="8" t="b">
        <f>Alex_ITSD_count_data!C12</f>
        <v>0</v>
      </c>
      <c r="D12" s="8" t="str">
        <f>Alex_ITSD_count_data!D12</f>
        <v>010CALS.d</v>
      </c>
      <c r="E12" s="11">
        <f>Alex_ITSD_count_data!E12</f>
        <v>45246.490717592591</v>
      </c>
      <c r="F12" s="8" t="str">
        <f>Alex_ITSD_count_data!F12</f>
        <v>CalStd</v>
      </c>
      <c r="G12" s="8">
        <f>Alex_ITSD_count_data!G12</f>
        <v>7</v>
      </c>
      <c r="H12" s="8" t="str">
        <f>Alex_ITSD_count_data!H12</f>
        <v>100 ppb m16 + Al</v>
      </c>
      <c r="I12" s="17">
        <f>Alex_ITSD_count_data!K12</f>
        <v>985597.82</v>
      </c>
      <c r="J12" s="17">
        <f>Alex_ITSD_count_data!L12</f>
        <v>1.3</v>
      </c>
      <c r="K12" s="47">
        <f t="shared" si="19"/>
        <v>975864.06320897711</v>
      </c>
      <c r="L12" s="17">
        <f t="shared" si="21"/>
        <v>106.15819032173768</v>
      </c>
      <c r="M12" s="17">
        <f>'[1]Alex-Mn_As_data'!J12</f>
        <v>108.717</v>
      </c>
      <c r="N12" s="8"/>
      <c r="O12" s="17"/>
      <c r="P12" s="17"/>
      <c r="R12" s="26">
        <f>A3</f>
        <v>0</v>
      </c>
      <c r="S12" s="18"/>
      <c r="T12" s="18" t="b">
        <f t="shared" si="25"/>
        <v>0</v>
      </c>
      <c r="U12" s="18" t="str">
        <f t="shared" si="25"/>
        <v>001SMPL.d</v>
      </c>
      <c r="V12" s="19">
        <f t="shared" si="25"/>
        <v>45246.480185185188</v>
      </c>
      <c r="W12" s="18" t="str">
        <f t="shared" si="25"/>
        <v>Sample</v>
      </c>
      <c r="X12" s="18">
        <f t="shared" si="25"/>
        <v>0</v>
      </c>
      <c r="Y12" s="18" t="str">
        <f t="shared" si="25"/>
        <v>blk</v>
      </c>
      <c r="Z12" s="18">
        <f>I3</f>
        <v>1360.11</v>
      </c>
      <c r="AA12" s="18">
        <f>J3</f>
        <v>3.2</v>
      </c>
      <c r="AB12" s="18"/>
      <c r="AC12" s="18"/>
      <c r="AD12" s="18"/>
      <c r="AE12" s="18"/>
      <c r="AF12" s="18"/>
      <c r="AG12" s="18"/>
      <c r="AH12" s="18"/>
      <c r="AI12" s="18"/>
      <c r="AJ12" s="31"/>
      <c r="AK12" s="31"/>
      <c r="AL12" s="31"/>
      <c r="AM12" s="31"/>
      <c r="AN12" t="s">
        <v>280</v>
      </c>
      <c r="AO12" s="17" cm="1">
        <f t="array" ref="AO12:AP16">LINEST(Z15:Z24,V15:V24, TRUE, TRUE)</f>
        <v>46904.516916064436</v>
      </c>
      <c r="AP12" s="17">
        <v>-2122264240.5598395</v>
      </c>
      <c r="AQ12" s="20" t="s">
        <v>281</v>
      </c>
      <c r="AT12" s="26">
        <f>R12</f>
        <v>0</v>
      </c>
      <c r="AU12" s="18"/>
      <c r="AV12" s="18" t="b">
        <f t="shared" si="27"/>
        <v>0</v>
      </c>
      <c r="AW12" s="18" t="str">
        <f t="shared" si="28"/>
        <v>001SMPL.d</v>
      </c>
      <c r="AX12" s="19">
        <f t="shared" si="29"/>
        <v>45246.480185185188</v>
      </c>
      <c r="AY12" s="18" t="str">
        <f t="shared" si="30"/>
        <v>Sample</v>
      </c>
      <c r="AZ12" s="18"/>
      <c r="BA12" s="18" t="str">
        <f t="shared" si="32"/>
        <v>blk</v>
      </c>
      <c r="BB12" s="21"/>
      <c r="BC12" s="18"/>
      <c r="BD12" s="18"/>
      <c r="BE12" s="18"/>
      <c r="BF12" s="18"/>
      <c r="BG12" s="18"/>
      <c r="BH12" s="18"/>
      <c r="BI12" s="18"/>
      <c r="BJ12" s="18"/>
      <c r="BK12" s="18"/>
      <c r="BL12" s="31"/>
      <c r="BM12" s="31"/>
      <c r="BN12" s="31"/>
      <c r="BO12" s="31"/>
      <c r="BP12" t="s">
        <v>280</v>
      </c>
      <c r="BQ12" s="17" cm="1">
        <f t="array" ref="BQ12:BR16">LINEST(BB15:BB24,AX15:AX24, TRUE, TRUE)</f>
        <v>5.6573305880648162E-12</v>
      </c>
      <c r="BR12" s="17">
        <v>54.678553109582474</v>
      </c>
      <c r="BS12" s="20" t="s">
        <v>281</v>
      </c>
      <c r="BU12" s="20"/>
    </row>
    <row r="13" spans="1:73" x14ac:dyDescent="0.25">
      <c r="A13" s="23">
        <f>Alex_ITSD_count_data!A13</f>
        <v>1.1689814811688848E-2</v>
      </c>
      <c r="B13" s="8" t="str">
        <f>Alex_ITSD_count_data!B13</f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C13" s="8" t="b">
        <f>Alex_ITSD_count_data!C13</f>
        <v>0</v>
      </c>
      <c r="D13" s="8" t="str">
        <f>Alex_ITSD_count_data!D13</f>
        <v>011CALS.d</v>
      </c>
      <c r="E13" s="11">
        <f>Alex_ITSD_count_data!E13</f>
        <v>45246.491875</v>
      </c>
      <c r="F13" s="8" t="str">
        <f>Alex_ITSD_count_data!F13</f>
        <v>CalStd</v>
      </c>
      <c r="G13" s="8">
        <f>Alex_ITSD_count_data!G13</f>
        <v>8</v>
      </c>
      <c r="H13" s="8" t="str">
        <f>Alex_ITSD_count_data!H13</f>
        <v>500 ppb m16 + Al</v>
      </c>
      <c r="I13" s="17">
        <f>Alex_ITSD_count_data!K13</f>
        <v>4656554.62</v>
      </c>
      <c r="J13" s="17">
        <f>Alex_ITSD_count_data!L13</f>
        <v>1.1000000000000001</v>
      </c>
      <c r="K13" s="47">
        <f t="shared" si="19"/>
        <v>4645751.2196038691</v>
      </c>
      <c r="L13" s="17">
        <f t="shared" si="21"/>
        <v>513.26697659866261</v>
      </c>
      <c r="M13" s="17">
        <f>'[1]Alex-Mn_As_data'!J13</f>
        <v>514.22699999999998</v>
      </c>
      <c r="N13" s="8"/>
      <c r="O13" s="17"/>
      <c r="P13" s="17"/>
      <c r="R13" s="26">
        <f>A4</f>
        <v>1.1458333319751546E-3</v>
      </c>
      <c r="S13" s="18" t="str">
        <f>B4</f>
        <v>56  Fe  [ He ] :  CPS RSD value = 5.02 is over the allowed maximum = 5.00</v>
      </c>
      <c r="T13" s="18" t="b">
        <f t="shared" si="25"/>
        <v>0</v>
      </c>
      <c r="U13" s="18" t="str">
        <f t="shared" si="25"/>
        <v>002SMPL.d</v>
      </c>
      <c r="V13" s="19">
        <f t="shared" si="25"/>
        <v>45246.48133101852</v>
      </c>
      <c r="W13" s="18" t="str">
        <f t="shared" si="25"/>
        <v>Sample</v>
      </c>
      <c r="X13" s="18">
        <f t="shared" si="25"/>
        <v>0</v>
      </c>
      <c r="Y13" s="18" t="str">
        <f t="shared" si="25"/>
        <v>blk</v>
      </c>
      <c r="Z13" s="18">
        <f>I4</f>
        <v>690.04</v>
      </c>
      <c r="AA13" s="18">
        <f>J4</f>
        <v>20.399999999999999</v>
      </c>
      <c r="AB13" s="18"/>
      <c r="AC13" s="18"/>
      <c r="AD13" s="18"/>
      <c r="AE13" s="18"/>
      <c r="AF13" s="18"/>
      <c r="AG13" s="18"/>
      <c r="AH13" s="18"/>
      <c r="AI13" s="18"/>
      <c r="AJ13" s="31"/>
      <c r="AK13" s="31"/>
      <c r="AL13" s="31"/>
      <c r="AM13" s="31"/>
      <c r="AN13" t="s">
        <v>286</v>
      </c>
      <c r="AO13" s="17">
        <v>17570.28081892398</v>
      </c>
      <c r="AP13" s="17">
        <v>794994754.41082954</v>
      </c>
      <c r="AQ13" t="s">
        <v>282</v>
      </c>
      <c r="AT13" s="26">
        <f t="shared" si="26"/>
        <v>1.1458333319751546E-3</v>
      </c>
      <c r="AU13" s="18" t="str">
        <f t="shared" si="23"/>
        <v>56  Fe  [ He ] :  CPS RSD value = 5.02 is over the allowed maximum = 5.00</v>
      </c>
      <c r="AV13" s="18" t="b">
        <f t="shared" si="27"/>
        <v>0</v>
      </c>
      <c r="AW13" s="18" t="str">
        <f t="shared" si="28"/>
        <v>002SMPL.d</v>
      </c>
      <c r="AX13" s="19">
        <f t="shared" si="29"/>
        <v>45246.48133101852</v>
      </c>
      <c r="AY13" s="18" t="str">
        <f t="shared" si="30"/>
        <v>Sample</v>
      </c>
      <c r="AZ13" s="18"/>
      <c r="BA13" s="18" t="str">
        <f t="shared" si="32"/>
        <v>blk</v>
      </c>
      <c r="BB13" s="21"/>
      <c r="BC13" s="18"/>
      <c r="BD13" s="18"/>
      <c r="BE13" s="18"/>
      <c r="BF13" s="18"/>
      <c r="BG13" s="18"/>
      <c r="BH13" s="18"/>
      <c r="BI13" s="18"/>
      <c r="BJ13" s="18"/>
      <c r="BK13" s="18"/>
      <c r="BL13" s="31"/>
      <c r="BM13" s="31"/>
      <c r="BN13" s="31"/>
      <c r="BO13" s="31"/>
      <c r="BP13" t="s">
        <v>286</v>
      </c>
      <c r="BQ13" s="17">
        <v>17570.280818923977</v>
      </c>
      <c r="BR13" s="17">
        <v>794994754.41082954</v>
      </c>
      <c r="BS13" t="s">
        <v>282</v>
      </c>
      <c r="BU13" s="20"/>
    </row>
    <row r="14" spans="1:73" x14ac:dyDescent="0.25">
      <c r="A14" s="23">
        <f>Alex_ITSD_count_data!A14</f>
        <v>1.2847222220443655E-2</v>
      </c>
      <c r="B14" s="8" t="str">
        <f>Alex_ITSD_count_data!B14</f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C14" s="8" t="b">
        <f>Alex_ITSD_count_data!C14</f>
        <v>0</v>
      </c>
      <c r="D14" s="8" t="str">
        <f>Alex_ITSD_count_data!D14</f>
        <v>012CALS.d</v>
      </c>
      <c r="E14" s="11">
        <f>Alex_ITSD_count_data!E14</f>
        <v>45246.493032407408</v>
      </c>
      <c r="F14" s="8" t="str">
        <f>Alex_ITSD_count_data!F14</f>
        <v>CalStd</v>
      </c>
      <c r="G14" s="8">
        <f>Alex_ITSD_count_data!G14</f>
        <v>9</v>
      </c>
      <c r="H14" s="8" t="str">
        <f>Alex_ITSD_count_data!H14</f>
        <v>1000 ppb m16 + Al</v>
      </c>
      <c r="I14" s="17">
        <f>Alex_ITSD_count_data!K14</f>
        <v>8979786.3200000003</v>
      </c>
      <c r="J14" s="17">
        <f>Alex_ITSD_count_data!L14</f>
        <v>2.2000000000000002</v>
      </c>
      <c r="K14" s="47">
        <f t="shared" si="19"/>
        <v>8967913.27599876</v>
      </c>
      <c r="L14" s="17">
        <f t="shared" si="21"/>
        <v>992.71299192113304</v>
      </c>
      <c r="M14" s="17">
        <f>'[1]Alex-Mn_As_data'!J14</f>
        <v>991.79</v>
      </c>
      <c r="N14" s="8"/>
      <c r="O14" s="17"/>
      <c r="P14" s="17"/>
      <c r="R14" s="26">
        <f>A5</f>
        <v>2.3263888870133087E-3</v>
      </c>
      <c r="S14" s="18"/>
      <c r="T14" s="18" t="b">
        <f t="shared" si="25"/>
        <v>0</v>
      </c>
      <c r="U14" s="18" t="str">
        <f t="shared" si="25"/>
        <v>003SMPL.d</v>
      </c>
      <c r="V14" s="19">
        <f t="shared" si="25"/>
        <v>45246.482511574075</v>
      </c>
      <c r="W14" s="18" t="str">
        <f t="shared" si="25"/>
        <v>Sample</v>
      </c>
      <c r="X14" s="18">
        <f t="shared" si="25"/>
        <v>0</v>
      </c>
      <c r="Y14" s="18" t="str">
        <f t="shared" si="25"/>
        <v>blk</v>
      </c>
      <c r="Z14" s="18">
        <f>I5</f>
        <v>383.36</v>
      </c>
      <c r="AA14" s="18">
        <f>J5</f>
        <v>15.9</v>
      </c>
      <c r="AB14" s="18"/>
      <c r="AC14" s="18"/>
      <c r="AD14" s="18"/>
      <c r="AE14" s="18"/>
      <c r="AF14" s="18"/>
      <c r="AG14" s="18"/>
      <c r="AH14" s="18"/>
      <c r="AI14" s="18"/>
      <c r="AJ14" s="31"/>
      <c r="AK14" s="31"/>
      <c r="AL14" s="31"/>
      <c r="AM14" s="31"/>
      <c r="AN14" t="s">
        <v>277</v>
      </c>
      <c r="AO14" s="44">
        <v>0.47112432888415867</v>
      </c>
      <c r="AP14" s="17">
        <v>2118.5005540227917</v>
      </c>
      <c r="AQ14" t="s">
        <v>285</v>
      </c>
      <c r="AT14" s="26">
        <f t="shared" si="26"/>
        <v>2.3263888870133087E-3</v>
      </c>
      <c r="AU14" s="18"/>
      <c r="AV14" s="18" t="b">
        <f t="shared" si="27"/>
        <v>0</v>
      </c>
      <c r="AW14" s="18" t="str">
        <f t="shared" si="28"/>
        <v>003SMPL.d</v>
      </c>
      <c r="AX14" s="19">
        <f t="shared" si="29"/>
        <v>45246.482511574075</v>
      </c>
      <c r="AY14" s="18" t="str">
        <f t="shared" si="30"/>
        <v>Sample</v>
      </c>
      <c r="AZ14" s="18"/>
      <c r="BA14" s="18" t="str">
        <f t="shared" si="32"/>
        <v>blk</v>
      </c>
      <c r="BB14" s="21"/>
      <c r="BC14" s="18"/>
      <c r="BD14" s="18"/>
      <c r="BE14" s="18"/>
      <c r="BF14" s="18"/>
      <c r="BG14" s="18"/>
      <c r="BH14" s="18"/>
      <c r="BI14" s="18"/>
      <c r="BJ14" s="18"/>
      <c r="BK14" s="18"/>
      <c r="BL14" s="31"/>
      <c r="BM14" s="31"/>
      <c r="BN14" s="31"/>
      <c r="BO14" s="31"/>
      <c r="BP14" t="s">
        <v>277</v>
      </c>
      <c r="BQ14" s="17">
        <v>2.0751188059852896E-16</v>
      </c>
      <c r="BR14" s="17">
        <v>2118.5005540227917</v>
      </c>
      <c r="BS14" t="s">
        <v>285</v>
      </c>
      <c r="BU14" s="20"/>
    </row>
    <row r="15" spans="1:73" x14ac:dyDescent="0.25">
      <c r="A15" s="23">
        <f>Alex_ITSD_count_data!A15</f>
        <v>1.395833332935581E-2</v>
      </c>
      <c r="B15" s="8" t="str">
        <f>Alex_ITSD_count_data!B15</f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C15" s="8" t="b">
        <f>Alex_ITSD_count_data!C15</f>
        <v>0</v>
      </c>
      <c r="D15" s="8" t="str">
        <f>Alex_ITSD_count_data!D15</f>
        <v>013SMPL.d</v>
      </c>
      <c r="E15" s="11">
        <f>Alex_ITSD_count_data!E15</f>
        <v>45246.494143518517</v>
      </c>
      <c r="F15" s="8" t="str">
        <f>Alex_ITSD_count_data!F15</f>
        <v>Sample</v>
      </c>
      <c r="G15" s="8">
        <f>Alex_ITSD_count_data!G15</f>
        <v>0</v>
      </c>
      <c r="H15" s="40" t="str">
        <f>Alex_ITSD_count_data!H15</f>
        <v>blk</v>
      </c>
      <c r="I15" s="43">
        <f>Alex_ITSD_count_data!K15</f>
        <v>850.06</v>
      </c>
      <c r="J15" s="43">
        <f>Alex_ITSD_count_data!L15</f>
        <v>18.899999999999999</v>
      </c>
      <c r="K15" s="48">
        <f t="shared" si="19"/>
        <v>-12049.841858916694</v>
      </c>
      <c r="L15" s="43">
        <f t="shared" si="21"/>
        <v>-3.0502496584115213</v>
      </c>
      <c r="M15" s="43">
        <v>0</v>
      </c>
      <c r="N15" s="8"/>
      <c r="O15" s="17"/>
      <c r="P15" s="17"/>
      <c r="R15" s="23">
        <f t="shared" ref="R15:AA15" si="46">A15</f>
        <v>1.395833332935581E-2</v>
      </c>
      <c r="S15" s="8" t="str">
        <f t="shared" si="46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T15" s="8" t="b">
        <f t="shared" si="46"/>
        <v>0</v>
      </c>
      <c r="U15" s="8" t="str">
        <f t="shared" si="46"/>
        <v>013SMPL.d</v>
      </c>
      <c r="V15" s="11">
        <f t="shared" si="46"/>
        <v>45246.494143518517</v>
      </c>
      <c r="W15" s="8" t="str">
        <f t="shared" si="46"/>
        <v>Sample</v>
      </c>
      <c r="X15" s="8">
        <f t="shared" si="46"/>
        <v>0</v>
      </c>
      <c r="Y15" s="8" t="str">
        <f t="shared" si="46"/>
        <v>blk</v>
      </c>
      <c r="Z15" s="8">
        <f t="shared" si="46"/>
        <v>850.06</v>
      </c>
      <c r="AA15" s="8">
        <f t="shared" si="46"/>
        <v>18.899999999999999</v>
      </c>
      <c r="AB15" s="8">
        <f>AVERAGE(Z15:Z24)</f>
        <v>3769.31</v>
      </c>
      <c r="AC15" s="8">
        <f>1.2*AB15</f>
        <v>4523.1719999999996</v>
      </c>
      <c r="AD15" s="8">
        <f>0.8*AB15</f>
        <v>3015.4480000000003</v>
      </c>
      <c r="AE15" s="8">
        <f>1.1*AB15</f>
        <v>4146.241</v>
      </c>
      <c r="AF15" s="8">
        <f>0.9*AB15</f>
        <v>3392.3789999999999</v>
      </c>
      <c r="AG15" s="8">
        <f>STDEV(Z15:Z24)</f>
        <v>2746.4742145198129</v>
      </c>
      <c r="AH15" s="8">
        <f>AG15/AB15 * 100</f>
        <v>72.864110792686546</v>
      </c>
      <c r="AI15" s="8">
        <f>MAX(Z15:Z24)-MIN(Z15:Z24)</f>
        <v>7015.67</v>
      </c>
      <c r="AJ15" s="8">
        <f>AE15+AG15</f>
        <v>6892.7152145198124</v>
      </c>
      <c r="AK15" s="8">
        <f>AB15-AG15</f>
        <v>1022.835785480187</v>
      </c>
      <c r="AL15" s="8">
        <f>AB15+2*AG15</f>
        <v>9262.2584290396262</v>
      </c>
      <c r="AM15" s="8">
        <f>AB15-2*AG15</f>
        <v>-1723.6384290396259</v>
      </c>
      <c r="AN15" t="s">
        <v>278</v>
      </c>
      <c r="AO15" s="17">
        <v>7.1264284536312772</v>
      </c>
      <c r="AP15" s="17">
        <v>8</v>
      </c>
      <c r="AQ15" t="s">
        <v>283</v>
      </c>
      <c r="AT15" s="23">
        <f t="shared" si="26"/>
        <v>1.395833332935581E-2</v>
      </c>
      <c r="AU15" s="8" t="str">
        <f t="shared" si="23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AV15" s="8" t="b">
        <f t="shared" si="27"/>
        <v>0</v>
      </c>
      <c r="AW15" s="8" t="str">
        <f t="shared" si="28"/>
        <v>013SMPL.d</v>
      </c>
      <c r="AX15" s="11">
        <f t="shared" si="29"/>
        <v>45246.494143518517</v>
      </c>
      <c r="AY15" s="8" t="str">
        <f t="shared" si="30"/>
        <v>Sample</v>
      </c>
      <c r="AZ15" s="8"/>
      <c r="BA15" s="8" t="str">
        <f t="shared" si="32"/>
        <v>blk</v>
      </c>
      <c r="BB15" s="17">
        <f t="shared" ref="BB15:BB23" si="47">Z15-($AO$12*AT15)</f>
        <v>195.35111823316436</v>
      </c>
      <c r="BC15" s="8"/>
      <c r="BD15" s="8">
        <f>AVERAGE(BB15:BB24)</f>
        <v>54.678553365557221</v>
      </c>
      <c r="BE15" s="8">
        <f>1.2*BD15</f>
        <v>65.614264038668665</v>
      </c>
      <c r="BF15" s="8">
        <f>0.8*BD15</f>
        <v>43.742842692445777</v>
      </c>
      <c r="BG15" s="8">
        <f>1.1*BD15</f>
        <v>60.14640870211295</v>
      </c>
      <c r="BH15" s="8">
        <f>0.9*BD15</f>
        <v>49.210698029001499</v>
      </c>
      <c r="BI15" s="8">
        <f>STDEV(BB15:BB24)</f>
        <v>1997.3414769292983</v>
      </c>
      <c r="BJ15" s="8">
        <f>BI15/BD15 * 100</f>
        <v>3652.8791527748267</v>
      </c>
      <c r="BK15" s="8">
        <f>MAX(BB15:BB24)-MIN(BB15:BB24)</f>
        <v>5803.7418210838969</v>
      </c>
      <c r="BL15" s="8">
        <f>BG15+BI15</f>
        <v>2057.4878856314112</v>
      </c>
      <c r="BM15" s="8">
        <f>BD15-BI15</f>
        <v>-1942.6629235637411</v>
      </c>
      <c r="BN15" s="8">
        <f>BD15+2*BI15</f>
        <v>4049.3615072241537</v>
      </c>
      <c r="BO15" s="8">
        <f>BD15-2*BI15</f>
        <v>-3940.0044004930396</v>
      </c>
      <c r="BP15" t="s">
        <v>278</v>
      </c>
      <c r="BQ15" s="17">
        <v>1.6600950447882321E-15</v>
      </c>
      <c r="BR15" s="17">
        <v>8</v>
      </c>
      <c r="BS15" t="s">
        <v>283</v>
      </c>
      <c r="BU15" s="20"/>
    </row>
    <row r="16" spans="1:73" x14ac:dyDescent="0.25">
      <c r="A16" s="23">
        <f>Alex_ITSD_count_data!A16</f>
        <v>1.5127314814890269E-2</v>
      </c>
      <c r="B16" s="8" t="str">
        <f>Alex_ITSD_count_data!B16</f>
        <v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v>
      </c>
      <c r="C16" s="8" t="b">
        <f>Alex_ITSD_count_data!C16</f>
        <v>0</v>
      </c>
      <c r="D16" s="8" t="str">
        <f>Alex_ITSD_count_data!D16</f>
        <v>014SMPL.d</v>
      </c>
      <c r="E16" s="11">
        <f>Alex_ITSD_count_data!E16</f>
        <v>45246.495312500003</v>
      </c>
      <c r="F16" s="8" t="str">
        <f>Alex_ITSD_count_data!F16</f>
        <v>Sample</v>
      </c>
      <c r="G16" s="8">
        <f>Alex_ITSD_count_data!G16</f>
        <v>0</v>
      </c>
      <c r="H16" s="8" t="str">
        <f>Alex_ITSD_count_data!H16</f>
        <v>m6 x100 x100</v>
      </c>
      <c r="I16" s="17">
        <f>Alex_ITSD_count_data!K16</f>
        <v>11368.11</v>
      </c>
      <c r="J16" s="17">
        <f>Alex_ITSD_count_data!L16</f>
        <v>4.8</v>
      </c>
      <c r="K16" s="47">
        <f t="shared" si="19"/>
        <v>-2612.131902564377</v>
      </c>
      <c r="L16" s="17">
        <f t="shared" si="21"/>
        <v>-1.8837988384236612</v>
      </c>
      <c r="M16" s="17">
        <f>'[1]Alex-Mn_As_data'!J18</f>
        <v>1.099</v>
      </c>
      <c r="N16" s="8"/>
      <c r="O16" s="17"/>
      <c r="P16" s="17"/>
      <c r="R16" s="23">
        <f t="shared" ref="R16:AA16" si="48">A17</f>
        <v>2.880787036701804E-2</v>
      </c>
      <c r="S16" s="8" t="str">
        <f t="shared" si="48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T16" s="8" t="b">
        <f t="shared" si="48"/>
        <v>0</v>
      </c>
      <c r="U16" s="8" t="str">
        <f t="shared" si="48"/>
        <v>015SMPL.d</v>
      </c>
      <c r="V16" s="11">
        <f t="shared" si="48"/>
        <v>45246.508993055555</v>
      </c>
      <c r="W16" s="8" t="str">
        <f t="shared" si="48"/>
        <v>Sample</v>
      </c>
      <c r="X16" s="8">
        <f t="shared" si="48"/>
        <v>0</v>
      </c>
      <c r="Y16" s="8" t="str">
        <f t="shared" si="48"/>
        <v>blk</v>
      </c>
      <c r="Z16" s="8">
        <f t="shared" si="48"/>
        <v>2974.82</v>
      </c>
      <c r="AA16" s="8">
        <f t="shared" si="48"/>
        <v>157.19999999999999</v>
      </c>
      <c r="AB16" s="8">
        <f t="shared" ref="AB16:AM16" si="49">AB$15</f>
        <v>3769.31</v>
      </c>
      <c r="AC16" s="8">
        <f t="shared" si="49"/>
        <v>4523.1719999999996</v>
      </c>
      <c r="AD16" s="8">
        <f t="shared" si="49"/>
        <v>3015.4480000000003</v>
      </c>
      <c r="AE16" s="8">
        <f t="shared" si="49"/>
        <v>4146.241</v>
      </c>
      <c r="AF16" s="8">
        <f t="shared" si="49"/>
        <v>3392.3789999999999</v>
      </c>
      <c r="AG16" s="8">
        <f t="shared" si="49"/>
        <v>2746.4742145198129</v>
      </c>
      <c r="AH16" s="8">
        <f t="shared" si="49"/>
        <v>72.864110792686546</v>
      </c>
      <c r="AI16" s="8">
        <f t="shared" si="49"/>
        <v>7015.67</v>
      </c>
      <c r="AJ16" s="8">
        <f t="shared" si="49"/>
        <v>6892.7152145198124</v>
      </c>
      <c r="AK16" s="8">
        <f t="shared" si="49"/>
        <v>1022.835785480187</v>
      </c>
      <c r="AL16" s="8">
        <f t="shared" si="49"/>
        <v>9262.2584290396262</v>
      </c>
      <c r="AM16" s="8">
        <f t="shared" si="49"/>
        <v>-1723.6384290396259</v>
      </c>
      <c r="AN16" t="s">
        <v>279</v>
      </c>
      <c r="AO16" s="17">
        <v>31983728.720040977</v>
      </c>
      <c r="AP16" s="17">
        <v>35904356.779159009</v>
      </c>
      <c r="AQ16" t="s">
        <v>284</v>
      </c>
      <c r="AT16" s="23">
        <f t="shared" si="26"/>
        <v>2.880787036701804E-2</v>
      </c>
      <c r="AU16" s="8" t="str">
        <f t="shared" si="23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AV16" s="8" t="b">
        <f t="shared" si="27"/>
        <v>0</v>
      </c>
      <c r="AW16" s="8" t="str">
        <f t="shared" si="28"/>
        <v>015SMPL.d</v>
      </c>
      <c r="AX16" s="11">
        <f t="shared" si="29"/>
        <v>45246.508993055555</v>
      </c>
      <c r="AY16" s="8" t="str">
        <f t="shared" si="30"/>
        <v>Sample</v>
      </c>
      <c r="AZ16" s="8"/>
      <c r="BA16" s="8" t="str">
        <f t="shared" si="32"/>
        <v>blk</v>
      </c>
      <c r="BB16" s="17">
        <f t="shared" si="47"/>
        <v>1623.6007570544111</v>
      </c>
      <c r="BC16" s="8"/>
      <c r="BD16" s="8">
        <f>BD$15</f>
        <v>54.678553365557221</v>
      </c>
      <c r="BE16" s="8">
        <f t="shared" ref="BE16:BO24" si="50">BE$15</f>
        <v>65.614264038668665</v>
      </c>
      <c r="BF16" s="8">
        <f t="shared" si="50"/>
        <v>43.742842692445777</v>
      </c>
      <c r="BG16" s="8">
        <f t="shared" si="50"/>
        <v>60.14640870211295</v>
      </c>
      <c r="BH16" s="8">
        <f t="shared" si="50"/>
        <v>49.210698029001499</v>
      </c>
      <c r="BI16" s="8">
        <f t="shared" si="50"/>
        <v>1997.3414769292983</v>
      </c>
      <c r="BJ16" s="8">
        <f t="shared" si="50"/>
        <v>3652.8791527748267</v>
      </c>
      <c r="BK16" s="8">
        <f t="shared" si="50"/>
        <v>5803.7418210838969</v>
      </c>
      <c r="BL16" s="8">
        <f t="shared" si="50"/>
        <v>2057.4878856314112</v>
      </c>
      <c r="BM16" s="8">
        <f t="shared" si="50"/>
        <v>-1942.6629235637411</v>
      </c>
      <c r="BN16" s="8">
        <f t="shared" si="50"/>
        <v>4049.3615072241537</v>
      </c>
      <c r="BO16" s="8">
        <f t="shared" si="50"/>
        <v>-3940.0044004930396</v>
      </c>
      <c r="BP16" t="s">
        <v>279</v>
      </c>
      <c r="BQ16" s="17">
        <v>7.4505805969238281E-9</v>
      </c>
      <c r="BR16" s="17">
        <v>35904356.779159002</v>
      </c>
      <c r="BS16" t="s">
        <v>284</v>
      </c>
      <c r="BU16" s="20"/>
    </row>
    <row r="17" spans="1:67" x14ac:dyDescent="0.25">
      <c r="A17" s="23">
        <f>Alex_ITSD_count_data!A17</f>
        <v>2.880787036701804E-2</v>
      </c>
      <c r="B17" s="8" t="str">
        <f>Alex_ITSD_count_data!B17</f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C17" s="8" t="b">
        <f>Alex_ITSD_count_data!C17</f>
        <v>0</v>
      </c>
      <c r="D17" s="8" t="str">
        <f>Alex_ITSD_count_data!D17</f>
        <v>015SMPL.d</v>
      </c>
      <c r="E17" s="11">
        <f>Alex_ITSD_count_data!E17</f>
        <v>45246.508993055555</v>
      </c>
      <c r="F17" s="8" t="str">
        <f>Alex_ITSD_count_data!F17</f>
        <v>Sample</v>
      </c>
      <c r="G17" s="8">
        <f>Alex_ITSD_count_data!G17</f>
        <v>0</v>
      </c>
      <c r="H17" s="40" t="str">
        <f>Alex_ITSD_count_data!H17</f>
        <v>blk</v>
      </c>
      <c r="I17" s="43">
        <f>Alex_ITSD_count_data!K17</f>
        <v>2974.82</v>
      </c>
      <c r="J17" s="43">
        <f>Alex_ITSD_count_data!L17</f>
        <v>157.19999999999999</v>
      </c>
      <c r="K17" s="48">
        <f t="shared" si="19"/>
        <v>-23648.609297061907</v>
      </c>
      <c r="L17" s="43">
        <f t="shared" si="21"/>
        <v>-2.8146139612739907</v>
      </c>
      <c r="M17" s="43">
        <f>'[1]Alex-Mn_As_data'!J19</f>
        <v>0.17199999999999999</v>
      </c>
      <c r="N17" s="8"/>
      <c r="O17" s="17"/>
      <c r="P17" s="17"/>
      <c r="R17" s="23">
        <f t="shared" ref="R17:AA17" si="51">A28</f>
        <v>4.1238425925257616E-2</v>
      </c>
      <c r="S17" s="8" t="str">
        <f t="shared" si="51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T17" s="8" t="b">
        <f t="shared" si="51"/>
        <v>0</v>
      </c>
      <c r="U17" s="8" t="str">
        <f t="shared" si="51"/>
        <v>026SMPL.d</v>
      </c>
      <c r="V17" s="11">
        <f t="shared" si="51"/>
        <v>45246.521423611113</v>
      </c>
      <c r="W17" s="8" t="str">
        <f t="shared" si="51"/>
        <v>Sample</v>
      </c>
      <c r="X17" s="8">
        <f t="shared" si="51"/>
        <v>0</v>
      </c>
      <c r="Y17" s="8" t="str">
        <f t="shared" si="51"/>
        <v xml:space="preserve">blk </v>
      </c>
      <c r="Z17" s="8">
        <f t="shared" si="51"/>
        <v>910.06</v>
      </c>
      <c r="AA17" s="8">
        <f t="shared" si="51"/>
        <v>7.2</v>
      </c>
      <c r="AB17" s="8">
        <f t="shared" ref="AB17:AI24" si="52">AB$15</f>
        <v>3769.31</v>
      </c>
      <c r="AC17" s="8">
        <f t="shared" si="52"/>
        <v>4523.1719999999996</v>
      </c>
      <c r="AD17" s="8">
        <f t="shared" si="52"/>
        <v>3015.4480000000003</v>
      </c>
      <c r="AE17" s="8">
        <f t="shared" si="52"/>
        <v>4146.241</v>
      </c>
      <c r="AF17" s="8">
        <f t="shared" si="52"/>
        <v>3392.3789999999999</v>
      </c>
      <c r="AG17" s="8">
        <f t="shared" si="52"/>
        <v>2746.4742145198129</v>
      </c>
      <c r="AH17" s="8">
        <f t="shared" si="52"/>
        <v>72.864110792686546</v>
      </c>
      <c r="AI17" s="8">
        <f t="shared" si="52"/>
        <v>7015.67</v>
      </c>
      <c r="AJ17" s="8">
        <f t="shared" ref="AJ17:AM24" si="53">AJ$15</f>
        <v>6892.7152145198124</v>
      </c>
      <c r="AK17" s="8">
        <f t="shared" si="53"/>
        <v>1022.835785480187</v>
      </c>
      <c r="AL17" s="8">
        <f t="shared" si="53"/>
        <v>9262.2584290396262</v>
      </c>
      <c r="AM17" s="8">
        <f t="shared" si="53"/>
        <v>-1723.6384290396259</v>
      </c>
      <c r="AT17" s="23">
        <f t="shared" si="26"/>
        <v>4.1238425925257616E-2</v>
      </c>
      <c r="AU17" s="8" t="str">
        <f t="shared" si="23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AV17" s="8" t="b">
        <f t="shared" si="27"/>
        <v>0</v>
      </c>
      <c r="AW17" s="8" t="str">
        <f t="shared" si="28"/>
        <v>026SMPL.d</v>
      </c>
      <c r="AX17" s="11">
        <f t="shared" si="29"/>
        <v>45246.521423611113</v>
      </c>
      <c r="AY17" s="8" t="str">
        <f t="shared" si="30"/>
        <v>Sample</v>
      </c>
      <c r="AZ17" s="8"/>
      <c r="BA17" s="8" t="str">
        <f t="shared" si="32"/>
        <v xml:space="preserve">blk </v>
      </c>
      <c r="BB17" s="17">
        <f t="shared" si="47"/>
        <v>-1024.2084464031161</v>
      </c>
      <c r="BC17" s="8"/>
      <c r="BD17" s="8">
        <f t="shared" ref="BD17:BD24" si="54">BD$15</f>
        <v>54.678553365557221</v>
      </c>
      <c r="BE17" s="8">
        <f t="shared" si="50"/>
        <v>65.614264038668665</v>
      </c>
      <c r="BF17" s="8">
        <f t="shared" si="50"/>
        <v>43.742842692445777</v>
      </c>
      <c r="BG17" s="8">
        <f t="shared" si="50"/>
        <v>60.14640870211295</v>
      </c>
      <c r="BH17" s="8">
        <f t="shared" si="50"/>
        <v>49.210698029001499</v>
      </c>
      <c r="BI17" s="8">
        <f t="shared" si="50"/>
        <v>1997.3414769292983</v>
      </c>
      <c r="BJ17" s="8">
        <f t="shared" si="50"/>
        <v>3652.8791527748267</v>
      </c>
      <c r="BK17" s="8">
        <f t="shared" si="50"/>
        <v>5803.7418210838969</v>
      </c>
      <c r="BL17" s="8">
        <f t="shared" si="50"/>
        <v>2057.4878856314112</v>
      </c>
      <c r="BM17" s="8">
        <f t="shared" si="50"/>
        <v>-1942.6629235637411</v>
      </c>
      <c r="BN17" s="8">
        <f t="shared" si="50"/>
        <v>4049.3615072241537</v>
      </c>
      <c r="BO17" s="8">
        <f t="shared" si="50"/>
        <v>-3940.0044004930396</v>
      </c>
    </row>
    <row r="18" spans="1:67" x14ac:dyDescent="0.25">
      <c r="A18" s="23">
        <f>Alex_ITSD_count_data!A18</f>
        <v>2.9930555552709848E-2</v>
      </c>
      <c r="B18" s="8" t="str">
        <f>Alex_ITSD_count_data!B18</f>
        <v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v>
      </c>
      <c r="C18" s="8" t="b">
        <f>Alex_ITSD_count_data!C18</f>
        <v>0</v>
      </c>
      <c r="D18" s="8" t="str">
        <f>Alex_ITSD_count_data!D18</f>
        <v>016SMPL.d</v>
      </c>
      <c r="E18" s="11">
        <f>Alex_ITSD_count_data!E18</f>
        <v>45246.510115740741</v>
      </c>
      <c r="F18" s="8" t="str">
        <f>Alex_ITSD_count_data!F18</f>
        <v>Sample</v>
      </c>
      <c r="G18" s="8">
        <f>Alex_ITSD_count_data!G18</f>
        <v>0</v>
      </c>
      <c r="H18" s="8" t="str">
        <f>Alex_ITSD_count_data!H18</f>
        <v>0-10-T</v>
      </c>
      <c r="I18" s="17">
        <f>Alex_ITSD_count_data!K18</f>
        <v>712110.22</v>
      </c>
      <c r="J18" s="17">
        <f>Alex_ITSD_count_data!L18</f>
        <v>2.4</v>
      </c>
      <c r="K18" s="47">
        <f t="shared" si="19"/>
        <v>684449.23640672234</v>
      </c>
      <c r="L18" s="17">
        <f t="shared" si="21"/>
        <v>75.828439533662717</v>
      </c>
      <c r="M18" s="17">
        <f>'[1]Alex-Mn_As_data'!J20</f>
        <v>78.506</v>
      </c>
      <c r="N18" s="8">
        <v>5</v>
      </c>
      <c r="O18" s="17">
        <f>IF(L18 &lt; $S$44, "NA", N18*L18)</f>
        <v>379.1421976683136</v>
      </c>
      <c r="P18" s="17">
        <f>IF(M18 &lt; $S$45, "NA", N18*M18)</f>
        <v>392.53</v>
      </c>
      <c r="R18" s="23">
        <f t="shared" ref="R18:AA18" si="55">A40</f>
        <v>6.3530092593282461E-2</v>
      </c>
      <c r="S18" s="8" t="str">
        <f t="shared" si="55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T18" s="8" t="b">
        <f t="shared" si="55"/>
        <v>0</v>
      </c>
      <c r="U18" s="8" t="str">
        <f t="shared" si="55"/>
        <v>038SMPL.d</v>
      </c>
      <c r="V18" s="11">
        <f t="shared" si="55"/>
        <v>45246.543715277781</v>
      </c>
      <c r="W18" s="8" t="str">
        <f t="shared" si="55"/>
        <v>Sample</v>
      </c>
      <c r="X18" s="8">
        <f t="shared" si="55"/>
        <v>0</v>
      </c>
      <c r="Y18" s="8" t="str">
        <f t="shared" si="55"/>
        <v xml:space="preserve">blk </v>
      </c>
      <c r="Z18" s="8">
        <f t="shared" si="55"/>
        <v>1013.4</v>
      </c>
      <c r="AA18" s="8">
        <f t="shared" si="55"/>
        <v>10.6</v>
      </c>
      <c r="AB18" s="8">
        <f t="shared" si="52"/>
        <v>3769.31</v>
      </c>
      <c r="AC18" s="8">
        <f t="shared" si="52"/>
        <v>4523.1719999999996</v>
      </c>
      <c r="AD18" s="8">
        <f t="shared" si="52"/>
        <v>3015.4480000000003</v>
      </c>
      <c r="AE18" s="8">
        <f t="shared" si="52"/>
        <v>4146.241</v>
      </c>
      <c r="AF18" s="8">
        <f t="shared" si="52"/>
        <v>3392.3789999999999</v>
      </c>
      <c r="AG18" s="8">
        <f t="shared" si="52"/>
        <v>2746.4742145198129</v>
      </c>
      <c r="AH18" s="8">
        <f t="shared" si="52"/>
        <v>72.864110792686546</v>
      </c>
      <c r="AI18" s="8">
        <f t="shared" si="52"/>
        <v>7015.67</v>
      </c>
      <c r="AJ18" s="8">
        <f t="shared" si="53"/>
        <v>6892.7152145198124</v>
      </c>
      <c r="AK18" s="8">
        <f t="shared" si="53"/>
        <v>1022.835785480187</v>
      </c>
      <c r="AL18" s="8">
        <f t="shared" si="53"/>
        <v>9262.2584290396262</v>
      </c>
      <c r="AM18" s="8">
        <f t="shared" si="53"/>
        <v>-1723.6384290396259</v>
      </c>
      <c r="AT18" s="23">
        <f t="shared" si="26"/>
        <v>6.3530092593282461E-2</v>
      </c>
      <c r="AU18" s="8" t="str">
        <f t="shared" si="23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AV18" s="8" t="b">
        <f t="shared" si="27"/>
        <v>0</v>
      </c>
      <c r="AW18" s="8" t="str">
        <f t="shared" si="28"/>
        <v>038SMPL.d</v>
      </c>
      <c r="AX18" s="11">
        <f t="shared" si="29"/>
        <v>45246.543715277781</v>
      </c>
      <c r="AY18" s="8" t="str">
        <f t="shared" si="30"/>
        <v>Sample</v>
      </c>
      <c r="AZ18" s="8"/>
      <c r="BA18" s="8" t="str">
        <f t="shared" si="32"/>
        <v xml:space="preserve">blk </v>
      </c>
      <c r="BB18" s="17">
        <f t="shared" si="47"/>
        <v>-1966.4483027207571</v>
      </c>
      <c r="BC18" s="8"/>
      <c r="BD18" s="8">
        <f t="shared" si="54"/>
        <v>54.678553365557221</v>
      </c>
      <c r="BE18" s="8">
        <f t="shared" si="50"/>
        <v>65.614264038668665</v>
      </c>
      <c r="BF18" s="8">
        <f t="shared" si="50"/>
        <v>43.742842692445777</v>
      </c>
      <c r="BG18" s="8">
        <f t="shared" si="50"/>
        <v>60.14640870211295</v>
      </c>
      <c r="BH18" s="8">
        <f t="shared" si="50"/>
        <v>49.210698029001499</v>
      </c>
      <c r="BI18" s="8">
        <f t="shared" si="50"/>
        <v>1997.3414769292983</v>
      </c>
      <c r="BJ18" s="8">
        <f t="shared" si="50"/>
        <v>3652.8791527748267</v>
      </c>
      <c r="BK18" s="8">
        <f t="shared" si="50"/>
        <v>5803.7418210838969</v>
      </c>
      <c r="BL18" s="8">
        <f t="shared" si="50"/>
        <v>2057.4878856314112</v>
      </c>
      <c r="BM18" s="8">
        <f t="shared" si="50"/>
        <v>-1942.6629235637411</v>
      </c>
      <c r="BN18" s="8">
        <f t="shared" si="50"/>
        <v>4049.3615072241537</v>
      </c>
      <c r="BO18" s="8">
        <f t="shared" si="50"/>
        <v>-3940.0044004930396</v>
      </c>
    </row>
    <row r="19" spans="1:67" x14ac:dyDescent="0.25">
      <c r="A19" s="23">
        <f>Alex_ITSD_count_data!A19</f>
        <v>3.1076388884685002E-2</v>
      </c>
      <c r="B19" s="8" t="str">
        <f>Alex_ITSD_count_data!B19</f>
        <v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v>
      </c>
      <c r="C19" s="8" t="b">
        <f>Alex_ITSD_count_data!C19</f>
        <v>0</v>
      </c>
      <c r="D19" s="8" t="str">
        <f>Alex_ITSD_count_data!D19</f>
        <v>017SMPL.d</v>
      </c>
      <c r="E19" s="11">
        <f>Alex_ITSD_count_data!E19</f>
        <v>45246.511261574073</v>
      </c>
      <c r="F19" s="8" t="str">
        <f>Alex_ITSD_count_data!F19</f>
        <v>Sample</v>
      </c>
      <c r="G19" s="8">
        <f>Alex_ITSD_count_data!G19</f>
        <v>0</v>
      </c>
      <c r="H19" s="8" t="str">
        <f>Alex_ITSD_count_data!H19</f>
        <v>0-20-T</v>
      </c>
      <c r="I19" s="17">
        <f>Alex_ITSD_count_data!K19</f>
        <v>1922096.74</v>
      </c>
      <c r="J19" s="17">
        <f>Alex_ITSD_count_data!L19</f>
        <v>1.2</v>
      </c>
      <c r="K19" s="47">
        <f t="shared" si="19"/>
        <v>1893376.8092401528</v>
      </c>
      <c r="L19" s="17">
        <f t="shared" si="21"/>
        <v>210.01583818914136</v>
      </c>
      <c r="M19" s="17">
        <f>'[1]Alex-Mn_As_data'!J21</f>
        <v>212.167</v>
      </c>
      <c r="N19" s="8">
        <v>5</v>
      </c>
      <c r="O19" s="17">
        <f t="shared" ref="O19:O69" si="56">IF(L19 &lt; $S$44, "NA", N19*L19)</f>
        <v>1050.0791909457068</v>
      </c>
      <c r="P19" s="17">
        <f t="shared" ref="P19:P78" si="57">IF(M19 &lt; $S$45, "NA", N19*M19)</f>
        <v>1060.835</v>
      </c>
      <c r="R19" s="23">
        <f t="shared" ref="R19:AA19" si="58">A52</f>
        <v>8.0856481479713693E-2</v>
      </c>
      <c r="S19" s="8" t="str">
        <f t="shared" si="58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T19" s="8" t="b">
        <f t="shared" si="58"/>
        <v>0</v>
      </c>
      <c r="U19" s="8" t="str">
        <f t="shared" si="58"/>
        <v>050SMPL.d</v>
      </c>
      <c r="V19" s="11">
        <f t="shared" si="58"/>
        <v>45246.561041666668</v>
      </c>
      <c r="W19" s="8" t="str">
        <f t="shared" si="58"/>
        <v>Sample</v>
      </c>
      <c r="X19" s="8">
        <f t="shared" si="58"/>
        <v>0</v>
      </c>
      <c r="Y19" s="8" t="str">
        <f t="shared" si="58"/>
        <v xml:space="preserve">blk </v>
      </c>
      <c r="Z19" s="8">
        <f t="shared" si="58"/>
        <v>2690.35</v>
      </c>
      <c r="AA19" s="8">
        <f t="shared" si="58"/>
        <v>5.9</v>
      </c>
      <c r="AB19" s="8">
        <f t="shared" si="52"/>
        <v>3769.31</v>
      </c>
      <c r="AC19" s="8">
        <f t="shared" si="52"/>
        <v>4523.1719999999996</v>
      </c>
      <c r="AD19" s="8">
        <f t="shared" si="52"/>
        <v>3015.4480000000003</v>
      </c>
      <c r="AE19" s="8">
        <f t="shared" si="52"/>
        <v>4146.241</v>
      </c>
      <c r="AF19" s="8">
        <f t="shared" si="52"/>
        <v>3392.3789999999999</v>
      </c>
      <c r="AG19" s="8">
        <f t="shared" si="52"/>
        <v>2746.4742145198129</v>
      </c>
      <c r="AH19" s="8">
        <f t="shared" si="52"/>
        <v>72.864110792686546</v>
      </c>
      <c r="AI19" s="8">
        <f t="shared" si="52"/>
        <v>7015.67</v>
      </c>
      <c r="AJ19" s="8">
        <f t="shared" si="53"/>
        <v>6892.7152145198124</v>
      </c>
      <c r="AK19" s="8">
        <f t="shared" si="53"/>
        <v>1022.835785480187</v>
      </c>
      <c r="AL19" s="8">
        <f t="shared" si="53"/>
        <v>9262.2584290396262</v>
      </c>
      <c r="AM19" s="8">
        <f t="shared" si="53"/>
        <v>-1723.6384290396259</v>
      </c>
      <c r="AT19" s="23">
        <f t="shared" si="26"/>
        <v>8.0856481479713693E-2</v>
      </c>
      <c r="AU19" s="8" t="str">
        <f t="shared" si="23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AV19" s="8" t="b">
        <f t="shared" si="27"/>
        <v>0</v>
      </c>
      <c r="AW19" s="8" t="str">
        <f t="shared" si="28"/>
        <v>050SMPL.d</v>
      </c>
      <c r="AX19" s="11">
        <f t="shared" si="29"/>
        <v>45246.561041666668</v>
      </c>
      <c r="AY19" s="8" t="str">
        <f t="shared" si="30"/>
        <v>Sample</v>
      </c>
      <c r="AZ19" s="8"/>
      <c r="BA19" s="8" t="str">
        <f t="shared" si="32"/>
        <v xml:space="preserve">blk </v>
      </c>
      <c r="BB19" s="17">
        <f t="shared" si="47"/>
        <v>-1102.184203338682</v>
      </c>
      <c r="BC19" s="8"/>
      <c r="BD19" s="8">
        <f t="shared" si="54"/>
        <v>54.678553365557221</v>
      </c>
      <c r="BE19" s="8">
        <f t="shared" si="50"/>
        <v>65.614264038668665</v>
      </c>
      <c r="BF19" s="8">
        <f t="shared" si="50"/>
        <v>43.742842692445777</v>
      </c>
      <c r="BG19" s="8">
        <f t="shared" si="50"/>
        <v>60.14640870211295</v>
      </c>
      <c r="BH19" s="8">
        <f t="shared" si="50"/>
        <v>49.210698029001499</v>
      </c>
      <c r="BI19" s="8">
        <f t="shared" si="50"/>
        <v>1997.3414769292983</v>
      </c>
      <c r="BJ19" s="8">
        <f t="shared" si="50"/>
        <v>3652.8791527748267</v>
      </c>
      <c r="BK19" s="8">
        <f t="shared" si="50"/>
        <v>5803.7418210838969</v>
      </c>
      <c r="BL19" s="8">
        <f t="shared" si="50"/>
        <v>2057.4878856314112</v>
      </c>
      <c r="BM19" s="8">
        <f t="shared" si="50"/>
        <v>-1942.6629235637411</v>
      </c>
      <c r="BN19" s="8">
        <f t="shared" si="50"/>
        <v>4049.3615072241537</v>
      </c>
      <c r="BO19" s="8">
        <f t="shared" si="50"/>
        <v>-3940.0044004930396</v>
      </c>
    </row>
    <row r="20" spans="1:67" x14ac:dyDescent="0.25">
      <c r="A20" s="23">
        <f>Alex_ITSD_count_data!A20</f>
        <v>3.2175925924093463E-2</v>
      </c>
      <c r="B20" s="8" t="str">
        <f>Alex_ITSD_count_data!B20</f>
        <v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v>
      </c>
      <c r="C20" s="8" t="b">
        <f>Alex_ITSD_count_data!C20</f>
        <v>0</v>
      </c>
      <c r="D20" s="8" t="str">
        <f>Alex_ITSD_count_data!D20</f>
        <v>018SMPL.d</v>
      </c>
      <c r="E20" s="11">
        <f>Alex_ITSD_count_data!E20</f>
        <v>45246.512361111112</v>
      </c>
      <c r="F20" s="8" t="str">
        <f>Alex_ITSD_count_data!F20</f>
        <v>Sample</v>
      </c>
      <c r="G20" s="8">
        <f>Alex_ITSD_count_data!G20</f>
        <v>0</v>
      </c>
      <c r="H20" s="8" t="str">
        <f>Alex_ITSD_count_data!H20</f>
        <v>0-30-T</v>
      </c>
      <c r="I20" s="17">
        <f>Alex_ITSD_count_data!K20</f>
        <v>132889.63</v>
      </c>
      <c r="J20" s="17">
        <f>Alex_ITSD_count_data!L20</f>
        <v>2.7</v>
      </c>
      <c r="K20" s="47">
        <f t="shared" si="19"/>
        <v>103153.53781429099</v>
      </c>
      <c r="L20" s="17">
        <f t="shared" si="21"/>
        <v>11.592927042340465</v>
      </c>
      <c r="M20" s="17">
        <f>'[1]Alex-Mn_As_data'!J22</f>
        <v>14.523</v>
      </c>
      <c r="N20" s="8">
        <v>5</v>
      </c>
      <c r="O20" s="17">
        <f t="shared" si="56"/>
        <v>57.964635211702323</v>
      </c>
      <c r="P20" s="17">
        <f t="shared" si="57"/>
        <v>72.614999999999995</v>
      </c>
      <c r="R20" s="23">
        <f t="shared" ref="R20:AA20" si="59">A64</f>
        <v>9.4606481477967463E-2</v>
      </c>
      <c r="S20" s="8" t="str">
        <f t="shared" si="59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T20" s="8" t="b">
        <f t="shared" si="59"/>
        <v>0</v>
      </c>
      <c r="U20" s="8" t="str">
        <f t="shared" si="59"/>
        <v>062SMPL.d</v>
      </c>
      <c r="V20" s="11">
        <f t="shared" si="59"/>
        <v>45246.574791666666</v>
      </c>
      <c r="W20" s="8" t="str">
        <f t="shared" si="59"/>
        <v>Sample</v>
      </c>
      <c r="X20" s="8">
        <f t="shared" si="59"/>
        <v>0</v>
      </c>
      <c r="Y20" s="8" t="str">
        <f t="shared" si="59"/>
        <v xml:space="preserve">blk </v>
      </c>
      <c r="Z20" s="8">
        <f t="shared" si="59"/>
        <v>7272.23</v>
      </c>
      <c r="AA20" s="8">
        <f t="shared" si="59"/>
        <v>6.8</v>
      </c>
      <c r="AB20" s="8">
        <f t="shared" si="52"/>
        <v>3769.31</v>
      </c>
      <c r="AC20" s="8">
        <f t="shared" si="52"/>
        <v>4523.1719999999996</v>
      </c>
      <c r="AD20" s="8">
        <f t="shared" si="52"/>
        <v>3015.4480000000003</v>
      </c>
      <c r="AE20" s="8">
        <f t="shared" si="52"/>
        <v>4146.241</v>
      </c>
      <c r="AF20" s="8">
        <f t="shared" si="52"/>
        <v>3392.3789999999999</v>
      </c>
      <c r="AG20" s="8">
        <f t="shared" si="52"/>
        <v>2746.4742145198129</v>
      </c>
      <c r="AH20" s="8">
        <f t="shared" si="52"/>
        <v>72.864110792686546</v>
      </c>
      <c r="AI20" s="8">
        <f t="shared" si="52"/>
        <v>7015.67</v>
      </c>
      <c r="AJ20" s="8">
        <f t="shared" si="53"/>
        <v>6892.7152145198124</v>
      </c>
      <c r="AK20" s="8">
        <f t="shared" si="53"/>
        <v>1022.835785480187</v>
      </c>
      <c r="AL20" s="8">
        <f t="shared" si="53"/>
        <v>9262.2584290396262</v>
      </c>
      <c r="AM20" s="8">
        <f t="shared" si="53"/>
        <v>-1723.6384290396259</v>
      </c>
      <c r="AT20" s="23">
        <f t="shared" si="26"/>
        <v>9.4606481477967463E-2</v>
      </c>
      <c r="AU20" s="8" t="str">
        <f t="shared" si="23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AV20" s="8" t="b">
        <f t="shared" si="27"/>
        <v>0</v>
      </c>
      <c r="AW20" s="8" t="str">
        <f t="shared" si="28"/>
        <v>062SMPL.d</v>
      </c>
      <c r="AX20" s="11">
        <f t="shared" si="29"/>
        <v>45246.574791666666</v>
      </c>
      <c r="AY20" s="8" t="str">
        <f t="shared" si="30"/>
        <v>Sample</v>
      </c>
      <c r="AZ20" s="8"/>
      <c r="BA20" s="8" t="str">
        <f t="shared" si="32"/>
        <v xml:space="preserve">blk </v>
      </c>
      <c r="BB20" s="17">
        <f t="shared" si="47"/>
        <v>2834.7586891473375</v>
      </c>
      <c r="BC20" s="8"/>
      <c r="BD20" s="8">
        <f t="shared" si="54"/>
        <v>54.678553365557221</v>
      </c>
      <c r="BE20" s="8">
        <f t="shared" si="50"/>
        <v>65.614264038668665</v>
      </c>
      <c r="BF20" s="8">
        <f t="shared" si="50"/>
        <v>43.742842692445777</v>
      </c>
      <c r="BG20" s="8">
        <f t="shared" si="50"/>
        <v>60.14640870211295</v>
      </c>
      <c r="BH20" s="8">
        <f t="shared" si="50"/>
        <v>49.210698029001499</v>
      </c>
      <c r="BI20" s="8">
        <f t="shared" si="50"/>
        <v>1997.3414769292983</v>
      </c>
      <c r="BJ20" s="8">
        <f t="shared" si="50"/>
        <v>3652.8791527748267</v>
      </c>
      <c r="BK20" s="8">
        <f t="shared" si="50"/>
        <v>5803.7418210838969</v>
      </c>
      <c r="BL20" s="8">
        <f t="shared" si="50"/>
        <v>2057.4878856314112</v>
      </c>
      <c r="BM20" s="8">
        <f t="shared" si="50"/>
        <v>-1942.6629235637411</v>
      </c>
      <c r="BN20" s="8">
        <f t="shared" si="50"/>
        <v>4049.3615072241537</v>
      </c>
      <c r="BO20" s="8">
        <f t="shared" si="50"/>
        <v>-3940.0044004930396</v>
      </c>
    </row>
    <row r="21" spans="1:67" x14ac:dyDescent="0.25">
      <c r="A21" s="23">
        <f>Alex_ITSD_count_data!A21</f>
        <v>3.3356481479131617E-2</v>
      </c>
      <c r="B21" s="8" t="str">
        <f>Alex_ITSD_count_data!B21</f>
        <v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v>
      </c>
      <c r="C21" s="8" t="b">
        <f>Alex_ITSD_count_data!C21</f>
        <v>0</v>
      </c>
      <c r="D21" s="8" t="str">
        <f>Alex_ITSD_count_data!D21</f>
        <v>019SMPL.d</v>
      </c>
      <c r="E21" s="11">
        <f>Alex_ITSD_count_data!E21</f>
        <v>45246.513541666667</v>
      </c>
      <c r="F21" s="8" t="str">
        <f>Alex_ITSD_count_data!F21</f>
        <v>Sample</v>
      </c>
      <c r="G21" s="8">
        <f>Alex_ITSD_count_data!G21</f>
        <v>0</v>
      </c>
      <c r="H21" s="8" t="str">
        <f>Alex_ITSD_count_data!H21</f>
        <v>0-40-T</v>
      </c>
      <c r="I21" s="17">
        <f>Alex_ITSD_count_data!K21</f>
        <v>85485.96</v>
      </c>
      <c r="J21" s="17">
        <f>Alex_ITSD_count_data!L21</f>
        <v>5.0999999999999996</v>
      </c>
      <c r="K21" s="47">
        <f t="shared" si="19"/>
        <v>54658.831338828488</v>
      </c>
      <c r="L21" s="17">
        <f t="shared" si="21"/>
        <v>6.3358642082662868</v>
      </c>
      <c r="M21" s="17">
        <f>'[1]Alex-Mn_As_data'!J23</f>
        <v>9.2870000000000008</v>
      </c>
      <c r="N21" s="8">
        <v>5</v>
      </c>
      <c r="O21" s="17">
        <f t="shared" si="56"/>
        <v>31.679321041331434</v>
      </c>
      <c r="P21" s="17">
        <f t="shared" si="57"/>
        <v>46.435000000000002</v>
      </c>
      <c r="R21" s="23">
        <f t="shared" ref="R21:AA21" si="60">A80</f>
        <v>0.11293981481139781</v>
      </c>
      <c r="S21" s="8" t="str">
        <f t="shared" si="60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T21" s="8" t="b">
        <f t="shared" si="60"/>
        <v>0</v>
      </c>
      <c r="U21" s="8" t="str">
        <f t="shared" si="60"/>
        <v>078SMPL.d</v>
      </c>
      <c r="V21" s="11">
        <f t="shared" si="60"/>
        <v>45246.593124999999</v>
      </c>
      <c r="W21" s="8" t="str">
        <f t="shared" si="60"/>
        <v>Sample</v>
      </c>
      <c r="X21" s="8">
        <f t="shared" si="60"/>
        <v>0</v>
      </c>
      <c r="Y21" s="8" t="str">
        <f t="shared" si="60"/>
        <v>blk</v>
      </c>
      <c r="Z21" s="8">
        <f t="shared" si="60"/>
        <v>7108.65</v>
      </c>
      <c r="AA21" s="8">
        <f t="shared" si="60"/>
        <v>3.6</v>
      </c>
      <c r="AB21" s="8">
        <f t="shared" si="52"/>
        <v>3769.31</v>
      </c>
      <c r="AC21" s="8">
        <f t="shared" si="52"/>
        <v>4523.1719999999996</v>
      </c>
      <c r="AD21" s="8">
        <f t="shared" si="52"/>
        <v>3015.4480000000003</v>
      </c>
      <c r="AE21" s="8">
        <f t="shared" si="52"/>
        <v>4146.241</v>
      </c>
      <c r="AF21" s="8">
        <f t="shared" si="52"/>
        <v>3392.3789999999999</v>
      </c>
      <c r="AG21" s="8">
        <f t="shared" si="52"/>
        <v>2746.4742145198129</v>
      </c>
      <c r="AH21" s="8">
        <f t="shared" si="52"/>
        <v>72.864110792686546</v>
      </c>
      <c r="AI21" s="8">
        <f t="shared" si="52"/>
        <v>7015.67</v>
      </c>
      <c r="AJ21" s="8">
        <f t="shared" si="53"/>
        <v>6892.7152145198124</v>
      </c>
      <c r="AK21" s="8">
        <f t="shared" si="53"/>
        <v>1022.835785480187</v>
      </c>
      <c r="AL21" s="8">
        <f t="shared" si="53"/>
        <v>9262.2584290396262</v>
      </c>
      <c r="AM21" s="8">
        <f t="shared" si="53"/>
        <v>-1723.6384290396259</v>
      </c>
      <c r="AT21" s="23">
        <f t="shared" si="26"/>
        <v>0.11293981481139781</v>
      </c>
      <c r="AU21" s="8" t="str">
        <f t="shared" si="23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AV21" s="8" t="b">
        <f t="shared" si="27"/>
        <v>0</v>
      </c>
      <c r="AW21" s="8" t="str">
        <f t="shared" si="28"/>
        <v>078SMPL.d</v>
      </c>
      <c r="AX21" s="11">
        <f t="shared" si="29"/>
        <v>45246.593124999999</v>
      </c>
      <c r="AY21" s="8" t="str">
        <f t="shared" si="30"/>
        <v>Sample</v>
      </c>
      <c r="AZ21" s="8"/>
      <c r="BA21" s="8" t="str">
        <f t="shared" si="32"/>
        <v>blk</v>
      </c>
      <c r="BB21" s="17">
        <f t="shared" si="47"/>
        <v>1811.2625456816058</v>
      </c>
      <c r="BC21" s="8"/>
      <c r="BD21" s="8">
        <f t="shared" si="54"/>
        <v>54.678553365557221</v>
      </c>
      <c r="BE21" s="8">
        <f t="shared" si="50"/>
        <v>65.614264038668665</v>
      </c>
      <c r="BF21" s="8">
        <f t="shared" si="50"/>
        <v>43.742842692445777</v>
      </c>
      <c r="BG21" s="8">
        <f t="shared" si="50"/>
        <v>60.14640870211295</v>
      </c>
      <c r="BH21" s="8">
        <f t="shared" si="50"/>
        <v>49.210698029001499</v>
      </c>
      <c r="BI21" s="8">
        <f t="shared" si="50"/>
        <v>1997.3414769292983</v>
      </c>
      <c r="BJ21" s="8">
        <f t="shared" si="50"/>
        <v>3652.8791527748267</v>
      </c>
      <c r="BK21" s="8">
        <f t="shared" si="50"/>
        <v>5803.7418210838969</v>
      </c>
      <c r="BL21" s="8">
        <f t="shared" si="50"/>
        <v>2057.4878856314112</v>
      </c>
      <c r="BM21" s="8">
        <f t="shared" si="50"/>
        <v>-1942.6629235637411</v>
      </c>
      <c r="BN21" s="8">
        <f t="shared" si="50"/>
        <v>4049.3615072241537</v>
      </c>
      <c r="BO21" s="8">
        <f t="shared" si="50"/>
        <v>-3940.0044004930396</v>
      </c>
    </row>
    <row r="22" spans="1:67" x14ac:dyDescent="0.25">
      <c r="A22" s="23">
        <f>Alex_ITSD_count_data!A22</f>
        <v>3.4479166664823424E-2</v>
      </c>
      <c r="B22" s="8" t="str">
        <f>Alex_ITSD_count_data!B22</f>
        <v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v>
      </c>
      <c r="C22" s="8" t="b">
        <f>Alex_ITSD_count_data!C22</f>
        <v>0</v>
      </c>
      <c r="D22" s="8" t="str">
        <f>Alex_ITSD_count_data!D22</f>
        <v>020SMPL.d</v>
      </c>
      <c r="E22" s="11">
        <f>Alex_ITSD_count_data!E22</f>
        <v>45246.514664351853</v>
      </c>
      <c r="F22" s="8" t="str">
        <f>Alex_ITSD_count_data!F22</f>
        <v>Sample</v>
      </c>
      <c r="G22" s="8">
        <f>Alex_ITSD_count_data!G22</f>
        <v>0</v>
      </c>
      <c r="H22" s="8" t="str">
        <f>Alex_ITSD_count_data!H22</f>
        <v>0-60-T</v>
      </c>
      <c r="I22" s="17">
        <f>Alex_ITSD_count_data!K22</f>
        <v>35828.400000000001</v>
      </c>
      <c r="J22" s="17">
        <f>Alex_ITSD_count_data!L22</f>
        <v>3</v>
      </c>
      <c r="K22" s="47">
        <f t="shared" si="19"/>
        <v>3963.7170426127741</v>
      </c>
      <c r="L22" s="17">
        <f t="shared" si="21"/>
        <v>0.82884517141094227</v>
      </c>
      <c r="M22" s="17">
        <f>'[1]Alex-Mn_As_data'!J24</f>
        <v>3.8010000000000002</v>
      </c>
      <c r="N22" s="8">
        <v>5</v>
      </c>
      <c r="O22" s="17">
        <f t="shared" si="56"/>
        <v>4.1442258570547112</v>
      </c>
      <c r="P22" s="17">
        <f t="shared" si="57"/>
        <v>19.005000000000003</v>
      </c>
      <c r="R22" s="23">
        <f t="shared" ref="R22:AA24" si="61">A84</f>
        <v>0.11753472221607808</v>
      </c>
      <c r="S22" s="8" t="str">
        <f t="shared" si="61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T22" s="8" t="b">
        <f t="shared" si="61"/>
        <v>0</v>
      </c>
      <c r="U22" s="8" t="str">
        <f t="shared" si="61"/>
        <v>082SMPL.d</v>
      </c>
      <c r="V22" s="11">
        <f t="shared" si="61"/>
        <v>45246.597719907404</v>
      </c>
      <c r="W22" s="8" t="str">
        <f t="shared" si="61"/>
        <v>Sample</v>
      </c>
      <c r="X22" s="8">
        <f t="shared" si="61"/>
        <v>0</v>
      </c>
      <c r="Y22" s="8" t="str">
        <f t="shared" si="61"/>
        <v>blk</v>
      </c>
      <c r="Z22" s="8">
        <f t="shared" si="61"/>
        <v>7865.73</v>
      </c>
      <c r="AA22" s="8">
        <f t="shared" si="61"/>
        <v>3.5</v>
      </c>
      <c r="AB22" s="8">
        <f t="shared" si="52"/>
        <v>3769.31</v>
      </c>
      <c r="AC22" s="8">
        <f t="shared" si="52"/>
        <v>4523.1719999999996</v>
      </c>
      <c r="AD22" s="8">
        <f t="shared" si="52"/>
        <v>3015.4480000000003</v>
      </c>
      <c r="AE22" s="8">
        <f t="shared" si="52"/>
        <v>4146.241</v>
      </c>
      <c r="AF22" s="8">
        <f t="shared" si="52"/>
        <v>3392.3789999999999</v>
      </c>
      <c r="AG22" s="8">
        <f t="shared" si="52"/>
        <v>2746.4742145198129</v>
      </c>
      <c r="AH22" s="8">
        <f t="shared" si="52"/>
        <v>72.864110792686546</v>
      </c>
      <c r="AI22" s="8">
        <f t="shared" si="52"/>
        <v>7015.67</v>
      </c>
      <c r="AJ22" s="8">
        <f t="shared" si="53"/>
        <v>6892.7152145198124</v>
      </c>
      <c r="AK22" s="8">
        <f t="shared" si="53"/>
        <v>1022.835785480187</v>
      </c>
      <c r="AL22" s="8">
        <f t="shared" si="53"/>
        <v>9262.2584290396262</v>
      </c>
      <c r="AM22" s="8">
        <f t="shared" si="53"/>
        <v>-1723.6384290396259</v>
      </c>
      <c r="AT22" s="23">
        <f t="shared" si="26"/>
        <v>0.11753472221607808</v>
      </c>
      <c r="AU22" s="8" t="str">
        <f t="shared" si="23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AV22" s="8" t="b">
        <f t="shared" si="27"/>
        <v>0</v>
      </c>
      <c r="AW22" s="8" t="str">
        <f t="shared" si="28"/>
        <v>082SMPL.d</v>
      </c>
      <c r="AX22" s="11">
        <f t="shared" si="29"/>
        <v>45246.597719907404</v>
      </c>
      <c r="AY22" s="8" t="str">
        <f t="shared" si="30"/>
        <v>Sample</v>
      </c>
      <c r="AZ22" s="8"/>
      <c r="BA22" s="8" t="str">
        <f t="shared" si="32"/>
        <v>blk</v>
      </c>
      <c r="BB22" s="17">
        <f t="shared" si="47"/>
        <v>2352.8206335910309</v>
      </c>
      <c r="BC22" s="8"/>
      <c r="BD22" s="8">
        <f t="shared" si="54"/>
        <v>54.678553365557221</v>
      </c>
      <c r="BE22" s="8">
        <f t="shared" si="50"/>
        <v>65.614264038668665</v>
      </c>
      <c r="BF22" s="8">
        <f t="shared" si="50"/>
        <v>43.742842692445777</v>
      </c>
      <c r="BG22" s="8">
        <f t="shared" si="50"/>
        <v>60.14640870211295</v>
      </c>
      <c r="BH22" s="8">
        <f t="shared" si="50"/>
        <v>49.210698029001499</v>
      </c>
      <c r="BI22" s="8">
        <f t="shared" si="50"/>
        <v>1997.3414769292983</v>
      </c>
      <c r="BJ22" s="8">
        <f t="shared" si="50"/>
        <v>3652.8791527748267</v>
      </c>
      <c r="BK22" s="8">
        <f t="shared" si="50"/>
        <v>5803.7418210838969</v>
      </c>
      <c r="BL22" s="8">
        <f t="shared" si="50"/>
        <v>2057.4878856314112</v>
      </c>
      <c r="BM22" s="8">
        <f t="shared" si="50"/>
        <v>-1942.6629235637411</v>
      </c>
      <c r="BN22" s="8">
        <f t="shared" si="50"/>
        <v>4049.3615072241537</v>
      </c>
      <c r="BO22" s="8">
        <f t="shared" si="50"/>
        <v>-3940.0044004930396</v>
      </c>
    </row>
    <row r="23" spans="1:67" x14ac:dyDescent="0.25">
      <c r="A23" s="23">
        <f>Alex_ITSD_count_data!A23</f>
        <v>3.5601851850515231E-2</v>
      </c>
      <c r="B23" s="8" t="str">
        <f>Alex_ITSD_count_data!B23</f>
        <v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v>
      </c>
      <c r="C23" s="8" t="b">
        <f>Alex_ITSD_count_data!C23</f>
        <v>0</v>
      </c>
      <c r="D23" s="8" t="str">
        <f>Alex_ITSD_count_data!D23</f>
        <v>021SMPL.d</v>
      </c>
      <c r="E23" s="11">
        <f>Alex_ITSD_count_data!E23</f>
        <v>45246.515787037039</v>
      </c>
      <c r="F23" s="8" t="str">
        <f>Alex_ITSD_count_data!F23</f>
        <v>Sample</v>
      </c>
      <c r="G23" s="8">
        <f>Alex_ITSD_count_data!G23</f>
        <v>0</v>
      </c>
      <c r="H23" s="8" t="str">
        <f>Alex_ITSD_count_data!H23</f>
        <v>0-70-T</v>
      </c>
      <c r="I23" s="17">
        <f>Alex_ITSD_count_data!K23</f>
        <v>41437.019999999997</v>
      </c>
      <c r="J23" s="17">
        <f>Alex_ITSD_count_data!L23</f>
        <v>4.9000000000000004</v>
      </c>
      <c r="K23" s="47">
        <f t="shared" si="19"/>
        <v>8534.782746397068</v>
      </c>
      <c r="L23" s="17">
        <f t="shared" si="21"/>
        <v>1.4508406361596653</v>
      </c>
      <c r="M23" s="17">
        <f>'[1]Alex-Mn_As_data'!J25</f>
        <v>4.4210000000000003</v>
      </c>
      <c r="N23" s="8">
        <v>5</v>
      </c>
      <c r="O23" s="17">
        <f t="shared" si="56"/>
        <v>7.254203180798326</v>
      </c>
      <c r="P23" s="17">
        <f t="shared" si="57"/>
        <v>22.105</v>
      </c>
      <c r="R23" s="23">
        <f t="shared" si="61"/>
        <v>0.11868055555532919</v>
      </c>
      <c r="S23" s="8" t="str">
        <f t="shared" si="61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T23" s="8" t="b">
        <f t="shared" si="61"/>
        <v>0</v>
      </c>
      <c r="U23" s="8" t="str">
        <f t="shared" si="61"/>
        <v>083SMPL.d</v>
      </c>
      <c r="V23" s="11">
        <f t="shared" si="61"/>
        <v>45246.598865740743</v>
      </c>
      <c r="W23" s="8" t="str">
        <f t="shared" si="61"/>
        <v>Sample</v>
      </c>
      <c r="X23" s="8">
        <f t="shared" si="61"/>
        <v>0</v>
      </c>
      <c r="Y23" s="8" t="str">
        <f t="shared" si="61"/>
        <v>blk</v>
      </c>
      <c r="Z23" s="8">
        <f t="shared" si="61"/>
        <v>4357.47</v>
      </c>
      <c r="AA23" s="8">
        <f t="shared" si="61"/>
        <v>1.5</v>
      </c>
      <c r="AB23" s="8">
        <f t="shared" si="52"/>
        <v>3769.31</v>
      </c>
      <c r="AC23" s="8">
        <f t="shared" si="52"/>
        <v>4523.1719999999996</v>
      </c>
      <c r="AD23" s="8">
        <f t="shared" si="52"/>
        <v>3015.4480000000003</v>
      </c>
      <c r="AE23" s="8">
        <f t="shared" si="52"/>
        <v>4146.241</v>
      </c>
      <c r="AF23" s="8">
        <f t="shared" si="52"/>
        <v>3392.3789999999999</v>
      </c>
      <c r="AG23" s="8">
        <f t="shared" si="52"/>
        <v>2746.4742145198129</v>
      </c>
      <c r="AH23" s="8">
        <f t="shared" si="52"/>
        <v>72.864110792686546</v>
      </c>
      <c r="AI23" s="8">
        <f t="shared" si="52"/>
        <v>7015.67</v>
      </c>
      <c r="AJ23" s="8">
        <f t="shared" si="53"/>
        <v>6892.7152145198124</v>
      </c>
      <c r="AK23" s="8">
        <f t="shared" si="53"/>
        <v>1022.835785480187</v>
      </c>
      <c r="AL23" s="8">
        <f t="shared" si="53"/>
        <v>9262.2584290396262</v>
      </c>
      <c r="AM23" s="8">
        <f t="shared" si="53"/>
        <v>-1723.6384290396259</v>
      </c>
      <c r="AT23" s="23">
        <f t="shared" si="26"/>
        <v>0.11868055555532919</v>
      </c>
      <c r="AU23" s="8" t="str">
        <f t="shared" si="23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AV23" s="8" t="b">
        <f t="shared" si="27"/>
        <v>0</v>
      </c>
      <c r="AW23" s="8" t="str">
        <f t="shared" si="28"/>
        <v>083SMPL.d</v>
      </c>
      <c r="AX23" s="11">
        <f t="shared" si="29"/>
        <v>45246.598865740743</v>
      </c>
      <c r="AY23" s="8" t="str">
        <f t="shared" si="30"/>
        <v>Sample</v>
      </c>
      <c r="AZ23" s="8"/>
      <c r="BA23" s="8" t="str">
        <f t="shared" si="32"/>
        <v>blk</v>
      </c>
      <c r="BB23" s="17">
        <f t="shared" si="47"/>
        <v>-1209.1841256528633</v>
      </c>
      <c r="BC23" s="8"/>
      <c r="BD23" s="8">
        <f t="shared" si="54"/>
        <v>54.678553365557221</v>
      </c>
      <c r="BE23" s="8">
        <f t="shared" si="50"/>
        <v>65.614264038668665</v>
      </c>
      <c r="BF23" s="8">
        <f t="shared" si="50"/>
        <v>43.742842692445777</v>
      </c>
      <c r="BG23" s="8">
        <f t="shared" si="50"/>
        <v>60.14640870211295</v>
      </c>
      <c r="BH23" s="8">
        <f t="shared" si="50"/>
        <v>49.210698029001499</v>
      </c>
      <c r="BI23" s="8">
        <f t="shared" si="50"/>
        <v>1997.3414769292983</v>
      </c>
      <c r="BJ23" s="8">
        <f t="shared" si="50"/>
        <v>3652.8791527748267</v>
      </c>
      <c r="BK23" s="8">
        <f t="shared" si="50"/>
        <v>5803.7418210838969</v>
      </c>
      <c r="BL23" s="8">
        <f t="shared" si="50"/>
        <v>2057.4878856314112</v>
      </c>
      <c r="BM23" s="8">
        <f t="shared" si="50"/>
        <v>-1942.6629235637411</v>
      </c>
      <c r="BN23" s="8">
        <f t="shared" si="50"/>
        <v>4049.3615072241537</v>
      </c>
      <c r="BO23" s="8">
        <f t="shared" si="50"/>
        <v>-3940.0044004930396</v>
      </c>
    </row>
    <row r="24" spans="1:67" x14ac:dyDescent="0.25">
      <c r="A24" s="23">
        <f>Alex_ITSD_count_data!A24</f>
        <v>3.6724537036207039E-2</v>
      </c>
      <c r="B24" s="8" t="str">
        <f>Alex_ITSD_count_data!B24</f>
        <v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v>
      </c>
      <c r="C24" s="8" t="b">
        <f>Alex_ITSD_count_data!C24</f>
        <v>0</v>
      </c>
      <c r="D24" s="8" t="str">
        <f>Alex_ITSD_count_data!D24</f>
        <v>022SMPL.d</v>
      </c>
      <c r="E24" s="11">
        <f>Alex_ITSD_count_data!E24</f>
        <v>45246.516909722224</v>
      </c>
      <c r="F24" s="8" t="str">
        <f>Alex_ITSD_count_data!F24</f>
        <v>Sample</v>
      </c>
      <c r="G24" s="8">
        <f>Alex_ITSD_count_data!G24</f>
        <v>0</v>
      </c>
      <c r="H24" s="8" t="str">
        <f>Alex_ITSD_count_data!H24</f>
        <v>0-80-T</v>
      </c>
      <c r="I24" s="17">
        <f>Alex_ITSD_count_data!K24</f>
        <v>41684.29</v>
      </c>
      <c r="J24" s="17">
        <f>Alex_ITSD_count_data!L24</f>
        <v>2.2000000000000002</v>
      </c>
      <c r="K24" s="47">
        <f t="shared" si="19"/>
        <v>7744.4984501813669</v>
      </c>
      <c r="L24" s="17">
        <f t="shared" si="21"/>
        <v>1.4782628574134531</v>
      </c>
      <c r="M24" s="17">
        <f>'[1]Alex-Mn_As_data'!J26</f>
        <v>4.4480000000000004</v>
      </c>
      <c r="N24" s="8">
        <v>5</v>
      </c>
      <c r="O24" s="17">
        <f t="shared" si="56"/>
        <v>7.3913142870672655</v>
      </c>
      <c r="P24" s="17">
        <f t="shared" si="57"/>
        <v>22.240000000000002</v>
      </c>
      <c r="R24" s="23">
        <f t="shared" si="61"/>
        <v>0.119803240741021</v>
      </c>
      <c r="S24" s="8" t="str">
        <f t="shared" si="61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T24" s="8" t="b">
        <f t="shared" si="61"/>
        <v>0</v>
      </c>
      <c r="U24" s="8" t="str">
        <f t="shared" si="61"/>
        <v>084SMPL.d</v>
      </c>
      <c r="V24" s="11">
        <f t="shared" si="61"/>
        <v>45246.599988425929</v>
      </c>
      <c r="W24" s="8" t="str">
        <f t="shared" si="61"/>
        <v>Sample</v>
      </c>
      <c r="X24" s="8">
        <f t="shared" si="61"/>
        <v>0</v>
      </c>
      <c r="Y24" s="8" t="str">
        <f t="shared" si="61"/>
        <v>blk</v>
      </c>
      <c r="Z24" s="8">
        <f t="shared" si="61"/>
        <v>2650.33</v>
      </c>
      <c r="AA24" s="8">
        <f t="shared" si="61"/>
        <v>5.3</v>
      </c>
      <c r="AB24" s="8">
        <f t="shared" si="52"/>
        <v>3769.31</v>
      </c>
      <c r="AC24" s="8">
        <f t="shared" si="52"/>
        <v>4523.1719999999996</v>
      </c>
      <c r="AD24" s="8">
        <f t="shared" si="52"/>
        <v>3015.4480000000003</v>
      </c>
      <c r="AE24" s="8">
        <f t="shared" si="52"/>
        <v>4146.241</v>
      </c>
      <c r="AF24" s="8">
        <f t="shared" si="52"/>
        <v>3392.3789999999999</v>
      </c>
      <c r="AG24" s="8">
        <f t="shared" si="52"/>
        <v>2746.4742145198129</v>
      </c>
      <c r="AH24" s="8">
        <f t="shared" si="52"/>
        <v>72.864110792686546</v>
      </c>
      <c r="AI24" s="8">
        <f t="shared" si="52"/>
        <v>7015.67</v>
      </c>
      <c r="AJ24" s="8">
        <f t="shared" si="53"/>
        <v>6892.7152145198124</v>
      </c>
      <c r="AK24" s="8">
        <f t="shared" si="53"/>
        <v>1022.835785480187</v>
      </c>
      <c r="AL24" s="8">
        <f t="shared" si="53"/>
        <v>9262.2584290396262</v>
      </c>
      <c r="AM24" s="8">
        <f t="shared" si="53"/>
        <v>-1723.6384290396259</v>
      </c>
      <c r="AT24" s="23">
        <f t="shared" si="26"/>
        <v>0.119803240741021</v>
      </c>
      <c r="AU24" s="8" t="str">
        <f t="shared" si="23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AV24" s="8" t="b">
        <f t="shared" si="27"/>
        <v>0</v>
      </c>
      <c r="AW24" s="8" t="str">
        <f t="shared" si="28"/>
        <v>084SMPL.d</v>
      </c>
      <c r="AX24" s="11">
        <f t="shared" si="29"/>
        <v>45246.599988425929</v>
      </c>
      <c r="AY24" s="8" t="str">
        <f t="shared" si="30"/>
        <v>Sample</v>
      </c>
      <c r="AZ24" s="8"/>
      <c r="BA24" s="8" t="str">
        <f t="shared" si="32"/>
        <v>blk</v>
      </c>
      <c r="BB24" s="17">
        <f>Z24-($AO$12*AT24)</f>
        <v>-2968.9831319365594</v>
      </c>
      <c r="BC24" s="8"/>
      <c r="BD24" s="8">
        <f t="shared" si="54"/>
        <v>54.678553365557221</v>
      </c>
      <c r="BE24" s="8">
        <f t="shared" si="50"/>
        <v>65.614264038668665</v>
      </c>
      <c r="BF24" s="8">
        <f t="shared" si="50"/>
        <v>43.742842692445777</v>
      </c>
      <c r="BG24" s="8">
        <f t="shared" si="50"/>
        <v>60.14640870211295</v>
      </c>
      <c r="BH24" s="8">
        <f t="shared" si="50"/>
        <v>49.210698029001499</v>
      </c>
      <c r="BI24" s="8">
        <f t="shared" si="50"/>
        <v>1997.3414769292983</v>
      </c>
      <c r="BJ24" s="8">
        <f t="shared" si="50"/>
        <v>3652.8791527748267</v>
      </c>
      <c r="BK24" s="8">
        <f t="shared" si="50"/>
        <v>5803.7418210838969</v>
      </c>
      <c r="BL24" s="8">
        <f t="shared" si="50"/>
        <v>2057.4878856314112</v>
      </c>
      <c r="BM24" s="8">
        <f t="shared" si="50"/>
        <v>-1942.6629235637411</v>
      </c>
      <c r="BN24" s="8">
        <f t="shared" si="50"/>
        <v>4049.3615072241537</v>
      </c>
      <c r="BO24" s="8">
        <f t="shared" si="50"/>
        <v>-3940.0044004930396</v>
      </c>
    </row>
    <row r="25" spans="1:67" x14ac:dyDescent="0.25">
      <c r="A25" s="23">
        <f>Alex_ITSD_count_data!A25</f>
        <v>3.7893518514465541E-2</v>
      </c>
      <c r="B25" s="8" t="str">
        <f>Alex_ITSD_count_data!B25</f>
        <v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v>
      </c>
      <c r="C25" s="8" t="b">
        <f>Alex_ITSD_count_data!C25</f>
        <v>0</v>
      </c>
      <c r="D25" s="8" t="str">
        <f>Alex_ITSD_count_data!D25</f>
        <v>023SMPL.d</v>
      </c>
      <c r="E25" s="11">
        <f>Alex_ITSD_count_data!E25</f>
        <v>45246.518078703702</v>
      </c>
      <c r="F25" s="8" t="str">
        <f>Alex_ITSD_count_data!F25</f>
        <v>Sample</v>
      </c>
      <c r="G25" s="8">
        <f>Alex_ITSD_count_data!G25</f>
        <v>0</v>
      </c>
      <c r="H25" s="8" t="str">
        <f>Alex_ITSD_count_data!H25</f>
        <v>0-90-T</v>
      </c>
      <c r="I25" s="17">
        <f>Alex_ITSD_count_data!K25</f>
        <v>675683.27</v>
      </c>
      <c r="J25" s="17">
        <f>Alex_ITSD_count_data!L25</f>
        <v>2.4</v>
      </c>
      <c r="K25" s="47">
        <f t="shared" si="19"/>
        <v>640663.1384132579</v>
      </c>
      <c r="L25" s="17">
        <f t="shared" si="21"/>
        <v>71.78869398223857</v>
      </c>
      <c r="M25" s="17">
        <f>'[1]Alex-Mn_As_data'!J27</f>
        <v>74.481999999999999</v>
      </c>
      <c r="N25" s="8">
        <v>5</v>
      </c>
      <c r="O25" s="17">
        <f t="shared" si="56"/>
        <v>358.94346991119284</v>
      </c>
      <c r="P25" s="17">
        <f t="shared" si="57"/>
        <v>372.40999999999997</v>
      </c>
    </row>
    <row r="26" spans="1:67" x14ac:dyDescent="0.25">
      <c r="A26" s="23">
        <f>Alex_ITSD_count_data!A26</f>
        <v>3.9016203700157348E-2</v>
      </c>
      <c r="B26" s="8" t="str">
        <f>Alex_ITSD_count_data!B26</f>
        <v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v>
      </c>
      <c r="C26" s="8" t="b">
        <f>Alex_ITSD_count_data!C26</f>
        <v>0</v>
      </c>
      <c r="D26" s="8" t="str">
        <f>Alex_ITSD_count_data!D26</f>
        <v>024SMPL.d</v>
      </c>
      <c r="E26" s="11">
        <f>Alex_ITSD_count_data!E26</f>
        <v>45246.519201388888</v>
      </c>
      <c r="F26" s="8" t="str">
        <f>Alex_ITSD_count_data!F26</f>
        <v>Sample</v>
      </c>
      <c r="G26" s="8">
        <f>Alex_ITSD_count_data!G26</f>
        <v>0</v>
      </c>
      <c r="H26" s="8" t="str">
        <f>Alex_ITSD_count_data!H26</f>
        <v>0-100-T</v>
      </c>
      <c r="I26" s="17">
        <f>Alex_ITSD_count_data!K26</f>
        <v>1602179.87</v>
      </c>
      <c r="J26" s="17">
        <f>Alex_ITSD_count_data!L26</f>
        <v>2</v>
      </c>
      <c r="K26" s="47">
        <f t="shared" si="19"/>
        <v>1566122.1841170422</v>
      </c>
      <c r="L26" s="17">
        <f t="shared" si="21"/>
        <v>174.53708544129842</v>
      </c>
      <c r="M26" s="17">
        <f>'[1]Alex-Mn_As_data'!J28</f>
        <v>176.827</v>
      </c>
      <c r="N26" s="8">
        <v>5</v>
      </c>
      <c r="O26" s="17">
        <f t="shared" si="56"/>
        <v>872.68542720649202</v>
      </c>
      <c r="P26" s="17">
        <f t="shared" si="57"/>
        <v>884.13499999999999</v>
      </c>
      <c r="AS26" s="2" t="s">
        <v>297</v>
      </c>
      <c r="AT26" s="10"/>
      <c r="AU26" s="10" t="str">
        <f t="shared" ref="AU26:BB26" si="62">AU10</f>
        <v>Sample</v>
      </c>
      <c r="AV26" s="10"/>
      <c r="AW26" s="10"/>
      <c r="AX26" s="10"/>
      <c r="AY26" s="10"/>
      <c r="AZ26" s="10"/>
      <c r="BA26" s="10"/>
      <c r="BB26" s="13" t="str">
        <f t="shared" si="62"/>
        <v xml:space="preserve">55  Mn  [ He ] </v>
      </c>
      <c r="BC26" s="41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</row>
    <row r="27" spans="1:67" x14ac:dyDescent="0.25">
      <c r="A27" s="23">
        <f>Alex_ITSD_count_data!A27</f>
        <v>4.0127314809069503E-2</v>
      </c>
      <c r="B27" s="8" t="str">
        <f>Alex_ITSD_count_data!B27</f>
        <v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v>
      </c>
      <c r="C27" s="8" t="b">
        <f>Alex_ITSD_count_data!C27</f>
        <v>0</v>
      </c>
      <c r="D27" s="8" t="str">
        <f>Alex_ITSD_count_data!D27</f>
        <v>025SMPL.d</v>
      </c>
      <c r="E27" s="11">
        <f>Alex_ITSD_count_data!E27</f>
        <v>45246.520312499997</v>
      </c>
      <c r="F27" s="8" t="str">
        <f>Alex_ITSD_count_data!F27</f>
        <v>Sample</v>
      </c>
      <c r="G27" s="8">
        <f>Alex_ITSD_count_data!G27</f>
        <v>0</v>
      </c>
      <c r="H27" s="8" t="str">
        <f>Alex_ITSD_count_data!H27</f>
        <v>0-10-B</v>
      </c>
      <c r="I27" s="17">
        <f>Alex_ITSD_count_data!K27</f>
        <v>1347252.22</v>
      </c>
      <c r="J27" s="17">
        <f>Alex_ITSD_count_data!L27</f>
        <v>1.9</v>
      </c>
      <c r="K27" s="47">
        <f t="shared" si="19"/>
        <v>1310167.6762593656</v>
      </c>
      <c r="L27" s="17">
        <f t="shared" si="21"/>
        <v>146.26563147596468</v>
      </c>
      <c r="M27" s="17">
        <f>'[1]Alex-Mn_As_data'!J29</f>
        <v>148.667</v>
      </c>
      <c r="N27" s="8">
        <v>5</v>
      </c>
      <c r="O27" s="17">
        <f t="shared" si="56"/>
        <v>731.32815737982344</v>
      </c>
      <c r="P27" s="17">
        <f t="shared" si="57"/>
        <v>743.33500000000004</v>
      </c>
      <c r="AT27" s="10" t="str">
        <f t="shared" ref="AT27:BC27" si="63">AT11</f>
        <v>Number</v>
      </c>
      <c r="AU27" s="10"/>
      <c r="AV27" s="10" t="str">
        <f t="shared" si="63"/>
        <v>Rjct</v>
      </c>
      <c r="AW27" s="10" t="str">
        <f t="shared" si="63"/>
        <v>Data File</v>
      </c>
      <c r="AX27" s="10" t="str">
        <f t="shared" si="63"/>
        <v>Acq. Date-Time</v>
      </c>
      <c r="AY27" s="10" t="str">
        <f t="shared" si="63"/>
        <v>Type</v>
      </c>
      <c r="AZ27" s="10" t="str">
        <f t="shared" si="63"/>
        <v>Level</v>
      </c>
      <c r="BA27" s="10" t="str">
        <f t="shared" si="63"/>
        <v>Sample Name</v>
      </c>
      <c r="BB27" s="13" t="str">
        <f t="shared" si="63"/>
        <v>CPS</v>
      </c>
      <c r="BC27" s="41" t="str">
        <f t="shared" si="63"/>
        <v>CPS RSD</v>
      </c>
      <c r="BD27" s="27" t="str">
        <f t="shared" ref="BD27:BO27" si="64">BD11</f>
        <v>Mean</v>
      </c>
      <c r="BE27" s="27" t="str">
        <f t="shared" si="64"/>
        <v>120% Mean</v>
      </c>
      <c r="BF27" s="27" t="str">
        <f t="shared" si="64"/>
        <v>80% Mean</v>
      </c>
      <c r="BG27" s="27" t="str">
        <f t="shared" si="64"/>
        <v>110% Mean</v>
      </c>
      <c r="BH27" s="27" t="str">
        <f t="shared" si="64"/>
        <v>90% Mean</v>
      </c>
      <c r="BI27" s="28" t="str">
        <f t="shared" si="64"/>
        <v>Stdev</v>
      </c>
      <c r="BJ27" s="28" t="str">
        <f t="shared" si="64"/>
        <v>RelStdev</v>
      </c>
      <c r="BK27" s="28" t="str">
        <f t="shared" si="64"/>
        <v>Range</v>
      </c>
      <c r="BL27" s="28" t="str">
        <f t="shared" si="64"/>
        <v>plus 1 Std</v>
      </c>
      <c r="BM27" s="28" t="str">
        <f t="shared" si="64"/>
        <v>minus 1 Std</v>
      </c>
      <c r="BN27" s="28" t="str">
        <f t="shared" si="64"/>
        <v>plus 2 Std</v>
      </c>
      <c r="BO27" s="28" t="str">
        <f t="shared" si="64"/>
        <v>minus 2 Std</v>
      </c>
    </row>
    <row r="28" spans="1:67" x14ac:dyDescent="0.25">
      <c r="A28" s="23">
        <f>Alex_ITSD_count_data!A28</f>
        <v>4.1238425925257616E-2</v>
      </c>
      <c r="B28" s="8" t="str">
        <f>Alex_ITSD_count_data!B28</f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C28" s="8" t="b">
        <f>Alex_ITSD_count_data!C28</f>
        <v>0</v>
      </c>
      <c r="D28" s="8" t="str">
        <f>Alex_ITSD_count_data!D28</f>
        <v>026SMPL.d</v>
      </c>
      <c r="E28" s="11">
        <f>Alex_ITSD_count_data!E28</f>
        <v>45246.521423611113</v>
      </c>
      <c r="F28" s="8" t="str">
        <f>Alex_ITSD_count_data!F28</f>
        <v>Sample</v>
      </c>
      <c r="G28" s="8">
        <f>Alex_ITSD_count_data!G28</f>
        <v>0</v>
      </c>
      <c r="H28" s="40" t="str">
        <f>Alex_ITSD_count_data!H28</f>
        <v xml:space="preserve">blk </v>
      </c>
      <c r="I28" s="43">
        <f>Alex_ITSD_count_data!K28</f>
        <v>910.06</v>
      </c>
      <c r="J28" s="43">
        <f>Alex_ITSD_count_data!L28</f>
        <v>7.2</v>
      </c>
      <c r="K28" s="48">
        <f t="shared" si="19"/>
        <v>-37201.341605035326</v>
      </c>
      <c r="L28" s="43">
        <f t="shared" si="21"/>
        <v>-3.043595663688234</v>
      </c>
      <c r="M28" s="43">
        <v>0</v>
      </c>
      <c r="N28" s="8"/>
      <c r="O28" s="17"/>
      <c r="P28" s="17"/>
      <c r="Q28" s="2" t="s">
        <v>318</v>
      </c>
      <c r="R28" s="10"/>
      <c r="S28" s="7" t="str">
        <f t="shared" ref="R28:AA29" si="65">B1</f>
        <v>Sample</v>
      </c>
      <c r="T28" s="7"/>
      <c r="U28" s="7"/>
      <c r="V28" s="10"/>
      <c r="W28" s="7"/>
      <c r="X28" s="7"/>
      <c r="Y28" s="7"/>
      <c r="Z28" s="13" t="str">
        <f t="shared" si="65"/>
        <v xml:space="preserve">55  Mn  [ He ] </v>
      </c>
      <c r="AA28" s="13"/>
      <c r="AB28" s="7" t="str">
        <f>'Calibration Std'!$A$1</f>
        <v>Calibration Standards Concentrations ppb</v>
      </c>
      <c r="AO28" s="2" t="s">
        <v>319</v>
      </c>
      <c r="AT28" s="26">
        <f t="shared" ref="AT28:BA28" si="66">AT12</f>
        <v>0</v>
      </c>
      <c r="AU28" s="19"/>
      <c r="AV28" s="19" t="b">
        <f t="shared" si="66"/>
        <v>0</v>
      </c>
      <c r="AW28" s="19" t="str">
        <f t="shared" si="66"/>
        <v>001SMPL.d</v>
      </c>
      <c r="AX28" s="19">
        <f t="shared" si="66"/>
        <v>45246.480185185188</v>
      </c>
      <c r="AY28" s="19" t="str">
        <f t="shared" si="66"/>
        <v>Sample</v>
      </c>
      <c r="AZ28" s="19"/>
      <c r="BA28" s="19" t="str">
        <f t="shared" si="66"/>
        <v>blk</v>
      </c>
      <c r="BB28" s="18"/>
      <c r="BC28" s="19"/>
      <c r="BD28" s="18"/>
      <c r="BE28" s="18"/>
      <c r="BF28" s="18"/>
      <c r="BG28" s="18"/>
      <c r="BH28" s="18"/>
      <c r="BI28" s="18"/>
      <c r="BJ28" s="18"/>
      <c r="BK28" s="18"/>
      <c r="BL28" s="31"/>
      <c r="BM28" s="31"/>
      <c r="BN28" s="31"/>
      <c r="BO28" s="31"/>
    </row>
    <row r="29" spans="1:67" x14ac:dyDescent="0.25">
      <c r="A29" s="23">
        <f>Alex_ITSD_count_data!A29</f>
        <v>4.2407407403516117E-2</v>
      </c>
      <c r="B29" s="8" t="str">
        <f>Alex_ITSD_count_data!B29</f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C29" s="8" t="b">
        <f>Alex_ITSD_count_data!C29</f>
        <v>0</v>
      </c>
      <c r="D29" s="8" t="str">
        <f>Alex_ITSD_count_data!D29</f>
        <v>027SMPL.d</v>
      </c>
      <c r="E29" s="11">
        <f>Alex_ITSD_count_data!E29</f>
        <v>45246.522592592592</v>
      </c>
      <c r="F29" s="8" t="str">
        <f>Alex_ITSD_count_data!F29</f>
        <v>Sample</v>
      </c>
      <c r="G29" s="8">
        <f>Alex_ITSD_count_data!G29</f>
        <v>0</v>
      </c>
      <c r="H29" s="8" t="str">
        <f>Alex_ITSD_count_data!H29</f>
        <v>100 ppb check</v>
      </c>
      <c r="I29" s="17">
        <f>Alex_ITSD_count_data!K29</f>
        <v>982640.22</v>
      </c>
      <c r="J29" s="17">
        <f>Alex_ITSD_count_data!L29</f>
        <v>1.3</v>
      </c>
      <c r="K29" s="47">
        <f t="shared" si="19"/>
        <v>943448.47835804126</v>
      </c>
      <c r="L29" s="17">
        <f t="shared" si="21"/>
        <v>105.83019274184444</v>
      </c>
      <c r="M29" s="17">
        <f>'[1]Alex-Mn_As_data'!J31</f>
        <v>108.39</v>
      </c>
      <c r="N29" s="8"/>
      <c r="O29" s="17"/>
      <c r="P29" s="17"/>
      <c r="R29" s="10" t="str">
        <f t="shared" si="65"/>
        <v>Number</v>
      </c>
      <c r="S29" s="7">
        <f t="shared" si="65"/>
        <v>0</v>
      </c>
      <c r="T29" s="7" t="str">
        <f t="shared" si="65"/>
        <v>Rjct</v>
      </c>
      <c r="U29" s="7" t="str">
        <f t="shared" si="65"/>
        <v>Data File</v>
      </c>
      <c r="V29" s="10" t="str">
        <f t="shared" si="65"/>
        <v>Acq. Date-Time</v>
      </c>
      <c r="W29" s="7" t="str">
        <f t="shared" si="65"/>
        <v>Type</v>
      </c>
      <c r="X29" s="7" t="str">
        <f t="shared" si="65"/>
        <v>Level</v>
      </c>
      <c r="Y29" s="7" t="str">
        <f t="shared" si="65"/>
        <v>Sample Name</v>
      </c>
      <c r="Z29" s="13" t="str">
        <f t="shared" si="65"/>
        <v>CPS</v>
      </c>
      <c r="AA29" s="13" t="str">
        <f t="shared" si="65"/>
        <v>CPS RSD</v>
      </c>
      <c r="AB29" s="7"/>
      <c r="AO29" s="7" t="s">
        <v>272</v>
      </c>
      <c r="AP29" s="7" t="s">
        <v>273</v>
      </c>
      <c r="AT29" s="26">
        <f t="shared" ref="AT29:BA29" si="67">AT13</f>
        <v>1.1458333319751546E-3</v>
      </c>
      <c r="AU29" s="19" t="str">
        <f t="shared" si="67"/>
        <v>56  Fe  [ He ] :  CPS RSD value = 5.02 is over the allowed maximum = 5.00</v>
      </c>
      <c r="AV29" s="19" t="b">
        <f t="shared" si="67"/>
        <v>0</v>
      </c>
      <c r="AW29" s="19" t="str">
        <f t="shared" si="67"/>
        <v>002SMPL.d</v>
      </c>
      <c r="AX29" s="19">
        <f t="shared" si="67"/>
        <v>45246.48133101852</v>
      </c>
      <c r="AY29" s="19" t="str">
        <f t="shared" si="67"/>
        <v>Sample</v>
      </c>
      <c r="AZ29" s="19"/>
      <c r="BA29" s="19" t="str">
        <f t="shared" si="67"/>
        <v>blk</v>
      </c>
      <c r="BB29" s="18"/>
      <c r="BC29" s="19"/>
      <c r="BD29" s="18"/>
      <c r="BE29" s="18"/>
      <c r="BF29" s="18"/>
      <c r="BG29" s="18"/>
      <c r="BH29" s="18"/>
      <c r="BI29" s="18"/>
      <c r="BJ29" s="18"/>
      <c r="BK29" s="18"/>
      <c r="BL29" s="31"/>
      <c r="BM29" s="31"/>
      <c r="BN29" s="31"/>
      <c r="BO29" s="31"/>
    </row>
    <row r="30" spans="1:67" x14ac:dyDescent="0.25">
      <c r="A30" s="23">
        <f>Alex_ITSD_count_data!A30</f>
        <v>4.3518518512428273E-2</v>
      </c>
      <c r="B30" s="8" t="str">
        <f>Alex_ITSD_count_data!B30</f>
        <v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v>
      </c>
      <c r="C30" s="8" t="b">
        <f>Alex_ITSD_count_data!C30</f>
        <v>0</v>
      </c>
      <c r="D30" s="8" t="str">
        <f>Alex_ITSD_count_data!D30</f>
        <v>028SMPL.d</v>
      </c>
      <c r="E30" s="11">
        <f>Alex_ITSD_count_data!E30</f>
        <v>45246.5237037037</v>
      </c>
      <c r="F30" s="8" t="str">
        <f>Alex_ITSD_count_data!F30</f>
        <v>Sample</v>
      </c>
      <c r="G30" s="8">
        <f>Alex_ITSD_count_data!G30</f>
        <v>0</v>
      </c>
      <c r="H30" s="8" t="str">
        <f>Alex_ITSD_count_data!H30</f>
        <v>0-50-T</v>
      </c>
      <c r="I30" s="17">
        <f>Alex_ITSD_count_data!K30</f>
        <v>73942.179999999993</v>
      </c>
      <c r="J30" s="17">
        <f>Alex_ITSD_count_data!L30</f>
        <v>3.4</v>
      </c>
      <c r="K30" s="47">
        <f t="shared" si="19"/>
        <v>33723.580500364573</v>
      </c>
      <c r="L30" s="17">
        <f t="shared" si="21"/>
        <v>5.0556600214864682</v>
      </c>
      <c r="M30" s="17">
        <f>'[1]Alex-Mn_As_data'!J32</f>
        <v>8.0109999999999992</v>
      </c>
      <c r="N30" s="8">
        <v>10</v>
      </c>
      <c r="O30" s="17">
        <f t="shared" si="56"/>
        <v>50.55660021486468</v>
      </c>
      <c r="P30" s="17">
        <f t="shared" si="57"/>
        <v>80.109999999999985</v>
      </c>
      <c r="R30" s="23">
        <f t="shared" ref="R30:R38" si="68">A6</f>
        <v>3.4490740727051161E-3</v>
      </c>
      <c r="S30" s="8">
        <f t="shared" ref="S30:S38" si="69">B6</f>
        <v>0</v>
      </c>
      <c r="T30" s="8" t="b">
        <f t="shared" ref="T30:T38" si="70">C6</f>
        <v>0</v>
      </c>
      <c r="U30" s="8" t="str">
        <f t="shared" ref="U30:U38" si="71">D6</f>
        <v>004CALB.d</v>
      </c>
      <c r="V30" s="11">
        <f t="shared" ref="V30:V38" si="72">E6</f>
        <v>45246.483634259261</v>
      </c>
      <c r="W30" s="8" t="str">
        <f t="shared" ref="W30:W38" si="73">F6</f>
        <v>CalBlk</v>
      </c>
      <c r="X30" s="8">
        <f t="shared" ref="X30:X38" si="74">G6</f>
        <v>1</v>
      </c>
      <c r="Y30" s="8" t="str">
        <f t="shared" ref="Y30:Y38" si="75">H6</f>
        <v xml:space="preserve">0 ppb </v>
      </c>
      <c r="Z30" s="8">
        <f t="shared" ref="Z30:Z38" si="76">I6</f>
        <v>1416.78</v>
      </c>
      <c r="AA30" s="8">
        <f t="shared" ref="AA30:AA38" si="77">J6</f>
        <v>12.4</v>
      </c>
      <c r="AB30" s="8">
        <f>'Calibration Std'!D$4</f>
        <v>0</v>
      </c>
      <c r="AN30" t="s">
        <v>280</v>
      </c>
      <c r="AO30" s="17" cm="1">
        <f t="array" ref="AO30:AP34">LINEST(Z30:Z38,AB30:AB38, TRUE, TRUE)</f>
        <v>9017.1397025632577</v>
      </c>
      <c r="AP30" s="17">
        <v>28354.587297592545</v>
      </c>
      <c r="AQ30" s="20" t="s">
        <v>281</v>
      </c>
      <c r="AT30" s="26">
        <f t="shared" ref="AT30:BA30" si="78">AT14</f>
        <v>2.3263888870133087E-3</v>
      </c>
      <c r="AU30" s="19"/>
      <c r="AV30" s="19" t="b">
        <f t="shared" si="78"/>
        <v>0</v>
      </c>
      <c r="AW30" s="19" t="str">
        <f t="shared" si="78"/>
        <v>003SMPL.d</v>
      </c>
      <c r="AX30" s="19">
        <f t="shared" si="78"/>
        <v>45246.482511574075</v>
      </c>
      <c r="AY30" s="19" t="str">
        <f t="shared" si="78"/>
        <v>Sample</v>
      </c>
      <c r="AZ30" s="19"/>
      <c r="BA30" s="19" t="str">
        <f t="shared" si="78"/>
        <v>blk</v>
      </c>
      <c r="BB30" s="18"/>
      <c r="BC30" s="19"/>
      <c r="BD30" s="18"/>
      <c r="BE30" s="18"/>
      <c r="BF30" s="18"/>
      <c r="BG30" s="18"/>
      <c r="BH30" s="18"/>
      <c r="BI30" s="18"/>
      <c r="BJ30" s="18"/>
      <c r="BK30" s="18"/>
      <c r="BL30" s="31"/>
      <c r="BM30" s="31"/>
      <c r="BN30" s="31"/>
      <c r="BO30" s="31"/>
    </row>
    <row r="31" spans="1:67" x14ac:dyDescent="0.25">
      <c r="A31" s="23">
        <f>Alex_ITSD_count_data!A31</f>
        <v>4.464120369812008E-2</v>
      </c>
      <c r="B31" s="8" t="str">
        <f>Alex_ITSD_count_data!B31</f>
        <v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v>
      </c>
      <c r="C31" s="8" t="b">
        <f>Alex_ITSD_count_data!C31</f>
        <v>0</v>
      </c>
      <c r="D31" s="8" t="str">
        <f>Alex_ITSD_count_data!D31</f>
        <v>029SMPL.d</v>
      </c>
      <c r="E31" s="11">
        <f>Alex_ITSD_count_data!E31</f>
        <v>45246.524826388886</v>
      </c>
      <c r="F31" s="8" t="str">
        <f>Alex_ITSD_count_data!F31</f>
        <v>Sample</v>
      </c>
      <c r="G31" s="8">
        <f>Alex_ITSD_count_data!G31</f>
        <v>0</v>
      </c>
      <c r="H31" s="8" t="str">
        <f>Alex_ITSD_count_data!H31</f>
        <v>0-60-B</v>
      </c>
      <c r="I31" s="17">
        <f>Alex_ITSD_count_data!K31</f>
        <v>25406.39</v>
      </c>
      <c r="J31" s="17">
        <f>Alex_ITSD_count_data!L31</f>
        <v>6.2</v>
      </c>
      <c r="K31" s="47">
        <f t="shared" si="19"/>
        <v>-15849.763795851126</v>
      </c>
      <c r="L31" s="17">
        <f t="shared" si="21"/>
        <v>-0.32695482102317608</v>
      </c>
      <c r="M31" s="17">
        <f>'[1]Alex-Mn_As_data'!J33</f>
        <v>2.65</v>
      </c>
      <c r="N31" s="8">
        <v>5</v>
      </c>
      <c r="O31" s="17">
        <f t="shared" si="56"/>
        <v>-1.6347741051158804</v>
      </c>
      <c r="P31" s="17">
        <f t="shared" si="57"/>
        <v>13.25</v>
      </c>
      <c r="R31" s="23">
        <f t="shared" si="68"/>
        <v>4.6180555509636179E-3</v>
      </c>
      <c r="S31" s="8">
        <f t="shared" si="69"/>
        <v>0</v>
      </c>
      <c r="T31" s="8" t="b">
        <f t="shared" si="70"/>
        <v>0</v>
      </c>
      <c r="U31" s="8" t="str">
        <f t="shared" si="71"/>
        <v>005CALS.d</v>
      </c>
      <c r="V31" s="11">
        <f t="shared" si="72"/>
        <v>45246.484803240739</v>
      </c>
      <c r="W31" s="8" t="str">
        <f t="shared" si="73"/>
        <v>CalStd</v>
      </c>
      <c r="X31" s="8">
        <f t="shared" si="74"/>
        <v>2</v>
      </c>
      <c r="Y31" s="8" t="str">
        <f t="shared" si="75"/>
        <v>0.5 ppb m16 + Al</v>
      </c>
      <c r="Z31" s="8">
        <f t="shared" si="76"/>
        <v>5757.99</v>
      </c>
      <c r="AA31" s="8">
        <f t="shared" si="77"/>
        <v>4.5</v>
      </c>
      <c r="AB31" s="8">
        <f>'Calibration Std'!E$4</f>
        <v>0.5</v>
      </c>
      <c r="AN31" t="s">
        <v>286</v>
      </c>
      <c r="AO31" s="17">
        <v>61.1676138818003</v>
      </c>
      <c r="AP31" s="17">
        <v>22910.664811176932</v>
      </c>
      <c r="AQ31" t="s">
        <v>282</v>
      </c>
      <c r="AT31" s="23">
        <f t="shared" ref="AT31:BA31" si="79">AT15</f>
        <v>1.395833332935581E-2</v>
      </c>
      <c r="AU31" s="11" t="str">
        <f t="shared" si="79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AV31" s="11" t="b">
        <f t="shared" si="79"/>
        <v>0</v>
      </c>
      <c r="AW31" s="11" t="str">
        <f t="shared" si="79"/>
        <v>013SMPL.d</v>
      </c>
      <c r="AX31" s="11">
        <f t="shared" si="79"/>
        <v>45246.494143518517</v>
      </c>
      <c r="AY31" s="11" t="str">
        <f t="shared" si="79"/>
        <v>Sample</v>
      </c>
      <c r="AZ31" s="11"/>
      <c r="BA31" s="11" t="str">
        <f t="shared" si="79"/>
        <v>blk</v>
      </c>
      <c r="BB31" s="17">
        <f>Z15-($AO$3*AT31)</f>
        <v>-12049.841858916694</v>
      </c>
      <c r="BC31" s="11"/>
      <c r="BD31" s="17">
        <f>AVERAGE(BB31:BB40)</f>
        <v>-69421.053592311015</v>
      </c>
      <c r="BE31" s="17">
        <f>1.2*BD31</f>
        <v>-83305.264310773215</v>
      </c>
      <c r="BF31" s="17">
        <f>0.8*BD31</f>
        <v>-55536.842873848815</v>
      </c>
      <c r="BG31" s="17">
        <f>1.1*BD31</f>
        <v>-76363.158951542122</v>
      </c>
      <c r="BH31" s="17">
        <f>0.9*BD31</f>
        <v>-62478.948233079915</v>
      </c>
      <c r="BI31" s="17">
        <f>STDEV(BB31:BB40)</f>
        <v>35314.773448203079</v>
      </c>
      <c r="BJ31" s="17">
        <f>BI31/BD31 * 100</f>
        <v>-50.870408357090248</v>
      </c>
      <c r="BK31" s="17">
        <f>MAX(BB31:BB40)-MIN(BB31:BB40)</f>
        <v>96018.637577242887</v>
      </c>
      <c r="BL31" s="17">
        <f>BG31+BI31</f>
        <v>-41048.385503339043</v>
      </c>
      <c r="BM31" s="17">
        <f>BD31-BI31</f>
        <v>-104735.82704051409</v>
      </c>
      <c r="BN31" s="17">
        <f>BD31+2*BI31</f>
        <v>1208.4933040951437</v>
      </c>
      <c r="BO31" s="17">
        <f>BD31-2*BI31</f>
        <v>-140050.60048871717</v>
      </c>
    </row>
    <row r="32" spans="1:67" x14ac:dyDescent="0.25">
      <c r="A32" s="23">
        <f>Alex_ITSD_count_data!A32</f>
        <v>4.5763888883811887E-2</v>
      </c>
      <c r="B32" s="8" t="str">
        <f>Alex_ITSD_count_data!B32</f>
        <v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v>
      </c>
      <c r="C32" s="8" t="b">
        <f>Alex_ITSD_count_data!C32</f>
        <v>0</v>
      </c>
      <c r="D32" s="8" t="str">
        <f>Alex_ITSD_count_data!D32</f>
        <v>030SMPL.d</v>
      </c>
      <c r="E32" s="11">
        <f>Alex_ITSD_count_data!E32</f>
        <v>45246.525949074072</v>
      </c>
      <c r="F32" s="8" t="str">
        <f>Alex_ITSD_count_data!F32</f>
        <v>Sample</v>
      </c>
      <c r="G32" s="8">
        <f>Alex_ITSD_count_data!G32</f>
        <v>0</v>
      </c>
      <c r="H32" s="8" t="str">
        <f>Alex_ITSD_count_data!H32</f>
        <v>0-100-B</v>
      </c>
      <c r="I32" s="17">
        <f>Alex_ITSD_count_data!K32</f>
        <v>795398.92</v>
      </c>
      <c r="J32" s="17">
        <f>Alex_ITSD_count_data!L32</f>
        <v>3.3</v>
      </c>
      <c r="K32" s="47">
        <f t="shared" si="19"/>
        <v>753105.21190793323</v>
      </c>
      <c r="L32" s="17">
        <f t="shared" si="21"/>
        <v>85.065149038820323</v>
      </c>
      <c r="M32" s="17">
        <f>'[1]Alex-Mn_As_data'!J34</f>
        <v>87.706999999999994</v>
      </c>
      <c r="N32" s="8">
        <v>5</v>
      </c>
      <c r="O32" s="17">
        <f t="shared" si="56"/>
        <v>425.32574519410161</v>
      </c>
      <c r="P32" s="17">
        <f t="shared" si="57"/>
        <v>438.53499999999997</v>
      </c>
      <c r="R32" s="23">
        <f t="shared" si="68"/>
        <v>5.7870370364980772E-3</v>
      </c>
      <c r="S32" s="8" t="str">
        <f t="shared" si="69"/>
        <v>45  Sc ( ISTD )  [ He ] :  ISTD Recovery Percent value = 135.23 is outside the allowed range [80.00, 120.00]103  Rh ( ISTD )  [ He ] :  ISTD Recovery Percent value = 137.11 is outside the allowed range [80.00, 120.00]</v>
      </c>
      <c r="T32" s="8" t="b">
        <f t="shared" si="70"/>
        <v>0</v>
      </c>
      <c r="U32" s="8" t="str">
        <f t="shared" si="71"/>
        <v>006CALS.d</v>
      </c>
      <c r="V32" s="11">
        <f t="shared" si="72"/>
        <v>45246.485972222225</v>
      </c>
      <c r="W32" s="8" t="str">
        <f t="shared" si="73"/>
        <v>CalStd</v>
      </c>
      <c r="X32" s="8">
        <f t="shared" si="74"/>
        <v>3</v>
      </c>
      <c r="Y32" s="8" t="str">
        <f t="shared" si="75"/>
        <v>1 ppb m16 + Al</v>
      </c>
      <c r="Z32" s="8">
        <f t="shared" si="76"/>
        <v>10894.51</v>
      </c>
      <c r="AA32" s="8">
        <f t="shared" si="77"/>
        <v>2.6</v>
      </c>
      <c r="AB32" s="8">
        <f>'Calibration Std'!F$4</f>
        <v>1</v>
      </c>
      <c r="AN32" t="s">
        <v>277</v>
      </c>
      <c r="AO32" s="44">
        <v>0.99967799422982695</v>
      </c>
      <c r="AP32" s="17">
        <v>59745.63711675338</v>
      </c>
      <c r="AQ32" t="s">
        <v>285</v>
      </c>
      <c r="AT32" s="23">
        <f t="shared" ref="AT32:BA32" si="80">AT16</f>
        <v>2.880787036701804E-2</v>
      </c>
      <c r="AU32" s="11" t="str">
        <f t="shared" si="80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AV32" s="11" t="b">
        <f t="shared" si="80"/>
        <v>0</v>
      </c>
      <c r="AW32" s="11" t="str">
        <f t="shared" si="80"/>
        <v>015SMPL.d</v>
      </c>
      <c r="AX32" s="11">
        <f t="shared" si="80"/>
        <v>45246.508993055555</v>
      </c>
      <c r="AY32" s="11" t="str">
        <f t="shared" si="80"/>
        <v>Sample</v>
      </c>
      <c r="AZ32" s="11"/>
      <c r="BA32" s="11" t="str">
        <f t="shared" si="80"/>
        <v>blk</v>
      </c>
      <c r="BB32" s="17">
        <f t="shared" ref="BB32:BB40" si="81">Z16-($AO$3*AT32)</f>
        <v>-23648.609297061907</v>
      </c>
      <c r="BC32" s="11"/>
      <c r="BD32" s="17">
        <f>BD$31</f>
        <v>-69421.053592311015</v>
      </c>
      <c r="BE32" s="17">
        <f t="shared" ref="BE32:BO40" si="82">BE$31</f>
        <v>-83305.264310773215</v>
      </c>
      <c r="BF32" s="17">
        <f t="shared" si="82"/>
        <v>-55536.842873848815</v>
      </c>
      <c r="BG32" s="17">
        <f t="shared" si="82"/>
        <v>-76363.158951542122</v>
      </c>
      <c r="BH32" s="17">
        <f t="shared" si="82"/>
        <v>-62478.948233079915</v>
      </c>
      <c r="BI32" s="17">
        <f t="shared" si="82"/>
        <v>35314.773448203079</v>
      </c>
      <c r="BJ32" s="17">
        <f t="shared" si="82"/>
        <v>-50.870408357090248</v>
      </c>
      <c r="BK32" s="17">
        <f t="shared" si="82"/>
        <v>96018.637577242887</v>
      </c>
      <c r="BL32" s="17">
        <f t="shared" si="82"/>
        <v>-41048.385503339043</v>
      </c>
      <c r="BM32" s="17">
        <f t="shared" si="82"/>
        <v>-104735.82704051409</v>
      </c>
      <c r="BN32" s="17">
        <f t="shared" si="82"/>
        <v>1208.4933040951437</v>
      </c>
      <c r="BO32" s="17">
        <f t="shared" si="82"/>
        <v>-140050.60048871717</v>
      </c>
    </row>
    <row r="33" spans="1:67" x14ac:dyDescent="0.25">
      <c r="A33" s="23">
        <f>Alex_ITSD_count_data!A33</f>
        <v>4.6944444438850041E-2</v>
      </c>
      <c r="B33" s="8" t="str">
        <f>Alex_ITSD_count_data!B33</f>
        <v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v>
      </c>
      <c r="C33" s="8" t="b">
        <f>Alex_ITSD_count_data!C33</f>
        <v>0</v>
      </c>
      <c r="D33" s="8" t="str">
        <f>Alex_ITSD_count_data!D33</f>
        <v>031SMPL.d</v>
      </c>
      <c r="E33" s="11">
        <f>Alex_ITSD_count_data!E33</f>
        <v>45246.527129629627</v>
      </c>
      <c r="F33" s="8" t="str">
        <f>Alex_ITSD_count_data!F33</f>
        <v>Sample</v>
      </c>
      <c r="G33" s="8">
        <f>Alex_ITSD_count_data!G33</f>
        <v>0</v>
      </c>
      <c r="H33" s="8" t="str">
        <f>Alex_ITSD_count_data!H33</f>
        <v>0-70-B</v>
      </c>
      <c r="I33" s="17">
        <f>Alex_ITSD_count_data!K33</f>
        <v>28131.54</v>
      </c>
      <c r="J33" s="17">
        <f>Alex_ITSD_count_data!L33</f>
        <v>3.2</v>
      </c>
      <c r="K33" s="47">
        <f t="shared" si="19"/>
        <v>-15253.204567529334</v>
      </c>
      <c r="L33" s="17">
        <f t="shared" si="21"/>
        <v>-2.4735925687071201E-2</v>
      </c>
      <c r="M33" s="17">
        <f>'[1]Alex-Mn_As_data'!J35</f>
        <v>2.9510000000000001</v>
      </c>
      <c r="N33" s="8">
        <v>10</v>
      </c>
      <c r="O33" s="17">
        <f t="shared" si="56"/>
        <v>-0.247359256870712</v>
      </c>
      <c r="P33" s="17">
        <f t="shared" si="57"/>
        <v>29.51</v>
      </c>
      <c r="R33" s="23">
        <f t="shared" si="68"/>
        <v>7.0023148145992309E-3</v>
      </c>
      <c r="S33" s="8" t="str">
        <f t="shared" si="69"/>
        <v>45  Sc ( ISTD )  [ He ] :  ISTD Recovery Percent value = 158.50 is outside the allowed range [80.00, 120.00]103  Rh ( ISTD )  [ He ] :  ISTD Recovery Percent value = 166.42 is outside the allowed range [80.00, 120.00]</v>
      </c>
      <c r="T33" s="8" t="b">
        <f t="shared" si="70"/>
        <v>0</v>
      </c>
      <c r="U33" s="8" t="str">
        <f t="shared" si="71"/>
        <v>007CALS.d</v>
      </c>
      <c r="V33" s="11">
        <f t="shared" si="72"/>
        <v>45246.487187500003</v>
      </c>
      <c r="W33" s="8" t="str">
        <f t="shared" si="73"/>
        <v>CalStd</v>
      </c>
      <c r="X33" s="8">
        <f t="shared" si="74"/>
        <v>4</v>
      </c>
      <c r="Y33" s="8" t="str">
        <f t="shared" si="75"/>
        <v>5 ppb m16 + Al</v>
      </c>
      <c r="Z33" s="8">
        <f t="shared" si="76"/>
        <v>50599.4</v>
      </c>
      <c r="AA33" s="8">
        <f t="shared" si="77"/>
        <v>2.6</v>
      </c>
      <c r="AB33" s="8">
        <f>'Calibration Std'!G$4</f>
        <v>5</v>
      </c>
      <c r="AN33" t="s">
        <v>278</v>
      </c>
      <c r="AO33" s="17">
        <v>21731.740881067937</v>
      </c>
      <c r="AP33" s="17">
        <v>7</v>
      </c>
      <c r="AQ33" t="s">
        <v>283</v>
      </c>
      <c r="AT33" s="23">
        <f t="shared" ref="AT33:BA33" si="83">AT17</f>
        <v>4.1238425925257616E-2</v>
      </c>
      <c r="AU33" s="11" t="str">
        <f t="shared" si="83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AV33" s="11" t="b">
        <f t="shared" si="83"/>
        <v>0</v>
      </c>
      <c r="AW33" s="11" t="str">
        <f t="shared" si="83"/>
        <v>026SMPL.d</v>
      </c>
      <c r="AX33" s="11">
        <f t="shared" si="83"/>
        <v>45246.521423611113</v>
      </c>
      <c r="AY33" s="11" t="str">
        <f t="shared" si="83"/>
        <v>Sample</v>
      </c>
      <c r="AZ33" s="11"/>
      <c r="BA33" s="11" t="str">
        <f t="shared" si="83"/>
        <v xml:space="preserve">blk </v>
      </c>
      <c r="BB33" s="17">
        <f t="shared" si="81"/>
        <v>-37201.341605035326</v>
      </c>
      <c r="BC33" s="11"/>
      <c r="BD33" s="17">
        <f t="shared" ref="BD33:BD40" si="84">BD$31</f>
        <v>-69421.053592311015</v>
      </c>
      <c r="BE33" s="17">
        <f t="shared" si="82"/>
        <v>-83305.264310773215</v>
      </c>
      <c r="BF33" s="17">
        <f t="shared" si="82"/>
        <v>-55536.842873848815</v>
      </c>
      <c r="BG33" s="17">
        <f t="shared" si="82"/>
        <v>-76363.158951542122</v>
      </c>
      <c r="BH33" s="17">
        <f t="shared" si="82"/>
        <v>-62478.948233079915</v>
      </c>
      <c r="BI33" s="17">
        <f t="shared" si="82"/>
        <v>35314.773448203079</v>
      </c>
      <c r="BJ33" s="17">
        <f t="shared" si="82"/>
        <v>-50.870408357090248</v>
      </c>
      <c r="BK33" s="17">
        <f t="shared" si="82"/>
        <v>96018.637577242887</v>
      </c>
      <c r="BL33" s="17">
        <f t="shared" si="82"/>
        <v>-41048.385503339043</v>
      </c>
      <c r="BM33" s="17">
        <f t="shared" si="82"/>
        <v>-104735.82704051409</v>
      </c>
      <c r="BN33" s="17">
        <f t="shared" si="82"/>
        <v>1208.4933040951437</v>
      </c>
      <c r="BO33" s="17">
        <f t="shared" si="82"/>
        <v>-140050.60048871717</v>
      </c>
    </row>
    <row r="34" spans="1:67" x14ac:dyDescent="0.25">
      <c r="A34" s="23">
        <f>Alex_ITSD_count_data!A34</f>
        <v>4.8078703701321501E-2</v>
      </c>
      <c r="B34" s="8" t="str">
        <f>Alex_ITSD_count_data!B34</f>
        <v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v>
      </c>
      <c r="C34" s="8" t="b">
        <f>Alex_ITSD_count_data!C34</f>
        <v>0</v>
      </c>
      <c r="D34" s="8" t="str">
        <f>Alex_ITSD_count_data!D34</f>
        <v>032SMPL.d</v>
      </c>
      <c r="E34" s="11">
        <f>Alex_ITSD_count_data!E34</f>
        <v>45246.528263888889</v>
      </c>
      <c r="F34" s="8" t="str">
        <f>Alex_ITSD_count_data!F34</f>
        <v>Sample</v>
      </c>
      <c r="G34" s="8">
        <f>Alex_ITSD_count_data!G34</f>
        <v>0</v>
      </c>
      <c r="H34" s="8" t="str">
        <f>Alex_ITSD_count_data!H34</f>
        <v>20-100-T</v>
      </c>
      <c r="I34" s="17">
        <f>Alex_ITSD_count_data!K34</f>
        <v>1109670.17</v>
      </c>
      <c r="J34" s="17">
        <f>Alex_ITSD_count_data!L34</f>
        <v>1.9</v>
      </c>
      <c r="K34" s="47">
        <f t="shared" si="19"/>
        <v>1065237.1746977158</v>
      </c>
      <c r="L34" s="17">
        <f t="shared" si="21"/>
        <v>119.91780302516851</v>
      </c>
      <c r="M34" s="17">
        <f>'[1]Alex-Mn_As_data'!J36</f>
        <v>122.422</v>
      </c>
      <c r="N34" s="8">
        <v>5</v>
      </c>
      <c r="O34" s="17">
        <f t="shared" si="56"/>
        <v>599.58901512584259</v>
      </c>
      <c r="P34" s="17">
        <f t="shared" si="57"/>
        <v>612.11</v>
      </c>
      <c r="R34" s="23">
        <f t="shared" si="68"/>
        <v>8.182870369637385E-3</v>
      </c>
      <c r="S34" s="8" t="str">
        <f t="shared" si="69"/>
        <v>45  Sc ( ISTD )  [ He ] :  ISTD Recovery Percent value = 191.39 is outside the allowed range [80.00, 120.00]103  Rh ( ISTD )  [ He ] :  ISTD Recovery Percent value = 202.01 is outside the allowed range [80.00, 120.00]</v>
      </c>
      <c r="T34" s="8" t="b">
        <f t="shared" si="70"/>
        <v>0</v>
      </c>
      <c r="U34" s="8" t="str">
        <f t="shared" si="71"/>
        <v>008CALS.d</v>
      </c>
      <c r="V34" s="11">
        <f t="shared" si="72"/>
        <v>45246.488368055558</v>
      </c>
      <c r="W34" s="8" t="str">
        <f t="shared" si="73"/>
        <v>CalStd</v>
      </c>
      <c r="X34" s="8">
        <f t="shared" si="74"/>
        <v>5</v>
      </c>
      <c r="Y34" s="8" t="str">
        <f t="shared" si="75"/>
        <v>10 ppb m16 + Al</v>
      </c>
      <c r="Z34" s="8">
        <f t="shared" si="76"/>
        <v>98558.31</v>
      </c>
      <c r="AA34" s="8">
        <f t="shared" si="77"/>
        <v>2.5</v>
      </c>
      <c r="AB34" s="8">
        <f>'Calibration Std'!H$4</f>
        <v>10</v>
      </c>
      <c r="AN34" t="s">
        <v>279</v>
      </c>
      <c r="AO34" s="17">
        <v>77572343433614.766</v>
      </c>
      <c r="AP34" s="17">
        <v>24986788081.407452</v>
      </c>
      <c r="AQ34" t="s">
        <v>284</v>
      </c>
      <c r="AT34" s="23">
        <f t="shared" ref="AT34:BA34" si="85">AT18</f>
        <v>6.3530092593282461E-2</v>
      </c>
      <c r="AU34" s="11" t="str">
        <f t="shared" si="85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AV34" s="11" t="b">
        <f t="shared" si="85"/>
        <v>0</v>
      </c>
      <c r="AW34" s="11" t="str">
        <f t="shared" si="85"/>
        <v>038SMPL.d</v>
      </c>
      <c r="AX34" s="11">
        <f t="shared" si="85"/>
        <v>45246.543715277781</v>
      </c>
      <c r="AY34" s="11" t="str">
        <f t="shared" si="85"/>
        <v>Sample</v>
      </c>
      <c r="AZ34" s="11"/>
      <c r="BA34" s="11" t="str">
        <f t="shared" si="85"/>
        <v xml:space="preserve">blk </v>
      </c>
      <c r="BB34" s="17">
        <f t="shared" si="81"/>
        <v>-57699.337416699607</v>
      </c>
      <c r="BC34" s="11"/>
      <c r="BD34" s="17">
        <f t="shared" si="84"/>
        <v>-69421.053592311015</v>
      </c>
      <c r="BE34" s="17">
        <f t="shared" si="82"/>
        <v>-83305.264310773215</v>
      </c>
      <c r="BF34" s="17">
        <f t="shared" si="82"/>
        <v>-55536.842873848815</v>
      </c>
      <c r="BG34" s="17">
        <f t="shared" si="82"/>
        <v>-76363.158951542122</v>
      </c>
      <c r="BH34" s="17">
        <f t="shared" si="82"/>
        <v>-62478.948233079915</v>
      </c>
      <c r="BI34" s="17">
        <f t="shared" si="82"/>
        <v>35314.773448203079</v>
      </c>
      <c r="BJ34" s="17">
        <f t="shared" si="82"/>
        <v>-50.870408357090248</v>
      </c>
      <c r="BK34" s="17">
        <f t="shared" si="82"/>
        <v>96018.637577242887</v>
      </c>
      <c r="BL34" s="17">
        <f t="shared" si="82"/>
        <v>-41048.385503339043</v>
      </c>
      <c r="BM34" s="17">
        <f t="shared" si="82"/>
        <v>-104735.82704051409</v>
      </c>
      <c r="BN34" s="17">
        <f t="shared" si="82"/>
        <v>1208.4933040951437</v>
      </c>
      <c r="BO34" s="17">
        <f t="shared" si="82"/>
        <v>-140050.60048871717</v>
      </c>
    </row>
    <row r="35" spans="1:67" x14ac:dyDescent="0.25">
      <c r="A35" s="23">
        <f>Alex_ITSD_count_data!A35</f>
        <v>4.9201388887013309E-2</v>
      </c>
      <c r="B35" s="8" t="str">
        <f>Alex_ITSD_count_data!B35</f>
        <v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v>
      </c>
      <c r="C35" s="8" t="b">
        <f>Alex_ITSD_count_data!C35</f>
        <v>0</v>
      </c>
      <c r="D35" s="8" t="str">
        <f>Alex_ITSD_count_data!D35</f>
        <v>033SMPL.d</v>
      </c>
      <c r="E35" s="11">
        <f>Alex_ITSD_count_data!E35</f>
        <v>45246.529386574075</v>
      </c>
      <c r="F35" s="8" t="str">
        <f>Alex_ITSD_count_data!F35</f>
        <v>Sample</v>
      </c>
      <c r="G35" s="8">
        <f>Alex_ITSD_count_data!G35</f>
        <v>0</v>
      </c>
      <c r="H35" s="8" t="str">
        <f>Alex_ITSD_count_data!H35</f>
        <v>20-80-T</v>
      </c>
      <c r="I35" s="17">
        <f>Alex_ITSD_count_data!K35</f>
        <v>241642.72</v>
      </c>
      <c r="J35" s="17">
        <f>Alex_ITSD_count_data!L35</f>
        <v>3.1</v>
      </c>
      <c r="K35" s="47">
        <f t="shared" si="19"/>
        <v>196172.17040150019</v>
      </c>
      <c r="L35" s="17">
        <f t="shared" si="21"/>
        <v>23.65363515902688</v>
      </c>
      <c r="M35" s="17">
        <f>'[1]Alex-Mn_As_data'!J37</f>
        <v>26.536000000000001</v>
      </c>
      <c r="N35" s="8">
        <v>5</v>
      </c>
      <c r="O35" s="17">
        <f t="shared" si="56"/>
        <v>118.2681757951344</v>
      </c>
      <c r="P35" s="17">
        <f t="shared" si="57"/>
        <v>132.68</v>
      </c>
      <c r="Q35" s="2"/>
      <c r="R35" s="23">
        <f t="shared" si="68"/>
        <v>9.3287037016125396E-3</v>
      </c>
      <c r="S35" s="8" t="str">
        <f t="shared" si="69"/>
        <v>45  Sc ( ISTD )  [ He ] :  ISTD Recovery Percent value = 226.75 is outside the allowed range [80.00, 120.00]103  Rh ( ISTD )  [ He ] :  ISTD Recovery Percent value = 246.55 is outside the allowed range [80.00, 120.00]</v>
      </c>
      <c r="T35" s="8" t="b">
        <f t="shared" si="70"/>
        <v>0</v>
      </c>
      <c r="U35" s="8" t="str">
        <f t="shared" si="71"/>
        <v>009CALS.d</v>
      </c>
      <c r="V35" s="11">
        <f t="shared" si="72"/>
        <v>45246.48951388889</v>
      </c>
      <c r="W35" s="8" t="str">
        <f t="shared" si="73"/>
        <v>CalStd</v>
      </c>
      <c r="X35" s="8">
        <f t="shared" si="74"/>
        <v>6</v>
      </c>
      <c r="Y35" s="8" t="str">
        <f t="shared" si="75"/>
        <v>50 ppb m16 + Al</v>
      </c>
      <c r="Z35" s="8">
        <f t="shared" si="76"/>
        <v>493088.85</v>
      </c>
      <c r="AA35" s="8">
        <f t="shared" si="77"/>
        <v>1.9</v>
      </c>
      <c r="AB35" s="8">
        <f>'Calibration Std'!I$4</f>
        <v>50</v>
      </c>
      <c r="AT35" s="23">
        <f t="shared" ref="AT35:BA35" si="86">AT19</f>
        <v>8.0856481479713693E-2</v>
      </c>
      <c r="AU35" s="11" t="str">
        <f t="shared" si="86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AV35" s="11" t="b">
        <f t="shared" si="86"/>
        <v>0</v>
      </c>
      <c r="AW35" s="11" t="str">
        <f t="shared" si="86"/>
        <v>050SMPL.d</v>
      </c>
      <c r="AX35" s="11">
        <f t="shared" si="86"/>
        <v>45246.561041666668</v>
      </c>
      <c r="AY35" s="11" t="str">
        <f t="shared" si="86"/>
        <v>Sample</v>
      </c>
      <c r="AZ35" s="11"/>
      <c r="BA35" s="11" t="str">
        <f t="shared" si="86"/>
        <v xml:space="preserve">blk </v>
      </c>
      <c r="BB35" s="17">
        <f t="shared" si="81"/>
        <v>-72034.952164263406</v>
      </c>
      <c r="BC35" s="11"/>
      <c r="BD35" s="17">
        <f t="shared" si="84"/>
        <v>-69421.053592311015</v>
      </c>
      <c r="BE35" s="17">
        <f t="shared" si="82"/>
        <v>-83305.264310773215</v>
      </c>
      <c r="BF35" s="17">
        <f t="shared" si="82"/>
        <v>-55536.842873848815</v>
      </c>
      <c r="BG35" s="17">
        <f t="shared" si="82"/>
        <v>-76363.158951542122</v>
      </c>
      <c r="BH35" s="17">
        <f t="shared" si="82"/>
        <v>-62478.948233079915</v>
      </c>
      <c r="BI35" s="17">
        <f t="shared" si="82"/>
        <v>35314.773448203079</v>
      </c>
      <c r="BJ35" s="17">
        <f t="shared" si="82"/>
        <v>-50.870408357090248</v>
      </c>
      <c r="BK35" s="17">
        <f t="shared" si="82"/>
        <v>96018.637577242887</v>
      </c>
      <c r="BL35" s="17">
        <f t="shared" si="82"/>
        <v>-41048.385503339043</v>
      </c>
      <c r="BM35" s="17">
        <f t="shared" si="82"/>
        <v>-104735.82704051409</v>
      </c>
      <c r="BN35" s="17">
        <f t="shared" si="82"/>
        <v>1208.4933040951437</v>
      </c>
      <c r="BO35" s="17">
        <f t="shared" si="82"/>
        <v>-140050.60048871717</v>
      </c>
    </row>
    <row r="36" spans="1:67" x14ac:dyDescent="0.25">
      <c r="A36" s="23">
        <f>Alex_ITSD_count_data!A36</f>
        <v>5.0324074072705116E-2</v>
      </c>
      <c r="B36" s="8" t="str">
        <f>Alex_ITSD_count_data!B36</f>
        <v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v>
      </c>
      <c r="C36" s="8" t="b">
        <f>Alex_ITSD_count_data!C36</f>
        <v>0</v>
      </c>
      <c r="D36" s="8" t="str">
        <f>Alex_ITSD_count_data!D36</f>
        <v>034SMPL.d</v>
      </c>
      <c r="E36" s="11">
        <f>Alex_ITSD_count_data!E36</f>
        <v>45246.530509259261</v>
      </c>
      <c r="F36" s="8" t="str">
        <f>Alex_ITSD_count_data!F36</f>
        <v>Sample</v>
      </c>
      <c r="G36" s="8">
        <f>Alex_ITSD_count_data!G36</f>
        <v>0</v>
      </c>
      <c r="H36" s="8" t="str">
        <f>Alex_ITSD_count_data!H36</f>
        <v>20-30-B</v>
      </c>
      <c r="I36" s="17">
        <f>Alex_ITSD_count_data!K36</f>
        <v>941214.41</v>
      </c>
      <c r="J36" s="17">
        <f>Alex_ITSD_count_data!L36</f>
        <v>3</v>
      </c>
      <c r="K36" s="47">
        <f t="shared" si="19"/>
        <v>894706.30610528449</v>
      </c>
      <c r="L36" s="17">
        <f t="shared" si="21"/>
        <v>101.23607405604609</v>
      </c>
      <c r="M36" s="17">
        <f>'[1]Alex-Mn_As_data'!J38</f>
        <v>103.81399999999999</v>
      </c>
      <c r="N36" s="8">
        <v>5</v>
      </c>
      <c r="O36" s="17">
        <f t="shared" si="56"/>
        <v>506.18037028023048</v>
      </c>
      <c r="P36" s="17">
        <f t="shared" si="57"/>
        <v>519.06999999999994</v>
      </c>
      <c r="R36" s="23">
        <f t="shared" si="68"/>
        <v>1.0532407402934041E-2</v>
      </c>
      <c r="S36" s="8" t="str">
        <f t="shared" si="69"/>
        <v>45  Sc ( ISTD )  [ He ] :  ISTD Recovery Percent value = 294.14 is outside the allowed range [80.00, 120.00]103  Rh ( ISTD )  [ He ] :  ISTD Recovery Percent value = 306.45 is outside the allowed range [80.00, 120.00]</v>
      </c>
      <c r="T36" s="8" t="b">
        <f t="shared" si="70"/>
        <v>0</v>
      </c>
      <c r="U36" s="8" t="str">
        <f t="shared" si="71"/>
        <v>010CALS.d</v>
      </c>
      <c r="V36" s="11">
        <f t="shared" si="72"/>
        <v>45246.490717592591</v>
      </c>
      <c r="W36" s="8" t="str">
        <f t="shared" si="73"/>
        <v>CalStd</v>
      </c>
      <c r="X36" s="8">
        <f t="shared" si="74"/>
        <v>7</v>
      </c>
      <c r="Y36" s="8" t="str">
        <f t="shared" si="75"/>
        <v>100 ppb m16 + Al</v>
      </c>
      <c r="Z36" s="8">
        <f t="shared" si="76"/>
        <v>985597.82</v>
      </c>
      <c r="AA36" s="8">
        <f t="shared" si="77"/>
        <v>1.3</v>
      </c>
      <c r="AB36" s="8">
        <f>'Calibration Std'!J$4</f>
        <v>100</v>
      </c>
      <c r="AT36" s="23">
        <f t="shared" ref="AT36:BA36" si="87">AT20</f>
        <v>9.4606481477967463E-2</v>
      </c>
      <c r="AU36" s="11" t="str">
        <f t="shared" si="87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AV36" s="11" t="b">
        <f t="shared" si="87"/>
        <v>0</v>
      </c>
      <c r="AW36" s="11" t="str">
        <f t="shared" si="87"/>
        <v>062SMPL.d</v>
      </c>
      <c r="AX36" s="11">
        <f t="shared" si="87"/>
        <v>45246.574791666666</v>
      </c>
      <c r="AY36" s="11" t="str">
        <f t="shared" si="87"/>
        <v>Sample</v>
      </c>
      <c r="AZ36" s="11"/>
      <c r="BA36" s="11" t="str">
        <f t="shared" si="87"/>
        <v xml:space="preserve">blk </v>
      </c>
      <c r="BB36" s="17">
        <f t="shared" si="81"/>
        <v>-80160.438176546799</v>
      </c>
      <c r="BC36" s="11"/>
      <c r="BD36" s="17">
        <f t="shared" si="84"/>
        <v>-69421.053592311015</v>
      </c>
      <c r="BE36" s="17">
        <f t="shared" si="82"/>
        <v>-83305.264310773215</v>
      </c>
      <c r="BF36" s="17">
        <f t="shared" si="82"/>
        <v>-55536.842873848815</v>
      </c>
      <c r="BG36" s="17">
        <f t="shared" si="82"/>
        <v>-76363.158951542122</v>
      </c>
      <c r="BH36" s="17">
        <f t="shared" si="82"/>
        <v>-62478.948233079915</v>
      </c>
      <c r="BI36" s="17">
        <f t="shared" si="82"/>
        <v>35314.773448203079</v>
      </c>
      <c r="BJ36" s="17">
        <f t="shared" si="82"/>
        <v>-50.870408357090248</v>
      </c>
      <c r="BK36" s="17">
        <f t="shared" si="82"/>
        <v>96018.637577242887</v>
      </c>
      <c r="BL36" s="17">
        <f t="shared" si="82"/>
        <v>-41048.385503339043</v>
      </c>
      <c r="BM36" s="17">
        <f t="shared" si="82"/>
        <v>-104735.82704051409</v>
      </c>
      <c r="BN36" s="17">
        <f t="shared" si="82"/>
        <v>1208.4933040951437</v>
      </c>
      <c r="BO36" s="17">
        <f t="shared" si="82"/>
        <v>-140050.60048871717</v>
      </c>
    </row>
    <row r="37" spans="1:67" x14ac:dyDescent="0.25">
      <c r="A37" s="23">
        <f>Alex_ITSD_count_data!A37</f>
        <v>5.1493055550963618E-2</v>
      </c>
      <c r="B37" s="8" t="str">
        <f>Alex_ITSD_count_data!B37</f>
        <v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v>
      </c>
      <c r="C37" s="8" t="b">
        <f>Alex_ITSD_count_data!C37</f>
        <v>0</v>
      </c>
      <c r="D37" s="8" t="str">
        <f>Alex_ITSD_count_data!D37</f>
        <v>035SMPL.d</v>
      </c>
      <c r="E37" s="11">
        <f>Alex_ITSD_count_data!E37</f>
        <v>45246.531678240739</v>
      </c>
      <c r="F37" s="8" t="str">
        <f>Alex_ITSD_count_data!F37</f>
        <v>Sample</v>
      </c>
      <c r="G37" s="8">
        <f>Alex_ITSD_count_data!G37</f>
        <v>0</v>
      </c>
      <c r="H37" s="8" t="str">
        <f>Alex_ITSD_count_data!H37</f>
        <v>20-70-T</v>
      </c>
      <c r="I37" s="17">
        <f>Alex_ITSD_count_data!K37</f>
        <v>990565.4</v>
      </c>
      <c r="J37" s="17">
        <f>Alex_ITSD_count_data!L37</f>
        <v>1.8</v>
      </c>
      <c r="K37" s="47">
        <f t="shared" si="19"/>
        <v>942976.95606836106</v>
      </c>
      <c r="L37" s="17">
        <f t="shared" si="21"/>
        <v>106.7090945068628</v>
      </c>
      <c r="M37" s="17">
        <f>'[1]Alex-Mn_As_data'!J39</f>
        <v>109.26600000000001</v>
      </c>
      <c r="N37" s="8">
        <v>5</v>
      </c>
      <c r="O37" s="17">
        <f t="shared" si="56"/>
        <v>533.54547253431394</v>
      </c>
      <c r="P37" s="17">
        <f t="shared" si="57"/>
        <v>546.33000000000004</v>
      </c>
      <c r="R37" s="23">
        <f t="shared" si="68"/>
        <v>1.1689814811688848E-2</v>
      </c>
      <c r="S37" s="8" t="str">
        <f t="shared" si="69"/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T37" s="8" t="b">
        <f t="shared" si="70"/>
        <v>0</v>
      </c>
      <c r="U37" s="8" t="str">
        <f t="shared" si="71"/>
        <v>011CALS.d</v>
      </c>
      <c r="V37" s="11">
        <f t="shared" si="72"/>
        <v>45246.491875</v>
      </c>
      <c r="W37" s="8" t="str">
        <f t="shared" si="73"/>
        <v>CalStd</v>
      </c>
      <c r="X37" s="8">
        <f t="shared" si="74"/>
        <v>8</v>
      </c>
      <c r="Y37" s="8" t="str">
        <f t="shared" si="75"/>
        <v>500 ppb m16 + Al</v>
      </c>
      <c r="Z37" s="8">
        <f t="shared" si="76"/>
        <v>4656554.62</v>
      </c>
      <c r="AA37" s="8">
        <f t="shared" si="77"/>
        <v>1.1000000000000001</v>
      </c>
      <c r="AB37" s="8">
        <f>'Calibration Std'!K$4</f>
        <v>500</v>
      </c>
      <c r="AT37" s="23">
        <f t="shared" ref="AT37:BA37" si="88">AT21</f>
        <v>0.11293981481139781</v>
      </c>
      <c r="AU37" s="11" t="str">
        <f t="shared" si="88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AV37" s="11" t="b">
        <f t="shared" si="88"/>
        <v>0</v>
      </c>
      <c r="AW37" s="11" t="str">
        <f t="shared" si="88"/>
        <v>078SMPL.d</v>
      </c>
      <c r="AX37" s="11">
        <f t="shared" si="88"/>
        <v>45246.593124999999</v>
      </c>
      <c r="AY37" s="11" t="str">
        <f t="shared" si="88"/>
        <v>Sample</v>
      </c>
      <c r="AZ37" s="11"/>
      <c r="BA37" s="11" t="str">
        <f t="shared" si="88"/>
        <v>blk</v>
      </c>
      <c r="BB37" s="17">
        <f t="shared" si="81"/>
        <v>-97267.172861832718</v>
      </c>
      <c r="BC37" s="11"/>
      <c r="BD37" s="17">
        <f t="shared" si="84"/>
        <v>-69421.053592311015</v>
      </c>
      <c r="BE37" s="17">
        <f t="shared" si="82"/>
        <v>-83305.264310773215</v>
      </c>
      <c r="BF37" s="17">
        <f t="shared" si="82"/>
        <v>-55536.842873848815</v>
      </c>
      <c r="BG37" s="17">
        <f t="shared" si="82"/>
        <v>-76363.158951542122</v>
      </c>
      <c r="BH37" s="17">
        <f t="shared" si="82"/>
        <v>-62478.948233079915</v>
      </c>
      <c r="BI37" s="17">
        <f t="shared" si="82"/>
        <v>35314.773448203079</v>
      </c>
      <c r="BJ37" s="17">
        <f t="shared" si="82"/>
        <v>-50.870408357090248</v>
      </c>
      <c r="BK37" s="17">
        <f t="shared" si="82"/>
        <v>96018.637577242887</v>
      </c>
      <c r="BL37" s="17">
        <f t="shared" si="82"/>
        <v>-41048.385503339043</v>
      </c>
      <c r="BM37" s="17">
        <f t="shared" si="82"/>
        <v>-104735.82704051409</v>
      </c>
      <c r="BN37" s="17">
        <f t="shared" si="82"/>
        <v>1208.4933040951437</v>
      </c>
      <c r="BO37" s="17">
        <f t="shared" si="82"/>
        <v>-140050.60048871717</v>
      </c>
    </row>
    <row r="38" spans="1:67" x14ac:dyDescent="0.25">
      <c r="A38" s="23">
        <f>Alex_ITSD_count_data!A38</f>
        <v>5.2627314813435078E-2</v>
      </c>
      <c r="B38" s="8" t="str">
        <f>Alex_ITSD_count_data!B38</f>
        <v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v>
      </c>
      <c r="C38" s="8" t="b">
        <f>Alex_ITSD_count_data!C38</f>
        <v>0</v>
      </c>
      <c r="D38" s="8" t="str">
        <f>Alex_ITSD_count_data!D38</f>
        <v>036SMPL.d</v>
      </c>
      <c r="E38" s="11">
        <f>Alex_ITSD_count_data!E38</f>
        <v>45246.532812500001</v>
      </c>
      <c r="F38" s="8" t="str">
        <f>Alex_ITSD_count_data!F38</f>
        <v>Sample</v>
      </c>
      <c r="G38" s="8">
        <f>Alex_ITSD_count_data!G38</f>
        <v>0</v>
      </c>
      <c r="H38" s="8" t="str">
        <f>Alex_ITSD_count_data!H38</f>
        <v>20-60-T</v>
      </c>
      <c r="I38" s="17">
        <f>Alex_ITSD_count_data!K38</f>
        <v>710318.66</v>
      </c>
      <c r="J38" s="17">
        <f>Alex_ITSD_count_data!L38</f>
        <v>2.2999999999999998</v>
      </c>
      <c r="K38" s="47">
        <f t="shared" si="19"/>
        <v>661681.96533360635</v>
      </c>
      <c r="L38" s="17">
        <f t="shared" si="21"/>
        <v>75.629755687221845</v>
      </c>
      <c r="M38" s="17">
        <f>'[1]Alex-Mn_As_data'!J40</f>
        <v>78.308000000000007</v>
      </c>
      <c r="N38" s="8">
        <v>5</v>
      </c>
      <c r="O38" s="17">
        <f t="shared" si="56"/>
        <v>378.14877843610924</v>
      </c>
      <c r="P38" s="17">
        <f t="shared" si="57"/>
        <v>391.54</v>
      </c>
      <c r="R38" s="23">
        <f t="shared" si="68"/>
        <v>1.2847222220443655E-2</v>
      </c>
      <c r="S38" s="8" t="str">
        <f t="shared" si="69"/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T38" s="8" t="b">
        <f t="shared" si="70"/>
        <v>0</v>
      </c>
      <c r="U38" s="8" t="str">
        <f t="shared" si="71"/>
        <v>012CALS.d</v>
      </c>
      <c r="V38" s="11">
        <f t="shared" si="72"/>
        <v>45246.493032407408</v>
      </c>
      <c r="W38" s="8" t="str">
        <f t="shared" si="73"/>
        <v>CalStd</v>
      </c>
      <c r="X38" s="8">
        <f t="shared" si="74"/>
        <v>9</v>
      </c>
      <c r="Y38" s="8" t="str">
        <f t="shared" si="75"/>
        <v>1000 ppb m16 + Al</v>
      </c>
      <c r="Z38" s="8">
        <f t="shared" si="76"/>
        <v>8979786.3200000003</v>
      </c>
      <c r="AA38" s="8">
        <f t="shared" si="77"/>
        <v>2.2000000000000002</v>
      </c>
      <c r="AB38" s="8">
        <f>'Calibration Std'!L$4</f>
        <v>1000</v>
      </c>
      <c r="AT38" s="23">
        <f t="shared" ref="AT38:BA38" si="89">AT22</f>
        <v>0.11753472221607808</v>
      </c>
      <c r="AU38" s="11" t="str">
        <f t="shared" si="89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AV38" s="11" t="b">
        <f t="shared" si="89"/>
        <v>0</v>
      </c>
      <c r="AW38" s="11" t="str">
        <f t="shared" si="89"/>
        <v>082SMPL.d</v>
      </c>
      <c r="AX38" s="11">
        <f t="shared" si="89"/>
        <v>45246.597719907404</v>
      </c>
      <c r="AY38" s="11" t="str">
        <f t="shared" si="89"/>
        <v>Sample</v>
      </c>
      <c r="AZ38" s="11"/>
      <c r="BA38" s="11" t="str">
        <f t="shared" si="89"/>
        <v>blk</v>
      </c>
      <c r="BB38" s="17">
        <f t="shared" si="81"/>
        <v>-100756.57796665007</v>
      </c>
      <c r="BC38" s="11"/>
      <c r="BD38" s="17">
        <f t="shared" si="84"/>
        <v>-69421.053592311015</v>
      </c>
      <c r="BE38" s="17">
        <f t="shared" si="82"/>
        <v>-83305.264310773215</v>
      </c>
      <c r="BF38" s="17">
        <f t="shared" si="82"/>
        <v>-55536.842873848815</v>
      </c>
      <c r="BG38" s="17">
        <f t="shared" si="82"/>
        <v>-76363.158951542122</v>
      </c>
      <c r="BH38" s="17">
        <f t="shared" si="82"/>
        <v>-62478.948233079915</v>
      </c>
      <c r="BI38" s="17">
        <f t="shared" si="82"/>
        <v>35314.773448203079</v>
      </c>
      <c r="BJ38" s="17">
        <f t="shared" si="82"/>
        <v>-50.870408357090248</v>
      </c>
      <c r="BK38" s="17">
        <f t="shared" si="82"/>
        <v>96018.637577242887</v>
      </c>
      <c r="BL38" s="17">
        <f t="shared" si="82"/>
        <v>-41048.385503339043</v>
      </c>
      <c r="BM38" s="17">
        <f t="shared" si="82"/>
        <v>-104735.82704051409</v>
      </c>
      <c r="BN38" s="17">
        <f t="shared" si="82"/>
        <v>1208.4933040951437</v>
      </c>
      <c r="BO38" s="17">
        <f t="shared" si="82"/>
        <v>-140050.60048871717</v>
      </c>
    </row>
    <row r="39" spans="1:67" x14ac:dyDescent="0.25">
      <c r="A39" s="23">
        <f>Alex_ITSD_count_data!A39</f>
        <v>6.2395833330811001E-2</v>
      </c>
      <c r="B39" s="8" t="str">
        <f>Alex_ITSD_count_data!B39</f>
        <v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v>
      </c>
      <c r="C39" s="8" t="b">
        <f>Alex_ITSD_count_data!C39</f>
        <v>0</v>
      </c>
      <c r="D39" s="8" t="str">
        <f>Alex_ITSD_count_data!D39</f>
        <v>037SMPL.d</v>
      </c>
      <c r="E39" s="11">
        <f>Alex_ITSD_count_data!E39</f>
        <v>45246.542581018519</v>
      </c>
      <c r="F39" s="8" t="str">
        <f>Alex_ITSD_count_data!F39</f>
        <v>Sample</v>
      </c>
      <c r="G39" s="8">
        <f>Alex_ITSD_count_data!G39</f>
        <v>0</v>
      </c>
      <c r="H39" s="8" t="str">
        <f>Alex_ITSD_count_data!H39</f>
        <v>20-90-B</v>
      </c>
      <c r="I39" s="17">
        <f>Alex_ITSD_count_data!K39</f>
        <v>355340.85</v>
      </c>
      <c r="J39" s="17">
        <f>Alex_ITSD_count_data!L39</f>
        <v>2.8</v>
      </c>
      <c r="K39" s="47">
        <f t="shared" si="19"/>
        <v>297676.36331805511</v>
      </c>
      <c r="L39" s="17">
        <f t="shared" si="21"/>
        <v>36.262747776820696</v>
      </c>
      <c r="M39" s="17">
        <f>'[1]Alex-Mn_As_data'!J41</f>
        <v>39.095999999999997</v>
      </c>
      <c r="N39" s="8">
        <v>5</v>
      </c>
      <c r="O39" s="17">
        <f t="shared" si="56"/>
        <v>181.31373888410349</v>
      </c>
      <c r="P39" s="17">
        <f t="shared" si="57"/>
        <v>195.48</v>
      </c>
      <c r="R39"/>
      <c r="V39"/>
      <c r="AT39" s="23">
        <f t="shared" ref="AT39:BA39" si="90">AT23</f>
        <v>0.11868055555532919</v>
      </c>
      <c r="AU39" s="11" t="str">
        <f t="shared" si="90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AV39" s="11" t="b">
        <f t="shared" si="90"/>
        <v>0</v>
      </c>
      <c r="AW39" s="11" t="str">
        <f t="shared" si="90"/>
        <v>083SMPL.d</v>
      </c>
      <c r="AX39" s="11">
        <f t="shared" si="90"/>
        <v>45246.598865740743</v>
      </c>
      <c r="AY39" s="11" t="str">
        <f t="shared" si="90"/>
        <v>Sample</v>
      </c>
      <c r="AZ39" s="11"/>
      <c r="BA39" s="11" t="str">
        <f t="shared" si="90"/>
        <v>blk</v>
      </c>
      <c r="BB39" s="17">
        <f t="shared" si="81"/>
        <v>-105323.78513994388</v>
      </c>
      <c r="BC39" s="11"/>
      <c r="BD39" s="17">
        <f t="shared" si="84"/>
        <v>-69421.053592311015</v>
      </c>
      <c r="BE39" s="17">
        <f t="shared" si="82"/>
        <v>-83305.264310773215</v>
      </c>
      <c r="BF39" s="17">
        <f t="shared" si="82"/>
        <v>-55536.842873848815</v>
      </c>
      <c r="BG39" s="17">
        <f t="shared" si="82"/>
        <v>-76363.158951542122</v>
      </c>
      <c r="BH39" s="17">
        <f t="shared" si="82"/>
        <v>-62478.948233079915</v>
      </c>
      <c r="BI39" s="17">
        <f t="shared" si="82"/>
        <v>35314.773448203079</v>
      </c>
      <c r="BJ39" s="17">
        <f t="shared" si="82"/>
        <v>-50.870408357090248</v>
      </c>
      <c r="BK39" s="17">
        <f t="shared" si="82"/>
        <v>96018.637577242887</v>
      </c>
      <c r="BL39" s="17">
        <f t="shared" si="82"/>
        <v>-41048.385503339043</v>
      </c>
      <c r="BM39" s="17">
        <f t="shared" si="82"/>
        <v>-104735.82704051409</v>
      </c>
      <c r="BN39" s="17">
        <f t="shared" si="82"/>
        <v>1208.4933040951437</v>
      </c>
      <c r="BO39" s="17">
        <f t="shared" si="82"/>
        <v>-140050.60048871717</v>
      </c>
    </row>
    <row r="40" spans="1:67" x14ac:dyDescent="0.25">
      <c r="A40" s="23">
        <f>Alex_ITSD_count_data!A40</f>
        <v>6.3530092593282461E-2</v>
      </c>
      <c r="B40" s="8" t="str">
        <f>Alex_ITSD_count_data!B40</f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C40" s="8" t="b">
        <f>Alex_ITSD_count_data!C40</f>
        <v>0</v>
      </c>
      <c r="D40" s="8" t="str">
        <f>Alex_ITSD_count_data!D40</f>
        <v>038SMPL.d</v>
      </c>
      <c r="E40" s="11">
        <f>Alex_ITSD_count_data!E40</f>
        <v>45246.543715277781</v>
      </c>
      <c r="F40" s="8" t="str">
        <f>Alex_ITSD_count_data!F40</f>
        <v>Sample</v>
      </c>
      <c r="G40" s="8">
        <f>Alex_ITSD_count_data!G40</f>
        <v>0</v>
      </c>
      <c r="H40" s="40" t="str">
        <f>Alex_ITSD_count_data!H40</f>
        <v xml:space="preserve">blk </v>
      </c>
      <c r="I40" s="43">
        <f>Alex_ITSD_count_data!K40</f>
        <v>1013.4</v>
      </c>
      <c r="J40" s="43">
        <f>Alex_ITSD_count_data!L40</f>
        <v>10.6</v>
      </c>
      <c r="K40" s="48">
        <f t="shared" si="19"/>
        <v>-57699.337416699607</v>
      </c>
      <c r="L40" s="43">
        <f t="shared" si="21"/>
        <v>-3.0321352667764923</v>
      </c>
      <c r="M40" s="43">
        <v>0</v>
      </c>
      <c r="N40" s="8"/>
      <c r="O40" s="17"/>
      <c r="P40" s="17"/>
      <c r="R40"/>
      <c r="V40"/>
      <c r="AT40" s="23">
        <f t="shared" ref="AT40:BA40" si="91">AT24</f>
        <v>0.119803240741021</v>
      </c>
      <c r="AU40" s="11" t="str">
        <f t="shared" si="91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AV40" s="11" t="b">
        <f t="shared" si="91"/>
        <v>0</v>
      </c>
      <c r="AW40" s="11" t="str">
        <f t="shared" si="91"/>
        <v>084SMPL.d</v>
      </c>
      <c r="AX40" s="11">
        <f t="shared" si="91"/>
        <v>45246.599988425929</v>
      </c>
      <c r="AY40" s="11" t="str">
        <f t="shared" si="91"/>
        <v>Sample</v>
      </c>
      <c r="AZ40" s="11"/>
      <c r="BA40" s="11" t="str">
        <f t="shared" si="91"/>
        <v>blk</v>
      </c>
      <c r="BB40" s="17">
        <f t="shared" si="81"/>
        <v>-108068.47943615959</v>
      </c>
      <c r="BC40" s="11"/>
      <c r="BD40" s="17">
        <f t="shared" si="84"/>
        <v>-69421.053592311015</v>
      </c>
      <c r="BE40" s="17">
        <f t="shared" si="82"/>
        <v>-83305.264310773215</v>
      </c>
      <c r="BF40" s="17">
        <f t="shared" si="82"/>
        <v>-55536.842873848815</v>
      </c>
      <c r="BG40" s="17">
        <f t="shared" si="82"/>
        <v>-76363.158951542122</v>
      </c>
      <c r="BH40" s="17">
        <f t="shared" si="82"/>
        <v>-62478.948233079915</v>
      </c>
      <c r="BI40" s="17">
        <f t="shared" si="82"/>
        <v>35314.773448203079</v>
      </c>
      <c r="BJ40" s="17">
        <f t="shared" si="82"/>
        <v>-50.870408357090248</v>
      </c>
      <c r="BK40" s="17">
        <f t="shared" si="82"/>
        <v>96018.637577242887</v>
      </c>
      <c r="BL40" s="17">
        <f t="shared" si="82"/>
        <v>-41048.385503339043</v>
      </c>
      <c r="BM40" s="17">
        <f t="shared" si="82"/>
        <v>-104735.82704051409</v>
      </c>
      <c r="BN40" s="17">
        <f t="shared" si="82"/>
        <v>1208.4933040951437</v>
      </c>
      <c r="BO40" s="17">
        <f t="shared" si="82"/>
        <v>-140050.60048871717</v>
      </c>
    </row>
    <row r="41" spans="1:67" x14ac:dyDescent="0.25">
      <c r="A41" s="23">
        <f>Alex_ITSD_count_data!A41</f>
        <v>6.4664351848477963E-2</v>
      </c>
      <c r="B41" s="8" t="str">
        <f>Alex_ITSD_count_data!B41</f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C41" s="8" t="b">
        <f>Alex_ITSD_count_data!C41</f>
        <v>0</v>
      </c>
      <c r="D41" s="8" t="str">
        <f>Alex_ITSD_count_data!D41</f>
        <v>039SMPL.d</v>
      </c>
      <c r="E41" s="11">
        <f>Alex_ITSD_count_data!E41</f>
        <v>45246.544849537036</v>
      </c>
      <c r="F41" s="8" t="str">
        <f>Alex_ITSD_count_data!F41</f>
        <v>Sample</v>
      </c>
      <c r="G41" s="8">
        <f>Alex_ITSD_count_data!G41</f>
        <v>0</v>
      </c>
      <c r="H41" s="8" t="str">
        <f>Alex_ITSD_count_data!H41</f>
        <v>100 ppb check</v>
      </c>
      <c r="I41" s="17">
        <f>Alex_ITSD_count_data!K41</f>
        <v>997681.26</v>
      </c>
      <c r="J41" s="17">
        <f>Alex_ITSD_count_data!L41</f>
        <v>1.8</v>
      </c>
      <c r="K41" s="47">
        <f t="shared" si="19"/>
        <v>937920.27185526991</v>
      </c>
      <c r="L41" s="17">
        <f t="shared" si="21"/>
        <v>107.49824275505698</v>
      </c>
      <c r="M41" s="17">
        <f>'[1]Alex-Mn_As_data'!J43</f>
        <v>110.05200000000001</v>
      </c>
      <c r="N41" s="8"/>
      <c r="O41" s="17"/>
      <c r="P41" s="17"/>
      <c r="R41"/>
      <c r="V41"/>
    </row>
    <row r="42" spans="1:67" x14ac:dyDescent="0.25">
      <c r="A42" s="23">
        <f>Alex_ITSD_count_data!A42</f>
        <v>6.5787037034169771E-2</v>
      </c>
      <c r="B42" s="8" t="str">
        <f>Alex_ITSD_count_data!B42</f>
        <v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v>
      </c>
      <c r="C42" s="8" t="b">
        <f>Alex_ITSD_count_data!C42</f>
        <v>0</v>
      </c>
      <c r="D42" s="8" t="str">
        <f>Alex_ITSD_count_data!D42</f>
        <v>040SMPL.d</v>
      </c>
      <c r="E42" s="11">
        <f>Alex_ITSD_count_data!E42</f>
        <v>45246.545972222222</v>
      </c>
      <c r="F42" s="8" t="str">
        <f>Alex_ITSD_count_data!F42</f>
        <v>Sample</v>
      </c>
      <c r="G42" s="8">
        <f>Alex_ITSD_count_data!G42</f>
        <v>0</v>
      </c>
      <c r="H42" s="8" t="str">
        <f>Alex_ITSD_count_data!H42</f>
        <v>0-50-B</v>
      </c>
      <c r="I42" s="17">
        <f>Alex_ITSD_count_data!K42</f>
        <v>11448.25</v>
      </c>
      <c r="J42" s="17">
        <f>Alex_ITSD_count_data!L42</f>
        <v>4.5</v>
      </c>
      <c r="K42" s="47">
        <f t="shared" si="19"/>
        <v>-49350.292440945836</v>
      </c>
      <c r="L42" s="17">
        <f t="shared" si="21"/>
        <v>-1.8749113194715907</v>
      </c>
      <c r="M42" s="17">
        <f>'[1]Alex-Mn_As_data'!J44</f>
        <v>1.1080000000000001</v>
      </c>
      <c r="N42" s="8">
        <v>5</v>
      </c>
      <c r="O42" s="17" t="str">
        <f t="shared" si="56"/>
        <v>NA</v>
      </c>
      <c r="P42" s="17" t="str">
        <f t="shared" si="57"/>
        <v>NA</v>
      </c>
      <c r="Q42" s="2" t="s">
        <v>322</v>
      </c>
      <c r="R42" s="3"/>
      <c r="S42" s="50" t="s">
        <v>323</v>
      </c>
      <c r="T42" s="51" t="s">
        <v>324</v>
      </c>
      <c r="V42"/>
    </row>
    <row r="43" spans="1:67" x14ac:dyDescent="0.25">
      <c r="A43" s="23">
        <f>Alex_ITSD_count_data!A43</f>
        <v>6.6979166665987577E-2</v>
      </c>
      <c r="B43" s="8" t="str">
        <f>Alex_ITSD_count_data!B43</f>
        <v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v>
      </c>
      <c r="C43" s="8" t="b">
        <f>Alex_ITSD_count_data!C43</f>
        <v>0</v>
      </c>
      <c r="D43" s="8" t="str">
        <f>Alex_ITSD_count_data!D43</f>
        <v>041SMPL.d</v>
      </c>
      <c r="E43" s="11">
        <f>Alex_ITSD_count_data!E43</f>
        <v>45246.547164351854</v>
      </c>
      <c r="F43" s="8" t="str">
        <f>Alex_ITSD_count_data!F43</f>
        <v>Sample</v>
      </c>
      <c r="G43" s="8">
        <f>Alex_ITSD_count_data!G43</f>
        <v>0</v>
      </c>
      <c r="H43" s="8" t="str">
        <f>Alex_ITSD_count_data!H43</f>
        <v>0-90-B</v>
      </c>
      <c r="I43" s="17">
        <f>Alex_ITSD_count_data!K43</f>
        <v>1303082.0900000001</v>
      </c>
      <c r="J43" s="17">
        <f>Alex_ITSD_count_data!L43</f>
        <v>1.6</v>
      </c>
      <c r="K43" s="47">
        <f t="shared" si="19"/>
        <v>1241181.8146450527</v>
      </c>
      <c r="L43" s="17">
        <f t="shared" si="21"/>
        <v>141.36716794351616</v>
      </c>
      <c r="M43" s="17">
        <f>'[1]Alex-Mn_As_data'!J45</f>
        <v>143.78800000000001</v>
      </c>
      <c r="N43" s="8">
        <v>5</v>
      </c>
      <c r="O43" s="17">
        <f t="shared" si="56"/>
        <v>706.83583971758082</v>
      </c>
      <c r="P43" s="17">
        <f t="shared" si="57"/>
        <v>718.94</v>
      </c>
      <c r="R43" s="41" t="s">
        <v>15</v>
      </c>
      <c r="S43" s="8">
        <f xml:space="preserve"> AVERAGE($Z$15:$Z$24)+3*STDEV($Z$15:$Z$24)</f>
        <v>12008.732643559439</v>
      </c>
      <c r="T43" s="17">
        <f xml:space="preserve"> AVERAGE($Z$15:$Z$24)+10*STDEV($Z$15:$Z$24)</f>
        <v>31234.052145198129</v>
      </c>
    </row>
    <row r="44" spans="1:67" x14ac:dyDescent="0.25">
      <c r="A44" s="23">
        <f>Alex_ITSD_count_data!A44</f>
        <v>6.8229166667151731E-2</v>
      </c>
      <c r="B44" s="8" t="str">
        <f>Alex_ITSD_count_data!B44</f>
        <v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v>
      </c>
      <c r="C44" s="8" t="b">
        <f>Alex_ITSD_count_data!C44</f>
        <v>0</v>
      </c>
      <c r="D44" s="8" t="str">
        <f>Alex_ITSD_count_data!D44</f>
        <v>042SMPL.d</v>
      </c>
      <c r="E44" s="11">
        <f>Alex_ITSD_count_data!E44</f>
        <v>45246.548414351855</v>
      </c>
      <c r="F44" s="8" t="str">
        <f>Alex_ITSD_count_data!F44</f>
        <v>Sample</v>
      </c>
      <c r="G44" s="8">
        <f>Alex_ITSD_count_data!G44</f>
        <v>0</v>
      </c>
      <c r="H44" s="8" t="str">
        <f>Alex_ITSD_count_data!H44</f>
        <v>20-40-T</v>
      </c>
      <c r="I44" s="17">
        <f>Alex_ITSD_count_data!K44</f>
        <v>181331.42</v>
      </c>
      <c r="J44" s="17">
        <f>Alex_ITSD_count_data!L44</f>
        <v>2.2000000000000002</v>
      </c>
      <c r="K44" s="47">
        <f t="shared" si="19"/>
        <v>118275.92955180426</v>
      </c>
      <c r="L44" s="17">
        <f t="shared" si="21"/>
        <v>16.965117293116961</v>
      </c>
      <c r="M44" s="17">
        <f>'[1]Alex-Mn_As_data'!J46</f>
        <v>19.873999999999999</v>
      </c>
      <c r="N44" s="8">
        <v>5</v>
      </c>
      <c r="O44" s="17">
        <f t="shared" si="56"/>
        <v>84.825586465584806</v>
      </c>
      <c r="P44" s="17">
        <f t="shared" si="57"/>
        <v>99.36999999999999</v>
      </c>
      <c r="R44" s="41" t="s">
        <v>326</v>
      </c>
      <c r="S44" s="17">
        <f xml:space="preserve"> AVERAGE($L$15,$L$17,$L$28,$L$40,$L$52,$L$64,$L$80,$L$84:$L$86)+3*STDEV($L$15,$L$17,$L$28,$L$40,$L$52,$L$64,$L$80,$L$84:$L$86)</f>
        <v>-1.8127538435926138</v>
      </c>
      <c r="T44" s="17">
        <f xml:space="preserve"> AVERAGE($L$15,$L$17,$L$28,$L$40,$L$52,$L$64,$L$80,$L$84:$L$86)+10*STDEV($L$15,$L$17,$L$28,$L$40,$L$52,$L$64,$L$80,$L$84:$L$86)</f>
        <v>0.31933239836431149</v>
      </c>
    </row>
    <row r="45" spans="1:67" x14ac:dyDescent="0.25">
      <c r="A45" s="23">
        <f>Alex_ITSD_count_data!A45</f>
        <v>6.9363425922347233E-2</v>
      </c>
      <c r="B45" s="8" t="str">
        <f>Alex_ITSD_count_data!B45</f>
        <v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v>
      </c>
      <c r="C45" s="8" t="b">
        <f>Alex_ITSD_count_data!C45</f>
        <v>0</v>
      </c>
      <c r="D45" s="8" t="str">
        <f>Alex_ITSD_count_data!D45</f>
        <v>043SMPL.d</v>
      </c>
      <c r="E45" s="11">
        <f>Alex_ITSD_count_data!E45</f>
        <v>45246.54954861111</v>
      </c>
      <c r="F45" s="8" t="str">
        <f>Alex_ITSD_count_data!F45</f>
        <v>Sample</v>
      </c>
      <c r="G45" s="8">
        <f>Alex_ITSD_count_data!G45</f>
        <v>0</v>
      </c>
      <c r="H45" s="8" t="str">
        <f>Alex_ITSD_count_data!H45</f>
        <v>20-20-T</v>
      </c>
      <c r="I45" s="17">
        <f>Alex_ITSD_count_data!K45</f>
        <v>2006588.36</v>
      </c>
      <c r="J45" s="17">
        <f>Alex_ITSD_count_data!L45</f>
        <v>3.9</v>
      </c>
      <c r="K45" s="47">
        <f t="shared" si="19"/>
        <v>1942484.6188237739</v>
      </c>
      <c r="L45" s="17">
        <f t="shared" si="21"/>
        <v>219.38595141650791</v>
      </c>
      <c r="M45" s="17">
        <f>'[1]Alex-Mn_As_data'!J47</f>
        <v>221.5</v>
      </c>
      <c r="N45" s="8">
        <v>5</v>
      </c>
      <c r="O45" s="17">
        <f t="shared" si="56"/>
        <v>1096.9297570825395</v>
      </c>
      <c r="P45" s="17">
        <f t="shared" si="57"/>
        <v>1107.5</v>
      </c>
      <c r="R45" s="41" t="s">
        <v>328</v>
      </c>
      <c r="S45" s="17">
        <f xml:space="preserve"> AVERAGE($M$15,$M$17,$M$28,$M$40,$M$52,$M$64,$M$80,$M$84:$M$86)+3*STDEV($M$15,$M$17,$M$28,$M$40,$M$52,$M$64,$M$80,$M$84:$M$86)</f>
        <v>1.1317206601830256</v>
      </c>
      <c r="T45" s="17">
        <f xml:space="preserve"> AVERAGE($M$15,$M$17,$M$28,$M$40,$M$52,$M$64,$M$80,$M$84:$M$86)+10*STDEV($M$15,$M$17,$M$28,$M$40,$M$52,$M$64,$M$80,$M$84:$M$86)</f>
        <v>3.1279355339434187</v>
      </c>
    </row>
    <row r="46" spans="1:67" x14ac:dyDescent="0.25">
      <c r="A46" s="23">
        <f>Alex_ITSD_count_data!A46</f>
        <v>7.0555555554165039E-2</v>
      </c>
      <c r="B46" s="8" t="str">
        <f>Alex_ITSD_count_data!B46</f>
        <v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v>
      </c>
      <c r="C46" s="8" t="b">
        <f>Alex_ITSD_count_data!C46</f>
        <v>0</v>
      </c>
      <c r="D46" s="8" t="str">
        <f>Alex_ITSD_count_data!D46</f>
        <v>044SMPL.d</v>
      </c>
      <c r="E46" s="11">
        <f>Alex_ITSD_count_data!E46</f>
        <v>45246.550740740742</v>
      </c>
      <c r="F46" s="8" t="str">
        <f>Alex_ITSD_count_data!F46</f>
        <v>Sample</v>
      </c>
      <c r="G46" s="8">
        <f>Alex_ITSD_count_data!G46</f>
        <v>0</v>
      </c>
      <c r="H46" s="8" t="str">
        <f>Alex_ITSD_count_data!H46</f>
        <v>20-100-B</v>
      </c>
      <c r="I46" s="17">
        <f>Alex_ITSD_count_data!K46</f>
        <v>633111.06000000006</v>
      </c>
      <c r="J46" s="17">
        <f>Alex_ITSD_count_data!L46</f>
        <v>3.3</v>
      </c>
      <c r="K46" s="47">
        <f t="shared" si="19"/>
        <v>567905.5859097722</v>
      </c>
      <c r="L46" s="17">
        <f t="shared" si="21"/>
        <v>67.06743963726062</v>
      </c>
      <c r="M46" s="17">
        <f>'[1]Alex-Mn_As_data'!J48</f>
        <v>69.78</v>
      </c>
      <c r="N46" s="8">
        <v>5</v>
      </c>
      <c r="O46" s="17">
        <f t="shared" si="56"/>
        <v>335.33719818630311</v>
      </c>
      <c r="P46" s="17">
        <f t="shared" si="57"/>
        <v>348.9</v>
      </c>
    </row>
    <row r="47" spans="1:67" x14ac:dyDescent="0.25">
      <c r="A47" s="23">
        <f>Alex_ITSD_count_data!A47</f>
        <v>7.1689814809360541E-2</v>
      </c>
      <c r="B47" s="8" t="str">
        <f>Alex_ITSD_count_data!B47</f>
        <v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v>
      </c>
      <c r="C47" s="8" t="b">
        <f>Alex_ITSD_count_data!C47</f>
        <v>0</v>
      </c>
      <c r="D47" s="8" t="str">
        <f>Alex_ITSD_count_data!D47</f>
        <v>045SMPL.d</v>
      </c>
      <c r="E47" s="11">
        <f>Alex_ITSD_count_data!E47</f>
        <v>45246.551874999997</v>
      </c>
      <c r="F47" s="8" t="str">
        <f>Alex_ITSD_count_data!F47</f>
        <v>Sample</v>
      </c>
      <c r="G47" s="8">
        <f>Alex_ITSD_count_data!G47</f>
        <v>0</v>
      </c>
      <c r="H47" s="8" t="str">
        <f>Alex_ITSD_count_data!H47</f>
        <v>20-10-B</v>
      </c>
      <c r="I47" s="17">
        <f>Alex_ITSD_count_data!K47</f>
        <v>382672.59</v>
      </c>
      <c r="J47" s="17">
        <f>Alex_ITSD_count_data!L47</f>
        <v>1.4</v>
      </c>
      <c r="K47" s="47">
        <f t="shared" si="19"/>
        <v>316418.86518174165</v>
      </c>
      <c r="L47" s="17">
        <f t="shared" si="21"/>
        <v>39.293835339125025</v>
      </c>
      <c r="M47" s="17">
        <f>'[1]Alex-Mn_As_data'!J49</f>
        <v>42.115000000000002</v>
      </c>
      <c r="N47" s="8">
        <v>5</v>
      </c>
      <c r="O47" s="17">
        <f t="shared" si="56"/>
        <v>196.46917669562512</v>
      </c>
      <c r="P47" s="17">
        <f t="shared" si="57"/>
        <v>210.57500000000002</v>
      </c>
    </row>
    <row r="48" spans="1:67" x14ac:dyDescent="0.25">
      <c r="A48" s="23">
        <f>Alex_ITSD_count_data!A48</f>
        <v>7.2789351848769002E-2</v>
      </c>
      <c r="B48" s="8" t="str">
        <f>Alex_ITSD_count_data!B48</f>
        <v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v>
      </c>
      <c r="C48" s="8" t="b">
        <f>Alex_ITSD_count_data!C48</f>
        <v>0</v>
      </c>
      <c r="D48" s="8" t="str">
        <f>Alex_ITSD_count_data!D48</f>
        <v>046SMPL.d</v>
      </c>
      <c r="E48" s="11">
        <f>Alex_ITSD_count_data!E48</f>
        <v>45246.552974537037</v>
      </c>
      <c r="F48" s="8" t="str">
        <f>Alex_ITSD_count_data!F48</f>
        <v>Sample</v>
      </c>
      <c r="G48" s="8">
        <f>Alex_ITSD_count_data!G48</f>
        <v>0</v>
      </c>
      <c r="H48" s="8" t="str">
        <f>Alex_ITSD_count_data!H48</f>
        <v>20-30-T</v>
      </c>
      <c r="I48" s="17">
        <f>Alex_ITSD_count_data!K48</f>
        <v>2653753.87</v>
      </c>
      <c r="J48" s="17">
        <f>Alex_ITSD_count_data!L48</f>
        <v>1.7</v>
      </c>
      <c r="K48" s="47">
        <f t="shared" si="19"/>
        <v>2586483.98375588</v>
      </c>
      <c r="L48" s="17">
        <f t="shared" si="21"/>
        <v>291.15654956039975</v>
      </c>
      <c r="M48" s="17">
        <f>'[1]Alex-Mn_As_data'!J50</f>
        <v>292.98899999999998</v>
      </c>
      <c r="N48" s="8">
        <v>5</v>
      </c>
      <c r="O48" s="17">
        <f t="shared" si="56"/>
        <v>1455.7827478019988</v>
      </c>
      <c r="P48" s="17">
        <f t="shared" si="57"/>
        <v>1464.9449999999999</v>
      </c>
    </row>
    <row r="49" spans="1:28" x14ac:dyDescent="0.25">
      <c r="A49" s="23">
        <f>Alex_ITSD_count_data!A49</f>
        <v>7.3923611111240461E-2</v>
      </c>
      <c r="B49" s="8" t="str">
        <f>Alex_ITSD_count_data!B49</f>
        <v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v>
      </c>
      <c r="C49" s="8" t="b">
        <f>Alex_ITSD_count_data!C49</f>
        <v>0</v>
      </c>
      <c r="D49" s="8" t="str">
        <f>Alex_ITSD_count_data!D49</f>
        <v>047SMPL.d</v>
      </c>
      <c r="E49" s="11">
        <f>Alex_ITSD_count_data!E49</f>
        <v>45246.554108796299</v>
      </c>
      <c r="F49" s="8" t="str">
        <f>Alex_ITSD_count_data!F49</f>
        <v>Sample</v>
      </c>
      <c r="G49" s="8">
        <f>Alex_ITSD_count_data!G49</f>
        <v>0</v>
      </c>
      <c r="H49" s="8" t="str">
        <f>Alex_ITSD_count_data!H49</f>
        <v>10-0-T</v>
      </c>
      <c r="I49" s="17">
        <f>Alex_ITSD_count_data!K49</f>
        <v>6872950.1100000003</v>
      </c>
      <c r="J49" s="17">
        <f>Alex_ITSD_count_data!L49</f>
        <v>3.6</v>
      </c>
      <c r="K49" s="47">
        <f t="shared" si="19"/>
        <v>6804631.9730211254</v>
      </c>
      <c r="L49" s="17">
        <f t="shared" si="21"/>
        <v>759.06504151829085</v>
      </c>
      <c r="M49" s="17">
        <f>'[1]Alex-Mn_As_data'!J51</f>
        <v>759.05899999999997</v>
      </c>
      <c r="N49" s="8">
        <v>5</v>
      </c>
      <c r="O49" s="17">
        <f t="shared" si="56"/>
        <v>3795.3252075914543</v>
      </c>
      <c r="P49" s="17">
        <f t="shared" si="57"/>
        <v>3795.2950000000001</v>
      </c>
      <c r="Q49" s="2" t="s">
        <v>329</v>
      </c>
      <c r="R49" s="10"/>
      <c r="S49" s="7" t="s">
        <v>256</v>
      </c>
      <c r="T49" s="7" t="s">
        <v>339</v>
      </c>
      <c r="U49" s="7" t="s">
        <v>257</v>
      </c>
      <c r="V49" s="7" t="s">
        <v>260</v>
      </c>
      <c r="W49" s="10" t="s">
        <v>345</v>
      </c>
      <c r="X49" s="7" t="s">
        <v>340</v>
      </c>
      <c r="Y49" s="7" t="s">
        <v>341</v>
      </c>
      <c r="Z49" s="7" t="s">
        <v>261</v>
      </c>
      <c r="AA49" s="7" t="s">
        <v>252</v>
      </c>
      <c r="AB49" s="7" t="s">
        <v>346</v>
      </c>
    </row>
    <row r="50" spans="1:28" x14ac:dyDescent="0.25">
      <c r="A50" s="23">
        <f>Alex_ITSD_count_data!A50</f>
        <v>7.5104166666278616E-2</v>
      </c>
      <c r="B50" s="8" t="str">
        <f>Alex_ITSD_count_data!B50</f>
        <v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v>
      </c>
      <c r="C50" s="8" t="b">
        <f>Alex_ITSD_count_data!C50</f>
        <v>0</v>
      </c>
      <c r="D50" s="8" t="str">
        <f>Alex_ITSD_count_data!D50</f>
        <v>048SMPL.d</v>
      </c>
      <c r="E50" s="11">
        <f>Alex_ITSD_count_data!E50</f>
        <v>45246.555289351854</v>
      </c>
      <c r="F50" s="8" t="str">
        <f>Alex_ITSD_count_data!F50</f>
        <v>Sample</v>
      </c>
      <c r="G50" s="8">
        <f>Alex_ITSD_count_data!G50</f>
        <v>0</v>
      </c>
      <c r="H50" s="8" t="str">
        <f>Alex_ITSD_count_data!H50</f>
        <v>10-10-T</v>
      </c>
      <c r="I50" s="17">
        <f>Alex_ITSD_count_data!K50</f>
        <v>12363584.82</v>
      </c>
      <c r="J50" s="17">
        <f>Alex_ITSD_count_data!L50</f>
        <v>1</v>
      </c>
      <c r="K50" s="47">
        <f t="shared" si="19"/>
        <v>12294175.646545663</v>
      </c>
      <c r="L50" s="17">
        <f t="shared" si="21"/>
        <v>1367.9759479822555</v>
      </c>
      <c r="M50" s="17">
        <f>'[1]Alex-Mn_As_data'!J52</f>
        <v>1365.579</v>
      </c>
      <c r="N50" s="8">
        <v>5</v>
      </c>
      <c r="O50" s="17">
        <f t="shared" si="56"/>
        <v>6839.8797399112773</v>
      </c>
      <c r="P50" s="17">
        <f t="shared" si="57"/>
        <v>6827.8949999999995</v>
      </c>
      <c r="R50" s="41" t="s">
        <v>330</v>
      </c>
      <c r="S50" s="17">
        <f>AVERAGE(Z3:Z8)</f>
        <v>1025652.61</v>
      </c>
      <c r="T50" s="17">
        <f>MEDIAN(Z3:Z8)</f>
        <v>1024572.21</v>
      </c>
      <c r="U50" s="17">
        <f>STDEV(Z3:Z8)</f>
        <v>41400.834280210387</v>
      </c>
      <c r="V50" s="17">
        <f t="shared" ref="V50:V55" si="92">U50/S50*100</f>
        <v>4.0365357506583432</v>
      </c>
      <c r="W50" s="17">
        <f>VAR(Z3:Z8)</f>
        <v>1714029079.0974433</v>
      </c>
      <c r="X50" s="17">
        <f>MAX(Z3:Z8)</f>
        <v>1072462.33</v>
      </c>
      <c r="Y50" s="17">
        <f>MIN(Z3:Z8)</f>
        <v>982640.22</v>
      </c>
      <c r="Z50" s="17">
        <f t="shared" ref="Z50:Z55" si="93">X50-Y50</f>
        <v>89822.110000000102</v>
      </c>
      <c r="AA50" s="17">
        <f>COUNT(Z3:Z8)</f>
        <v>6</v>
      </c>
      <c r="AB50" s="17">
        <f t="shared" ref="AB50:AB55" si="94">U50/SQRT(AA50)</f>
        <v>16901.81981867359</v>
      </c>
    </row>
    <row r="51" spans="1:28" x14ac:dyDescent="0.25">
      <c r="A51" s="23">
        <f>Alex_ITSD_count_data!A51</f>
        <v>7.6238425921474118E-2</v>
      </c>
      <c r="B51" s="8" t="str">
        <f>Alex_ITSD_count_data!B51</f>
        <v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v>
      </c>
      <c r="C51" s="8" t="b">
        <f>Alex_ITSD_count_data!C51</f>
        <v>0</v>
      </c>
      <c r="D51" s="8" t="str">
        <f>Alex_ITSD_count_data!D51</f>
        <v>049SMPL.d</v>
      </c>
      <c r="E51" s="11">
        <f>Alex_ITSD_count_data!E51</f>
        <v>45246.556423611109</v>
      </c>
      <c r="F51" s="8" t="str">
        <f>Alex_ITSD_count_data!F51</f>
        <v>Sample</v>
      </c>
      <c r="G51" s="8">
        <f>Alex_ITSD_count_data!G51</f>
        <v>0</v>
      </c>
      <c r="H51" s="8" t="str">
        <f>Alex_ITSD_count_data!H51</f>
        <v>10-20-T</v>
      </c>
      <c r="I51" s="17">
        <f>Alex_ITSD_count_data!K51</f>
        <v>1836635.13</v>
      </c>
      <c r="J51" s="17">
        <f>Alex_ITSD_count_data!L51</f>
        <v>3</v>
      </c>
      <c r="K51" s="47">
        <f t="shared" si="19"/>
        <v>1766177.7058176319</v>
      </c>
      <c r="L51" s="17">
        <f t="shared" si="21"/>
        <v>200.53815315608077</v>
      </c>
      <c r="M51" s="17">
        <f>'[1]Alex-Mn_As_data'!J53</f>
        <v>202.726</v>
      </c>
      <c r="N51" s="8">
        <v>5</v>
      </c>
      <c r="O51" s="17">
        <f t="shared" si="56"/>
        <v>1002.6907657804038</v>
      </c>
      <c r="P51" s="17">
        <f t="shared" si="57"/>
        <v>1013.63</v>
      </c>
      <c r="R51" s="41" t="s">
        <v>331</v>
      </c>
      <c r="S51" s="17">
        <f>AVERAGE($L$12,$L$29,$L$41,$L$53,$L$65,$L$81)</f>
        <v>110.60026301011067</v>
      </c>
      <c r="T51" s="17">
        <f>MEDIAN($L$12,$L$29,$L$41,$L$53,$L$65,$L$81)</f>
        <v>110.48044674512667</v>
      </c>
      <c r="U51" s="17">
        <f>STDEV($L$12,$L$29,$L$41,$L$53,$L$65,$L$81)</f>
        <v>4.5913488806701714</v>
      </c>
      <c r="V51" s="17">
        <f t="shared" si="92"/>
        <v>4.1513001467731119</v>
      </c>
      <c r="W51" s="17">
        <f>VAR($L$12,$L$29,$L$41,$L$53,$L$65,$L$81)</f>
        <v>21.080484544031233</v>
      </c>
      <c r="X51" s="17">
        <f>MAX($L$12,$L$29,$L$41,$L$53,$L$65,$L$81)</f>
        <v>115.79145684141992</v>
      </c>
      <c r="Y51" s="17">
        <f>MIN($L$12,$L$29,$L$41,$L$53,$L$65,$L$81)</f>
        <v>105.83019274184444</v>
      </c>
      <c r="Z51" s="17">
        <f t="shared" si="93"/>
        <v>9.9612640995754731</v>
      </c>
      <c r="AA51" s="17">
        <f>COUNT($L$12,$L$29,$L$41,$L$53,$L$65,$L$81)</f>
        <v>6</v>
      </c>
      <c r="AB51" s="17">
        <f t="shared" si="94"/>
        <v>1.8744103314567686</v>
      </c>
    </row>
    <row r="52" spans="1:28" x14ac:dyDescent="0.25">
      <c r="A52" s="23">
        <f>Alex_ITSD_count_data!A52</f>
        <v>8.0856481479713693E-2</v>
      </c>
      <c r="B52" s="8" t="str">
        <f>Alex_ITSD_count_data!B52</f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C52" s="8" t="b">
        <f>Alex_ITSD_count_data!C52</f>
        <v>0</v>
      </c>
      <c r="D52" s="8" t="str">
        <f>Alex_ITSD_count_data!D52</f>
        <v>050SMPL.d</v>
      </c>
      <c r="E52" s="11">
        <f>Alex_ITSD_count_data!E52</f>
        <v>45246.561041666668</v>
      </c>
      <c r="F52" s="8" t="str">
        <f>Alex_ITSD_count_data!F52</f>
        <v>Sample</v>
      </c>
      <c r="G52" s="8">
        <f>Alex_ITSD_count_data!G52</f>
        <v>0</v>
      </c>
      <c r="H52" s="40" t="str">
        <f>Alex_ITSD_count_data!H52</f>
        <v xml:space="preserve">blk </v>
      </c>
      <c r="I52" s="43">
        <f>Alex_ITSD_count_data!K52</f>
        <v>2690.35</v>
      </c>
      <c r="J52" s="43">
        <f>Alex_ITSD_count_data!L52</f>
        <v>5.9</v>
      </c>
      <c r="K52" s="48">
        <f t="shared" si="19"/>
        <v>-72034.952164263406</v>
      </c>
      <c r="L52" s="43">
        <f>(I52-$AP$30)*(1/$AO$30)</f>
        <v>-2.8461616592562162</v>
      </c>
      <c r="M52" s="43">
        <f>'[1]Alex-Mn_As_data'!J54</f>
        <v>0.14099999999999999</v>
      </c>
      <c r="N52" s="8"/>
      <c r="O52" s="17"/>
      <c r="P52" s="17"/>
      <c r="R52" s="41" t="s">
        <v>332</v>
      </c>
      <c r="S52" s="17">
        <f>AVERAGE($M$12,$M$29,$M$41,$M$53,$M$65,$M$81)</f>
        <v>113.14149999999999</v>
      </c>
      <c r="T52" s="17">
        <f>MEDIAN($M$12,$M$29,$M$41,$M$53,$M$65,$M$81)</f>
        <v>113.02250000000001</v>
      </c>
      <c r="U52" s="17">
        <f>STDEV($M$12,$M$29,$M$41,$M$53,$M$65,$M$81)</f>
        <v>4.5731909538089477</v>
      </c>
      <c r="V52" s="17">
        <f t="shared" si="92"/>
        <v>4.0420101853068484</v>
      </c>
      <c r="W52" s="17">
        <f>VAR($M$12,$M$29,$M$41,$M$53,$M$65,$M$81)</f>
        <v>20.914075499999992</v>
      </c>
      <c r="X52" s="17">
        <f>MAX($M$12,$M$29,$M$41,$M$53,$M$65,$M$81)</f>
        <v>118.312</v>
      </c>
      <c r="Y52" s="17">
        <f>MIN($M$12,$M$29,$M$41,$M$53,$M$65,$M$81)</f>
        <v>108.39</v>
      </c>
      <c r="Z52" s="17">
        <f t="shared" si="93"/>
        <v>9.921999999999997</v>
      </c>
      <c r="AA52" s="17">
        <f>COUNT($M$12,$M$29,$M$41,$M$53,$M$65,$M$81)</f>
        <v>6</v>
      </c>
      <c r="AB52" s="17">
        <f t="shared" si="94"/>
        <v>1.8669973888573062</v>
      </c>
    </row>
    <row r="53" spans="1:28" x14ac:dyDescent="0.25">
      <c r="A53" s="23">
        <f>Alex_ITSD_count_data!A53</f>
        <v>8.2002314811688848E-2</v>
      </c>
      <c r="B53" s="8" t="str">
        <f>Alex_ITSD_count_data!B53</f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C53" s="8" t="b">
        <f>Alex_ITSD_count_data!C53</f>
        <v>0</v>
      </c>
      <c r="D53" s="8" t="str">
        <f>Alex_ITSD_count_data!D53</f>
        <v>051SMPL.d</v>
      </c>
      <c r="E53" s="11">
        <f>Alex_ITSD_count_data!E53</f>
        <v>45246.5621875</v>
      </c>
      <c r="F53" s="8" t="str">
        <f>Alex_ITSD_count_data!F53</f>
        <v>Sample</v>
      </c>
      <c r="G53" s="8">
        <f>Alex_ITSD_count_data!G53</f>
        <v>0</v>
      </c>
      <c r="H53" s="8" t="str">
        <f>Alex_ITSD_count_data!H53</f>
        <v>100 ppb check</v>
      </c>
      <c r="I53" s="17">
        <f>Alex_ITSD_count_data!K53</f>
        <v>1064070.8700000001</v>
      </c>
      <c r="J53" s="17">
        <f>Alex_ITSD_count_data!L53</f>
        <v>1.2</v>
      </c>
      <c r="K53" s="47">
        <f t="shared" si="19"/>
        <v>988286.62066916714</v>
      </c>
      <c r="L53" s="17">
        <f t="shared" si="21"/>
        <v>114.86084466540865</v>
      </c>
      <c r="M53" s="17">
        <f>'[1]Alex-Mn_As_data'!J55</f>
        <v>117.38500000000001</v>
      </c>
      <c r="N53" s="8"/>
      <c r="O53" s="17"/>
      <c r="P53" s="17"/>
      <c r="R53" s="41" t="s">
        <v>333</v>
      </c>
      <c r="S53" s="17">
        <f>AVERAGE(Z15:Z24)</f>
        <v>3769.31</v>
      </c>
      <c r="T53" s="17">
        <f>MEDIAN(Z15:Z24)</f>
        <v>2832.585</v>
      </c>
      <c r="U53" s="17">
        <f>STDEV(Z15:Z24)</f>
        <v>2746.4742145198129</v>
      </c>
      <c r="V53" s="17">
        <f t="shared" si="92"/>
        <v>72.864110792686546</v>
      </c>
      <c r="W53" s="17">
        <f>VAR(Z15:Z24)</f>
        <v>7543120.6110222237</v>
      </c>
      <c r="X53" s="17">
        <f>MAX(Z15:Z24)</f>
        <v>7865.73</v>
      </c>
      <c r="Y53" s="17">
        <f>MIN(Z15:Z24)</f>
        <v>850.06</v>
      </c>
      <c r="Z53" s="17">
        <f t="shared" si="93"/>
        <v>7015.67</v>
      </c>
      <c r="AA53" s="17">
        <f>COUNT(Z15:Z24)</f>
        <v>10</v>
      </c>
      <c r="AB53" s="17">
        <f t="shared" si="94"/>
        <v>868.51140528045005</v>
      </c>
    </row>
    <row r="54" spans="1:28" x14ac:dyDescent="0.25">
      <c r="A54" s="23">
        <f>Alex_ITSD_count_data!A54</f>
        <v>8.3136574074160308E-2</v>
      </c>
      <c r="B54" s="8" t="str">
        <f>Alex_ITSD_count_data!B54</f>
        <v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v>
      </c>
      <c r="C54" s="8" t="b">
        <f>Alex_ITSD_count_data!C54</f>
        <v>0</v>
      </c>
      <c r="D54" s="8" t="str">
        <f>Alex_ITSD_count_data!D54</f>
        <v>052SMPL.d</v>
      </c>
      <c r="E54" s="11">
        <f>Alex_ITSD_count_data!E54</f>
        <v>45246.563321759262</v>
      </c>
      <c r="F54" s="8" t="str">
        <f>Alex_ITSD_count_data!F54</f>
        <v>Sample</v>
      </c>
      <c r="G54" s="8">
        <f>Alex_ITSD_count_data!G54</f>
        <v>0</v>
      </c>
      <c r="H54" s="8" t="str">
        <f>Alex_ITSD_count_data!H54</f>
        <v>10-30-T</v>
      </c>
      <c r="I54" s="17">
        <f>Alex_ITSD_count_data!K54</f>
        <v>1373970.76</v>
      </c>
      <c r="J54" s="17">
        <f>Alex_ITSD_count_data!L54</f>
        <v>3.2</v>
      </c>
      <c r="K54" s="47">
        <f t="shared" si="19"/>
        <v>1297138.2599344123</v>
      </c>
      <c r="L54" s="17">
        <f t="shared" si="21"/>
        <v>149.22871521219702</v>
      </c>
      <c r="M54" s="17">
        <f>'[1]Alex-Mn_As_data'!J56</f>
        <v>151.61799999999999</v>
      </c>
      <c r="N54" s="8">
        <v>5</v>
      </c>
      <c r="O54" s="17">
        <f t="shared" si="56"/>
        <v>746.14357606098508</v>
      </c>
      <c r="P54" s="17">
        <f t="shared" si="57"/>
        <v>758.08999999999992</v>
      </c>
      <c r="R54" s="41" t="s">
        <v>334</v>
      </c>
      <c r="S54" s="17">
        <f>AVERAGE($L$15,$L$17,$L$28,$L$40,$L$52,$L$64,$L$80,$L$84,$L$85,$L$86)</f>
        <v>-2.7265050901455821</v>
      </c>
      <c r="T54" s="17">
        <f>MEDIAN($L$15,$L$17,$L$28,$L$40,$L$52,$L$64,$L$80,$L$84,$L$85,$L$86)</f>
        <v>-2.8303878102651034</v>
      </c>
      <c r="U54" s="17">
        <f>STDEV($L$15,$L$17,$L$28,$L$40,$L$52,$L$64,$L$80,$L$84,$L$85,$L$86)</f>
        <v>0.30458374885098938</v>
      </c>
      <c r="V54" s="17">
        <f t="shared" si="92"/>
        <v>-11.171215119012526</v>
      </c>
      <c r="W54" s="17">
        <f>VAR($L$15,$L$17,$L$28,$L$40,$L$52,$L$64,$L$80,$L$84,$L$85,$L$86)</f>
        <v>9.2771260064122563E-2</v>
      </c>
      <c r="X54" s="17">
        <f>MAX($L$15,$L$17,$L$28,$L$40,$L$52,$L$64,$L$80,$L$84,$L$85,$L$86)</f>
        <v>-2.2722124724061086</v>
      </c>
      <c r="Y54" s="17">
        <f>MIN($L$15,$L$17,$L$28,$L$40,$L$52,$L$64,$L$80,$L$84,$L$85,$L$86)</f>
        <v>-3.0502496584115213</v>
      </c>
      <c r="Z54" s="17">
        <f t="shared" si="93"/>
        <v>0.77803718600541272</v>
      </c>
      <c r="AA54" s="17">
        <f>COUNT($L$15,$L$17,$L$28,$L$40,$L$52,$L$64,$L$80,$L$84,$L$85,$L$86)</f>
        <v>10</v>
      </c>
      <c r="AB54" s="17">
        <f t="shared" si="94"/>
        <v>9.6317838464181987E-2</v>
      </c>
    </row>
    <row r="55" spans="1:28" x14ac:dyDescent="0.25">
      <c r="A55" s="23">
        <f>Alex_ITSD_count_data!A55</f>
        <v>8.427083332935581E-2</v>
      </c>
      <c r="B55" s="8" t="str">
        <f>Alex_ITSD_count_data!B55</f>
        <v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v>
      </c>
      <c r="C55" s="8" t="b">
        <f>Alex_ITSD_count_data!C55</f>
        <v>0</v>
      </c>
      <c r="D55" s="8" t="str">
        <f>Alex_ITSD_count_data!D55</f>
        <v>053SMPL.d</v>
      </c>
      <c r="E55" s="11">
        <f>Alex_ITSD_count_data!E55</f>
        <v>45246.564456018517</v>
      </c>
      <c r="F55" s="8" t="str">
        <f>Alex_ITSD_count_data!F55</f>
        <v>Sample</v>
      </c>
      <c r="G55" s="8">
        <f>Alex_ITSD_count_data!G55</f>
        <v>0</v>
      </c>
      <c r="H55" s="8" t="str">
        <f>Alex_ITSD_count_data!H55</f>
        <v>10-40-T</v>
      </c>
      <c r="I55" s="17">
        <f>Alex_ITSD_count_data!K55</f>
        <v>5344242.5199999996</v>
      </c>
      <c r="J55" s="17">
        <f>Alex_ITSD_count_data!L55</f>
        <v>1.7</v>
      </c>
      <c r="K55" s="47">
        <f t="shared" si="19"/>
        <v>5266361.7692063814</v>
      </c>
      <c r="L55" s="17">
        <f t="shared" si="21"/>
        <v>589.53150422980423</v>
      </c>
      <c r="M55" s="17">
        <f>'[1]Alex-Mn_As_data'!J57</f>
        <v>590.19200000000001</v>
      </c>
      <c r="N55" s="8">
        <v>5</v>
      </c>
      <c r="O55" s="17">
        <f t="shared" si="56"/>
        <v>2947.6575211490212</v>
      </c>
      <c r="P55" s="17">
        <f t="shared" si="57"/>
        <v>2950.96</v>
      </c>
      <c r="R55" s="41" t="s">
        <v>335</v>
      </c>
      <c r="S55" s="17">
        <f>AVERAGE($M$15,$M$17,$M$28,$M$40,$M$52,$M$64,$M$80,$M$84,$M$85,$M$86)</f>
        <v>0.27620000000000006</v>
      </c>
      <c r="T55" s="17">
        <f>MEDIAN($M$15,$M$17,$M$28,$M$40,$M$52,$M$64,$M$80,$M$84,$M$85,$M$86)</f>
        <v>0.15649999999999997</v>
      </c>
      <c r="U55" s="17">
        <f>STDEV($M$15,$M$17,$M$28,$M$40,$M$52,$M$64,$M$80,$M$84,$M$85,$M$86)</f>
        <v>0.28517355339434186</v>
      </c>
      <c r="V55" s="17">
        <f t="shared" si="92"/>
        <v>103.24893316232506</v>
      </c>
      <c r="W55" s="17">
        <f>VAR($M$15,$M$17,$M$28,$M$40,$M$52,$M$64,$M$80,$M$84,$M$85,$M$86)</f>
        <v>8.1323955555555535E-2</v>
      </c>
      <c r="X55" s="17">
        <f>MAX($M$15,$M$17,$M$28,$M$40,$M$52,$M$64,$M$80,$M$84,$M$85,$M$86)</f>
        <v>0.71199999999999997</v>
      </c>
      <c r="Y55" s="17">
        <f>MIN($M$15,$M$17,$M$28,$M$40,$M$52,$M$64,$M$80,$M$84,$M$85,$M$86)</f>
        <v>0</v>
      </c>
      <c r="Z55" s="17">
        <f t="shared" si="93"/>
        <v>0.71199999999999997</v>
      </c>
      <c r="AA55" s="17">
        <f>COUNT($M$15,$M$17,$M$28,$M$40,$M$52,$M$64,$M$80,$M$84,$M$85,$M$86)</f>
        <v>10</v>
      </c>
      <c r="AB55" s="17">
        <f t="shared" si="94"/>
        <v>9.0179795716976166E-2</v>
      </c>
    </row>
    <row r="56" spans="1:28" x14ac:dyDescent="0.25">
      <c r="A56" s="23">
        <f>Alex_ITSD_count_data!A56</f>
        <v>8.5451388884393964E-2</v>
      </c>
      <c r="B56" s="8" t="str">
        <f>Alex_ITSD_count_data!B56</f>
        <v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v>
      </c>
      <c r="C56" s="8" t="b">
        <f>Alex_ITSD_count_data!C56</f>
        <v>0</v>
      </c>
      <c r="D56" s="8" t="str">
        <f>Alex_ITSD_count_data!D56</f>
        <v>054SMPL.d</v>
      </c>
      <c r="E56" s="11">
        <f>Alex_ITSD_count_data!E56</f>
        <v>45246.565636574072</v>
      </c>
      <c r="F56" s="8" t="str">
        <f>Alex_ITSD_count_data!F56</f>
        <v>Sample</v>
      </c>
      <c r="G56" s="8">
        <f>Alex_ITSD_count_data!G56</f>
        <v>0</v>
      </c>
      <c r="H56" s="8" t="str">
        <f>Alex_ITSD_count_data!H56</f>
        <v>10-50-T</v>
      </c>
      <c r="I56" s="17">
        <f>Alex_ITSD_count_data!K56</f>
        <v>9041950.9100000001</v>
      </c>
      <c r="J56" s="17">
        <f>Alex_ITSD_count_data!L56</f>
        <v>1.5</v>
      </c>
      <c r="K56" s="47">
        <f t="shared" si="19"/>
        <v>8962979.1227309201</v>
      </c>
      <c r="L56" s="17">
        <f t="shared" si="21"/>
        <v>999.607039485055</v>
      </c>
      <c r="M56" s="17">
        <f>'[1]Alex-Mn_As_data'!J58</f>
        <v>998.65700000000004</v>
      </c>
      <c r="N56" s="8">
        <v>5</v>
      </c>
      <c r="O56" s="17">
        <f t="shared" si="56"/>
        <v>4998.0351974252753</v>
      </c>
      <c r="P56" s="17">
        <f t="shared" si="57"/>
        <v>4993.2849999999999</v>
      </c>
      <c r="V56"/>
    </row>
    <row r="57" spans="1:28" x14ac:dyDescent="0.25">
      <c r="A57" s="23">
        <f>Alex_ITSD_count_data!A57</f>
        <v>8.6585648146865424E-2</v>
      </c>
      <c r="B57" s="8" t="str">
        <f>Alex_ITSD_count_data!B57</f>
        <v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v>
      </c>
      <c r="C57" s="8" t="b">
        <f>Alex_ITSD_count_data!C57</f>
        <v>0</v>
      </c>
      <c r="D57" s="8" t="str">
        <f>Alex_ITSD_count_data!D57</f>
        <v>055SMPL.d</v>
      </c>
      <c r="E57" s="11">
        <f>Alex_ITSD_count_data!E57</f>
        <v>45246.566770833335</v>
      </c>
      <c r="F57" s="8" t="str">
        <f>Alex_ITSD_count_data!F57</f>
        <v>Sample</v>
      </c>
      <c r="G57" s="8">
        <f>Alex_ITSD_count_data!G57</f>
        <v>0</v>
      </c>
      <c r="H57" s="8" t="str">
        <f>Alex_ITSD_count_data!H57</f>
        <v>10-80-T</v>
      </c>
      <c r="I57" s="17">
        <f>Alex_ITSD_count_data!K57</f>
        <v>4078635.35</v>
      </c>
      <c r="J57" s="17">
        <f>Alex_ITSD_count_data!L57</f>
        <v>3.6</v>
      </c>
      <c r="K57" s="47">
        <f t="shared" si="19"/>
        <v>3998615.3119961647</v>
      </c>
      <c r="L57" s="17">
        <f t="shared" si="21"/>
        <v>449.1757803808955</v>
      </c>
      <c r="M57" s="17">
        <f>'[1]Alex-Mn_As_data'!J59</f>
        <v>450.387</v>
      </c>
      <c r="N57" s="8">
        <v>5</v>
      </c>
      <c r="O57" s="17">
        <f t="shared" si="56"/>
        <v>2245.8789019044775</v>
      </c>
      <c r="P57" s="17">
        <f t="shared" si="57"/>
        <v>2251.9349999999999</v>
      </c>
      <c r="R57" s="11"/>
      <c r="S57" s="7" t="s">
        <v>325</v>
      </c>
      <c r="T57" s="7" t="s">
        <v>338</v>
      </c>
      <c r="U57" s="7" t="s">
        <v>336</v>
      </c>
      <c r="V57" s="7" t="s">
        <v>343</v>
      </c>
      <c r="W57" s="7" t="s">
        <v>344</v>
      </c>
      <c r="X57" s="7" t="s">
        <v>347</v>
      </c>
      <c r="Y57" s="7" t="s">
        <v>348</v>
      </c>
    </row>
    <row r="58" spans="1:28" x14ac:dyDescent="0.25">
      <c r="A58" s="23">
        <f>Alex_ITSD_count_data!A58</f>
        <v>8.7719907402060926E-2</v>
      </c>
      <c r="B58" s="8" t="str">
        <f>Alex_ITSD_count_data!B58</f>
        <v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v>
      </c>
      <c r="C58" s="8" t="b">
        <f>Alex_ITSD_count_data!C58</f>
        <v>0</v>
      </c>
      <c r="D58" s="8" t="str">
        <f>Alex_ITSD_count_data!D58</f>
        <v>056SMPL.d</v>
      </c>
      <c r="E58" s="11">
        <f>Alex_ITSD_count_data!E58</f>
        <v>45246.56790509259</v>
      </c>
      <c r="F58" s="8" t="str">
        <f>Alex_ITSD_count_data!F58</f>
        <v>Sample</v>
      </c>
      <c r="G58" s="8">
        <f>Alex_ITSD_count_data!G58</f>
        <v>0</v>
      </c>
      <c r="H58" s="8" t="str">
        <f>Alex_ITSD_count_data!H58</f>
        <v>10-100-T</v>
      </c>
      <c r="I58" s="17">
        <f>Alex_ITSD_count_data!K58</f>
        <v>2617190.59</v>
      </c>
      <c r="J58" s="17">
        <f>Alex_ITSD_count_data!L58</f>
        <v>1</v>
      </c>
      <c r="K58" s="47">
        <f t="shared" si="19"/>
        <v>2536122.3012681338</v>
      </c>
      <c r="L58" s="17">
        <f t="shared" si="21"/>
        <v>287.10168502396516</v>
      </c>
      <c r="M58" s="17">
        <f>'[1]Alex-Mn_As_data'!J60</f>
        <v>288.95</v>
      </c>
      <c r="N58" s="8">
        <v>5</v>
      </c>
      <c r="O58" s="17">
        <f t="shared" si="56"/>
        <v>1435.5084251198259</v>
      </c>
      <c r="P58" s="17">
        <f t="shared" si="57"/>
        <v>1444.75</v>
      </c>
      <c r="R58" s="41" t="s">
        <v>337</v>
      </c>
      <c r="S58" s="17">
        <f>L16</f>
        <v>-1.8837988384236612</v>
      </c>
      <c r="T58" s="17">
        <f>M16</f>
        <v>1.099</v>
      </c>
      <c r="U58" s="52">
        <v>10000</v>
      </c>
      <c r="V58" s="52">
        <v>500</v>
      </c>
      <c r="W58" s="17">
        <f>U58/(100*100)</f>
        <v>1</v>
      </c>
      <c r="X58" s="17">
        <f>T58/W58 *100</f>
        <v>109.89999999999999</v>
      </c>
      <c r="Y58" s="17">
        <f>S58/W58 *100</f>
        <v>-188.37988384236613</v>
      </c>
    </row>
    <row r="59" spans="1:28" x14ac:dyDescent="0.25">
      <c r="A59" s="23">
        <f>Alex_ITSD_count_data!A59</f>
        <v>8.8854166664532386E-2</v>
      </c>
      <c r="B59" s="8" t="str">
        <f>Alex_ITSD_count_data!B59</f>
        <v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v>
      </c>
      <c r="C59" s="8" t="b">
        <f>Alex_ITSD_count_data!C59</f>
        <v>0</v>
      </c>
      <c r="D59" s="8" t="str">
        <f>Alex_ITSD_count_data!D59</f>
        <v>057SMPL.d</v>
      </c>
      <c r="E59" s="11">
        <f>Alex_ITSD_count_data!E59</f>
        <v>45246.569039351853</v>
      </c>
      <c r="F59" s="8" t="str">
        <f>Alex_ITSD_count_data!F59</f>
        <v>Sample</v>
      </c>
      <c r="G59" s="8">
        <f>Alex_ITSD_count_data!G59</f>
        <v>0</v>
      </c>
      <c r="H59" s="8" t="str">
        <f>Alex_ITSD_count_data!H59</f>
        <v>10-90-T</v>
      </c>
      <c r="I59" s="17">
        <f>Alex_ITSD_count_data!K59</f>
        <v>1168880.42</v>
      </c>
      <c r="J59" s="17">
        <f>Alex_ITSD_count_data!L59</f>
        <v>0.8</v>
      </c>
      <c r="K59" s="47">
        <f t="shared" si="19"/>
        <v>1086763.880533379</v>
      </c>
      <c r="L59" s="17">
        <f t="shared" si="21"/>
        <v>126.48421454291051</v>
      </c>
      <c r="M59" s="17">
        <f>'[1]Alex-Mn_As_data'!J61</f>
        <v>128.96299999999999</v>
      </c>
      <c r="N59" s="8">
        <v>5</v>
      </c>
      <c r="O59" s="17">
        <f t="shared" si="56"/>
        <v>632.42107271455257</v>
      </c>
      <c r="P59" s="17">
        <f t="shared" si="57"/>
        <v>644.81499999999994</v>
      </c>
      <c r="R59" s="41" t="s">
        <v>342</v>
      </c>
      <c r="S59" s="17">
        <f>S51</f>
        <v>110.60026301011067</v>
      </c>
      <c r="T59" s="17">
        <f>S52</f>
        <v>113.14149999999999</v>
      </c>
      <c r="U59" s="52">
        <v>101000</v>
      </c>
      <c r="V59" s="52">
        <v>3000</v>
      </c>
      <c r="W59" s="17">
        <f>U59/(100*10)</f>
        <v>101</v>
      </c>
      <c r="X59" s="17">
        <f>T59/W59 *100</f>
        <v>112.02128712871287</v>
      </c>
      <c r="Y59" s="17">
        <f>S59/W59 *100</f>
        <v>109.50521090109966</v>
      </c>
    </row>
    <row r="60" spans="1:28" x14ac:dyDescent="0.25">
      <c r="A60" s="23">
        <f>Alex_ITSD_count_data!A60</f>
        <v>9.0046296296350192E-2</v>
      </c>
      <c r="B60" s="8" t="str">
        <f>Alex_ITSD_count_data!B60</f>
        <v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v>
      </c>
      <c r="C60" s="8" t="b">
        <f>Alex_ITSD_count_data!C60</f>
        <v>0</v>
      </c>
      <c r="D60" s="8" t="str">
        <f>Alex_ITSD_count_data!D60</f>
        <v>058SMPL.d</v>
      </c>
      <c r="E60" s="11">
        <f>Alex_ITSD_count_data!E60</f>
        <v>45246.570231481484</v>
      </c>
      <c r="F60" s="8" t="str">
        <f>Alex_ITSD_count_data!F60</f>
        <v>Sample</v>
      </c>
      <c r="G60" s="8">
        <f>Alex_ITSD_count_data!G60</f>
        <v>0</v>
      </c>
      <c r="H60" s="8" t="str">
        <f>Alex_ITSD_count_data!H60</f>
        <v>10-60-T</v>
      </c>
      <c r="I60" s="17">
        <f>Alex_ITSD_count_data!K60</f>
        <v>1209550.71</v>
      </c>
      <c r="J60" s="17">
        <f>Alex_ITSD_count_data!L60</f>
        <v>1.9</v>
      </c>
      <c r="K60" s="47">
        <f t="shared" si="19"/>
        <v>1126332.4376193776</v>
      </c>
      <c r="L60" s="17">
        <f t="shared" si="21"/>
        <v>130.99454612715323</v>
      </c>
      <c r="M60" s="17">
        <f>'[1]Alex-Mn_As_data'!J62</f>
        <v>133.45599999999999</v>
      </c>
      <c r="N60" s="8">
        <v>5</v>
      </c>
      <c r="O60" s="17">
        <f t="shared" si="56"/>
        <v>654.97273063576608</v>
      </c>
      <c r="P60" s="17">
        <f t="shared" si="57"/>
        <v>667.28</v>
      </c>
    </row>
    <row r="61" spans="1:28" x14ac:dyDescent="0.25">
      <c r="A61" s="23">
        <f>Alex_ITSD_count_data!A61</f>
        <v>9.1180555551545694E-2</v>
      </c>
      <c r="B61" s="8" t="str">
        <f>Alex_ITSD_count_data!B61</f>
        <v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v>
      </c>
      <c r="C61" s="8" t="b">
        <f>Alex_ITSD_count_data!C61</f>
        <v>0</v>
      </c>
      <c r="D61" s="8" t="str">
        <f>Alex_ITSD_count_data!D61</f>
        <v>059SMPL.d</v>
      </c>
      <c r="E61" s="11">
        <f>Alex_ITSD_count_data!E61</f>
        <v>45246.57136574074</v>
      </c>
      <c r="F61" s="8" t="str">
        <f>Alex_ITSD_count_data!F61</f>
        <v>Sample</v>
      </c>
      <c r="G61" s="8">
        <f>Alex_ITSD_count_data!G61</f>
        <v>0</v>
      </c>
      <c r="H61" s="8" t="str">
        <f>Alex_ITSD_count_data!H61</f>
        <v>10-70-T</v>
      </c>
      <c r="I61" s="17">
        <f>Alex_ITSD_count_data!K61</f>
        <v>4085069.31</v>
      </c>
      <c r="J61" s="17">
        <f>Alex_ITSD_count_data!L61</f>
        <v>1.2</v>
      </c>
      <c r="K61" s="47">
        <f t="shared" si="19"/>
        <v>4000802.7868913473</v>
      </c>
      <c r="L61" s="17">
        <f t="shared" si="21"/>
        <v>449.88930597905949</v>
      </c>
      <c r="M61" s="17">
        <f>'[1]Alex-Mn_As_data'!J63</f>
        <v>451.09800000000001</v>
      </c>
      <c r="N61" s="8">
        <v>5</v>
      </c>
      <c r="O61" s="17">
        <f t="shared" si="56"/>
        <v>2249.4465298952973</v>
      </c>
      <c r="P61" s="17">
        <f t="shared" si="57"/>
        <v>2255.4900000000002</v>
      </c>
    </row>
    <row r="62" spans="1:28" x14ac:dyDescent="0.25">
      <c r="A62" s="23">
        <f>Alex_ITSD_count_data!A62</f>
        <v>9.2303240737237502E-2</v>
      </c>
      <c r="B62" s="8" t="str">
        <f>Alex_ITSD_count_data!B62</f>
        <v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v>
      </c>
      <c r="C62" s="8" t="b">
        <f>Alex_ITSD_count_data!C62</f>
        <v>0</v>
      </c>
      <c r="D62" s="8" t="str">
        <f>Alex_ITSD_count_data!D62</f>
        <v>060SMPL.d</v>
      </c>
      <c r="E62" s="11">
        <f>Alex_ITSD_count_data!E62</f>
        <v>45246.572488425925</v>
      </c>
      <c r="F62" s="8" t="str">
        <f>Alex_ITSD_count_data!F62</f>
        <v>Sample</v>
      </c>
      <c r="G62" s="8">
        <f>Alex_ITSD_count_data!G62</f>
        <v>0</v>
      </c>
      <c r="H62" s="8" t="str">
        <f>Alex_ITSD_count_data!H62</f>
        <v>10-0-B</v>
      </c>
      <c r="I62" s="17">
        <f>Alex_ITSD_count_data!K62</f>
        <v>5287458.67</v>
      </c>
      <c r="J62" s="17">
        <f>Alex_ITSD_count_data!L62</f>
        <v>1</v>
      </c>
      <c r="K62" s="47">
        <f t="shared" si="19"/>
        <v>5202154.5925951311</v>
      </c>
      <c r="L62" s="17">
        <f t="shared" si="21"/>
        <v>583.23418025867204</v>
      </c>
      <c r="M62" s="17">
        <f>'[1]Alex-Mn_As_data'!J64</f>
        <v>583.91899999999998</v>
      </c>
      <c r="N62" s="8">
        <v>5</v>
      </c>
      <c r="O62" s="17">
        <f t="shared" si="56"/>
        <v>2916.1709012933602</v>
      </c>
      <c r="P62" s="17">
        <f t="shared" si="57"/>
        <v>2919.5949999999998</v>
      </c>
    </row>
    <row r="63" spans="1:28" x14ac:dyDescent="0.25">
      <c r="A63" s="23">
        <f>Alex_ITSD_count_data!A63</f>
        <v>9.3425925922929309E-2</v>
      </c>
      <c r="B63" s="8" t="str">
        <f>Alex_ITSD_count_data!B63</f>
        <v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v>
      </c>
      <c r="C63" s="8" t="b">
        <f>Alex_ITSD_count_data!C63</f>
        <v>0</v>
      </c>
      <c r="D63" s="8" t="str">
        <f>Alex_ITSD_count_data!D63</f>
        <v>061SMPL.d</v>
      </c>
      <c r="E63" s="11">
        <f>Alex_ITSD_count_data!E63</f>
        <v>45246.573611111111</v>
      </c>
      <c r="F63" s="8" t="str">
        <f>Alex_ITSD_count_data!F63</f>
        <v>Sample</v>
      </c>
      <c r="G63" s="8">
        <f>Alex_ITSD_count_data!G63</f>
        <v>0</v>
      </c>
      <c r="H63" s="8" t="str">
        <f>Alex_ITSD_count_data!H63</f>
        <v>10-20-B</v>
      </c>
      <c r="I63" s="17">
        <f>Alex_ITSD_count_data!K63</f>
        <v>4794726.8</v>
      </c>
      <c r="J63" s="17">
        <f>Alex_ITSD_count_data!L63</f>
        <v>3.6</v>
      </c>
      <c r="K63" s="47">
        <f t="shared" si="19"/>
        <v>4708385.168298916</v>
      </c>
      <c r="L63" s="17">
        <f t="shared" si="21"/>
        <v>528.59025920908095</v>
      </c>
      <c r="M63" s="17">
        <f>'[1]Alex-Mn_As_data'!J65</f>
        <v>529.49</v>
      </c>
      <c r="N63" s="8">
        <v>5</v>
      </c>
      <c r="O63" s="17">
        <f t="shared" si="56"/>
        <v>2642.9512960454049</v>
      </c>
      <c r="P63" s="17">
        <f t="shared" si="57"/>
        <v>2647.45</v>
      </c>
    </row>
    <row r="64" spans="1:28" x14ac:dyDescent="0.25">
      <c r="A64" s="23">
        <f>Alex_ITSD_count_data!A64</f>
        <v>9.4606481477967463E-2</v>
      </c>
      <c r="B64" s="8" t="str">
        <f>Alex_ITSD_count_data!B64</f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C64" s="8" t="b">
        <f>Alex_ITSD_count_data!C64</f>
        <v>0</v>
      </c>
      <c r="D64" s="8" t="str">
        <f>Alex_ITSD_count_data!D64</f>
        <v>062SMPL.d</v>
      </c>
      <c r="E64" s="11">
        <f>Alex_ITSD_count_data!E64</f>
        <v>45246.574791666666</v>
      </c>
      <c r="F64" s="8" t="str">
        <f>Alex_ITSD_count_data!F64</f>
        <v>Sample</v>
      </c>
      <c r="G64" s="8">
        <f>Alex_ITSD_count_data!G64</f>
        <v>0</v>
      </c>
      <c r="H64" s="40" t="str">
        <f>Alex_ITSD_count_data!H64</f>
        <v xml:space="preserve">blk </v>
      </c>
      <c r="I64" s="43">
        <f>Alex_ITSD_count_data!K64</f>
        <v>7272.23</v>
      </c>
      <c r="J64" s="43">
        <f>Alex_ITSD_count_data!L64</f>
        <v>6.8</v>
      </c>
      <c r="K64" s="48">
        <f t="shared" si="19"/>
        <v>-80160.438176546799</v>
      </c>
      <c r="L64" s="43">
        <f t="shared" si="21"/>
        <v>-2.3380315702106254</v>
      </c>
      <c r="M64" s="43">
        <f>'[1]Alex-Mn_As_data'!J66</f>
        <v>0.64700000000000002</v>
      </c>
      <c r="N64" s="8"/>
      <c r="O64" s="17"/>
      <c r="P64" s="17"/>
    </row>
    <row r="65" spans="1:16" x14ac:dyDescent="0.25">
      <c r="A65" s="23">
        <f>Alex_ITSD_count_data!A65</f>
        <v>9.5740740740438923E-2</v>
      </c>
      <c r="B65" s="8" t="str">
        <f>Alex_ITSD_count_data!B65</f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C65" s="8" t="b">
        <f>Alex_ITSD_count_data!C65</f>
        <v>0</v>
      </c>
      <c r="D65" s="8" t="str">
        <f>Alex_ITSD_count_data!D65</f>
        <v>063SMPL.d</v>
      </c>
      <c r="E65" s="11">
        <f>Alex_ITSD_count_data!E65</f>
        <v>45246.575925925928</v>
      </c>
      <c r="F65" s="8" t="str">
        <f>Alex_ITSD_count_data!F65</f>
        <v>Sample</v>
      </c>
      <c r="G65" s="8">
        <f>Alex_ITSD_count_data!G65</f>
        <v>0</v>
      </c>
      <c r="H65" s="8" t="str">
        <f>Alex_ITSD_count_data!H65</f>
        <v>100 ppb check</v>
      </c>
      <c r="I65" s="17">
        <f>Alex_ITSD_count_data!K65</f>
        <v>1072462.33</v>
      </c>
      <c r="J65" s="17">
        <f>Alex_ITSD_count_data!L65</f>
        <v>4.7</v>
      </c>
      <c r="K65" s="47">
        <f t="shared" si="19"/>
        <v>983981.41108869854</v>
      </c>
      <c r="L65" s="17">
        <f t="shared" si="21"/>
        <v>115.79145684141992</v>
      </c>
      <c r="M65" s="17">
        <f>'[1]Alex-Mn_As_data'!J67</f>
        <v>118.312</v>
      </c>
      <c r="N65" s="8"/>
      <c r="O65" s="17"/>
      <c r="P65" s="17"/>
    </row>
    <row r="66" spans="1:16" x14ac:dyDescent="0.25">
      <c r="A66" s="23">
        <f>Alex_ITSD_count_data!A66</f>
        <v>9.6874999995634425E-2</v>
      </c>
      <c r="B66" s="8" t="str">
        <f>Alex_ITSD_count_data!B66</f>
        <v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v>
      </c>
      <c r="C66" s="8" t="b">
        <f>Alex_ITSD_count_data!C66</f>
        <v>0</v>
      </c>
      <c r="D66" s="8" t="str">
        <f>Alex_ITSD_count_data!D66</f>
        <v>064SMPL.d</v>
      </c>
      <c r="E66" s="11">
        <f>Alex_ITSD_count_data!E66</f>
        <v>45246.577060185184</v>
      </c>
      <c r="F66" s="8" t="str">
        <f>Alex_ITSD_count_data!F66</f>
        <v>Sample</v>
      </c>
      <c r="G66" s="8">
        <f>Alex_ITSD_count_data!G66</f>
        <v>0</v>
      </c>
      <c r="H66" s="8" t="str">
        <f>Alex_ITSD_count_data!H66</f>
        <v>10-80-B</v>
      </c>
      <c r="I66" s="17">
        <f>Alex_ITSD_count_data!K66</f>
        <v>12153659.82</v>
      </c>
      <c r="J66" s="17">
        <f>Alex_ITSD_count_data!L66</f>
        <v>2</v>
      </c>
      <c r="K66" s="47">
        <f t="shared" si="19"/>
        <v>12064130.650360668</v>
      </c>
      <c r="L66" s="17">
        <f t="shared" si="21"/>
        <v>1344.6952839441544</v>
      </c>
      <c r="M66" s="17">
        <f>'[1]Alex-Mn_As_data'!J68</f>
        <v>1342.39</v>
      </c>
      <c r="N66" s="8">
        <v>5</v>
      </c>
      <c r="O66" s="17">
        <f t="shared" si="56"/>
        <v>6723.4764197207724</v>
      </c>
      <c r="P66" s="17">
        <f t="shared" si="57"/>
        <v>6711.9500000000007</v>
      </c>
    </row>
    <row r="67" spans="1:16" x14ac:dyDescent="0.25">
      <c r="A67" s="23">
        <f>Alex_ITSD_count_data!A67</f>
        <v>9.7997685181326233E-2</v>
      </c>
      <c r="B67" s="8" t="str">
        <f>Alex_ITSD_count_data!B67</f>
        <v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v>
      </c>
      <c r="C67" s="8" t="b">
        <f>Alex_ITSD_count_data!C67</f>
        <v>0</v>
      </c>
      <c r="D67" s="8" t="str">
        <f>Alex_ITSD_count_data!D67</f>
        <v>065SMPL.d</v>
      </c>
      <c r="E67" s="11">
        <f>Alex_ITSD_count_data!E67</f>
        <v>45246.578182870369</v>
      </c>
      <c r="F67" s="8" t="str">
        <f>Alex_ITSD_count_data!F67</f>
        <v>Sample</v>
      </c>
      <c r="G67" s="8">
        <f>Alex_ITSD_count_data!G67</f>
        <v>0</v>
      </c>
      <c r="H67" s="8" t="str">
        <f>Alex_ITSD_count_data!H67</f>
        <v>10-90-B</v>
      </c>
      <c r="I67" s="17">
        <f>Alex_ITSD_count_data!K67</f>
        <v>1121863.6799999999</v>
      </c>
      <c r="J67" s="17">
        <f>Alex_ITSD_count_data!L67</f>
        <v>1.6</v>
      </c>
      <c r="K67" s="47">
        <f t="shared" si="19"/>
        <v>1031296.9560644522</v>
      </c>
      <c r="L67" s="17">
        <f t="shared" si="21"/>
        <v>121.27006221180768</v>
      </c>
      <c r="M67" s="17">
        <f>'[1]Alex-Mn_As_data'!J69</f>
        <v>123.76900000000001</v>
      </c>
      <c r="N67" s="8">
        <v>5</v>
      </c>
      <c r="O67" s="17">
        <f t="shared" si="56"/>
        <v>606.3503110590384</v>
      </c>
      <c r="P67" s="17">
        <f t="shared" si="57"/>
        <v>618.84500000000003</v>
      </c>
    </row>
    <row r="68" spans="1:16" x14ac:dyDescent="0.25">
      <c r="A68" s="23">
        <f>Alex_ITSD_count_data!A68</f>
        <v>9.9178240736364387E-2</v>
      </c>
      <c r="B68" s="8" t="str">
        <f>Alex_ITSD_count_data!B68</f>
        <v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v>
      </c>
      <c r="C68" s="8" t="b">
        <f>Alex_ITSD_count_data!C68</f>
        <v>0</v>
      </c>
      <c r="D68" s="8" t="str">
        <f>Alex_ITSD_count_data!D68</f>
        <v>066SMPL.d</v>
      </c>
      <c r="E68" s="11">
        <f>Alex_ITSD_count_data!E68</f>
        <v>45246.579363425924</v>
      </c>
      <c r="F68" s="8" t="str">
        <f>Alex_ITSD_count_data!F68</f>
        <v>Sample</v>
      </c>
      <c r="G68" s="8">
        <f>Alex_ITSD_count_data!G68</f>
        <v>0</v>
      </c>
      <c r="H68" s="8" t="str">
        <f>Alex_ITSD_count_data!H68</f>
        <v>10-10-B</v>
      </c>
      <c r="I68" s="17">
        <f>Alex_ITSD_count_data!K68</f>
        <v>19527969.289999999</v>
      </c>
      <c r="J68" s="17">
        <f>Alex_ITSD_count_data!L68</f>
        <v>1.6</v>
      </c>
      <c r="K68" s="47">
        <f t="shared" si="19"/>
        <v>19436311.52958899</v>
      </c>
      <c r="L68" s="17">
        <f t="shared" si="21"/>
        <v>2162.5055556319426</v>
      </c>
      <c r="M68" s="17">
        <f>'[1]Alex-Mn_As_data'!J70</f>
        <v>2156.9879999999998</v>
      </c>
      <c r="N68" s="8">
        <v>5</v>
      </c>
      <c r="O68" s="17">
        <f t="shared" si="56"/>
        <v>10812.527778159712</v>
      </c>
      <c r="P68" s="17">
        <f t="shared" si="57"/>
        <v>10784.939999999999</v>
      </c>
    </row>
    <row r="69" spans="1:16" x14ac:dyDescent="0.25">
      <c r="A69" s="23">
        <f>Alex_ITSD_count_data!A69</f>
        <v>0.10030092592205619</v>
      </c>
      <c r="B69" s="8" t="str">
        <f>Alex_ITSD_count_data!B69</f>
        <v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v>
      </c>
      <c r="C69" s="8" t="b">
        <f>Alex_ITSD_count_data!C69</f>
        <v>0</v>
      </c>
      <c r="D69" s="8" t="str">
        <f>Alex_ITSD_count_data!D69</f>
        <v>067SMPL.d</v>
      </c>
      <c r="E69" s="11">
        <f>Alex_ITSD_count_data!E69</f>
        <v>45246.58048611111</v>
      </c>
      <c r="F69" s="8" t="str">
        <f>Alex_ITSD_count_data!F69</f>
        <v>Sample</v>
      </c>
      <c r="G69" s="8">
        <f>Alex_ITSD_count_data!G69</f>
        <v>0</v>
      </c>
      <c r="H69" s="8" t="str">
        <f>Alex_ITSD_count_data!H69</f>
        <v>10-50-B</v>
      </c>
      <c r="I69" s="17">
        <f>Alex_ITSD_count_data!K69</f>
        <v>2866866.31</v>
      </c>
      <c r="J69" s="17">
        <f>Alex_ITSD_count_data!L69</f>
        <v>3.4</v>
      </c>
      <c r="K69" s="47">
        <f t="shared" si="19"/>
        <v>2774170.9952927739</v>
      </c>
      <c r="L69" s="17">
        <f t="shared" si="21"/>
        <v>314.79070041418095</v>
      </c>
      <c r="M69" s="17">
        <f>'[1]Alex-Mn_As_data'!J71</f>
        <v>316.52999999999997</v>
      </c>
      <c r="N69" s="8">
        <v>5</v>
      </c>
      <c r="O69" s="17">
        <f t="shared" si="56"/>
        <v>1573.9535020709047</v>
      </c>
      <c r="P69" s="17">
        <f t="shared" si="57"/>
        <v>1582.6499999999999</v>
      </c>
    </row>
    <row r="70" spans="1:16" x14ac:dyDescent="0.25">
      <c r="A70" s="23">
        <f>Alex_ITSD_count_data!A70</f>
        <v>0.10144675925403135</v>
      </c>
      <c r="B70" s="8" t="str">
        <f>Alex_ITSD_count_data!B70</f>
        <v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v>
      </c>
      <c r="C70" s="8" t="b">
        <f>Alex_ITSD_count_data!C70</f>
        <v>0</v>
      </c>
      <c r="D70" s="8" t="str">
        <f>Alex_ITSD_count_data!D70</f>
        <v>068SMPL.d</v>
      </c>
      <c r="E70" s="11">
        <f>Alex_ITSD_count_data!E70</f>
        <v>45246.581631944442</v>
      </c>
      <c r="F70" s="8" t="str">
        <f>Alex_ITSD_count_data!F70</f>
        <v>Sample</v>
      </c>
      <c r="G70" s="8">
        <f>Alex_ITSD_count_data!G70</f>
        <v>0</v>
      </c>
      <c r="H70" s="8" t="str">
        <f>Alex_ITSD_count_data!H70</f>
        <v>10-60-B</v>
      </c>
      <c r="I70" s="17">
        <f>Alex_ITSD_count_data!K70</f>
        <v>1883667.26</v>
      </c>
      <c r="J70" s="17">
        <f>Alex_ITSD_count_data!L70</f>
        <v>1.8</v>
      </c>
      <c r="K70" s="47">
        <f t="shared" si="19"/>
        <v>1789912.9981262044</v>
      </c>
      <c r="L70" s="17">
        <f t="shared" si="21"/>
        <v>205.75401223683014</v>
      </c>
      <c r="M70" s="17">
        <f>'[1]Alex-Mn_As_data'!J72</f>
        <v>207.922</v>
      </c>
      <c r="N70" s="8">
        <v>5</v>
      </c>
      <c r="O70" s="17">
        <f t="shared" ref="O70:O78" si="95">IF(L70 &lt; $S$44, "NA", N70*L70)</f>
        <v>1028.7700611841506</v>
      </c>
      <c r="P70" s="17">
        <f t="shared" si="57"/>
        <v>1039.6099999999999</v>
      </c>
    </row>
    <row r="71" spans="1:16" x14ac:dyDescent="0.25">
      <c r="A71" s="23">
        <f>Alex_ITSD_count_data!A71</f>
        <v>0.10255787037021946</v>
      </c>
      <c r="B71" s="8" t="str">
        <f>Alex_ITSD_count_data!B71</f>
        <v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v>
      </c>
      <c r="C71" s="8" t="b">
        <f>Alex_ITSD_count_data!C71</f>
        <v>0</v>
      </c>
      <c r="D71" s="8" t="str">
        <f>Alex_ITSD_count_data!D71</f>
        <v>069SMPL.d</v>
      </c>
      <c r="E71" s="11">
        <f>Alex_ITSD_count_data!E71</f>
        <v>45246.582743055558</v>
      </c>
      <c r="F71" s="8" t="str">
        <f>Alex_ITSD_count_data!F71</f>
        <v>Sample</v>
      </c>
      <c r="G71" s="8">
        <f>Alex_ITSD_count_data!G71</f>
        <v>0</v>
      </c>
      <c r="H71" s="8" t="str">
        <f>Alex_ITSD_count_data!H71</f>
        <v>10-70-B</v>
      </c>
      <c r="I71" s="17">
        <f>Alex_ITSD_count_data!K71</f>
        <v>2409732.83</v>
      </c>
      <c r="J71" s="17">
        <f>Alex_ITSD_count_data!L71</f>
        <v>2.6</v>
      </c>
      <c r="K71" s="47">
        <f t="shared" ref="K71:K86" si="96">I71-($AO$3*A71)</f>
        <v>2314951.7102618036</v>
      </c>
      <c r="L71" s="17">
        <f t="shared" si="21"/>
        <v>264.09463768488195</v>
      </c>
      <c r="M71" s="17">
        <f>'[1]Alex-Mn_As_data'!J73</f>
        <v>266.03300000000002</v>
      </c>
      <c r="N71" s="8">
        <v>5</v>
      </c>
      <c r="O71" s="17">
        <f t="shared" si="95"/>
        <v>1320.4731884244097</v>
      </c>
      <c r="P71" s="17">
        <f t="shared" si="57"/>
        <v>1330.165</v>
      </c>
    </row>
    <row r="72" spans="1:16" x14ac:dyDescent="0.25">
      <c r="A72" s="23">
        <f>Alex_ITSD_count_data!A72</f>
        <v>0.10373842592525762</v>
      </c>
      <c r="B72" s="8" t="str">
        <f>Alex_ITSD_count_data!B72</f>
        <v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v>
      </c>
      <c r="C72" s="8" t="b">
        <f>Alex_ITSD_count_data!C72</f>
        <v>0</v>
      </c>
      <c r="D72" s="8" t="str">
        <f>Alex_ITSD_count_data!D72</f>
        <v>070SMPL.d</v>
      </c>
      <c r="E72" s="11">
        <f>Alex_ITSD_count_data!E72</f>
        <v>45246.583923611113</v>
      </c>
      <c r="F72" s="8" t="str">
        <f>Alex_ITSD_count_data!F72</f>
        <v>Sample</v>
      </c>
      <c r="G72" s="8">
        <f>Alex_ITSD_count_data!G72</f>
        <v>0</v>
      </c>
      <c r="H72" s="8" t="str">
        <f>Alex_ITSD_count_data!H72</f>
        <v>10-100-B</v>
      </c>
      <c r="I72" s="17">
        <f>Alex_ITSD_count_data!K72</f>
        <v>1251545.58</v>
      </c>
      <c r="J72" s="17">
        <f>Alex_ITSD_count_data!L72</f>
        <v>0.6</v>
      </c>
      <c r="K72" s="47">
        <f t="shared" si="96"/>
        <v>1155673.4237863412</v>
      </c>
      <c r="L72" s="17">
        <f t="shared" ref="L72:L86" si="97">(I72-$AP$30)*(1/$AO$30)</f>
        <v>135.65177351690548</v>
      </c>
      <c r="M72" s="17">
        <f>'[1]Alex-Mn_As_data'!J74</f>
        <v>138.095</v>
      </c>
      <c r="N72" s="8">
        <v>5</v>
      </c>
      <c r="O72" s="17">
        <f t="shared" si="95"/>
        <v>678.25886758452737</v>
      </c>
      <c r="P72" s="17">
        <f t="shared" si="57"/>
        <v>690.47500000000002</v>
      </c>
    </row>
    <row r="73" spans="1:16" x14ac:dyDescent="0.25">
      <c r="A73" s="23">
        <f>Alex_ITSD_count_data!A73</f>
        <v>0.10488425925723277</v>
      </c>
      <c r="B73" s="8" t="str">
        <f>Alex_ITSD_count_data!B73</f>
        <v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v>
      </c>
      <c r="C73" s="8" t="b">
        <f>Alex_ITSD_count_data!C73</f>
        <v>0</v>
      </c>
      <c r="D73" s="8" t="str">
        <f>Alex_ITSD_count_data!D73</f>
        <v>071SMPL.d</v>
      </c>
      <c r="E73" s="11">
        <f>Alex_ITSD_count_data!E73</f>
        <v>45246.585069444445</v>
      </c>
      <c r="F73" s="8" t="str">
        <f>Alex_ITSD_count_data!F73</f>
        <v>Sample</v>
      </c>
      <c r="G73" s="8">
        <f>Alex_ITSD_count_data!G73</f>
        <v>0</v>
      </c>
      <c r="H73" s="8" t="str">
        <f>Alex_ITSD_count_data!H73</f>
        <v>20-10-T</v>
      </c>
      <c r="I73" s="17">
        <f>Alex_ITSD_count_data!K73</f>
        <v>307016.26</v>
      </c>
      <c r="J73" s="17">
        <f>Alex_ITSD_count_data!L73</f>
        <v>4.7</v>
      </c>
      <c r="K73" s="47">
        <f t="shared" si="96"/>
        <v>210085.1566197715</v>
      </c>
      <c r="L73" s="17">
        <f t="shared" si="97"/>
        <v>30.903554995737025</v>
      </c>
      <c r="M73" s="17">
        <f>'[1]Alex-Mn_As_data'!J75</f>
        <v>33.758000000000003</v>
      </c>
      <c r="N73" s="8">
        <v>5</v>
      </c>
      <c r="O73" s="17">
        <f t="shared" si="95"/>
        <v>154.51777497868511</v>
      </c>
      <c r="P73" s="17">
        <f t="shared" si="57"/>
        <v>168.79000000000002</v>
      </c>
    </row>
    <row r="74" spans="1:16" x14ac:dyDescent="0.25">
      <c r="A74" s="23">
        <f>Alex_ITSD_count_data!A74</f>
        <v>0.10601851851242827</v>
      </c>
      <c r="B74" s="8" t="str">
        <f>Alex_ITSD_count_data!B74</f>
        <v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v>
      </c>
      <c r="C74" s="8" t="b">
        <f>Alex_ITSD_count_data!C74</f>
        <v>0</v>
      </c>
      <c r="D74" s="8" t="str">
        <f>Alex_ITSD_count_data!D74</f>
        <v>072SMPL.d</v>
      </c>
      <c r="E74" s="11">
        <f>Alex_ITSD_count_data!E74</f>
        <v>45246.5862037037</v>
      </c>
      <c r="F74" s="8" t="str">
        <f>Alex_ITSD_count_data!F74</f>
        <v>Sample</v>
      </c>
      <c r="G74" s="8">
        <f>Alex_ITSD_count_data!G74</f>
        <v>0</v>
      </c>
      <c r="H74" s="8" t="str">
        <f>Alex_ITSD_count_data!H74</f>
        <v>20-50-T</v>
      </c>
      <c r="I74" s="17">
        <f>Alex_ITSD_count_data!K74</f>
        <v>458574.08000000002</v>
      </c>
      <c r="J74" s="17">
        <f>Alex_ITSD_count_data!L74</f>
        <v>4.0999999999999996</v>
      </c>
      <c r="K74" s="47">
        <f t="shared" si="96"/>
        <v>360594.72589174099</v>
      </c>
      <c r="L74" s="17">
        <f t="shared" si="97"/>
        <v>47.711303904952374</v>
      </c>
      <c r="M74" s="17">
        <f>'[1]Alex-Mn_As_data'!J76</f>
        <v>50.5</v>
      </c>
      <c r="N74" s="8">
        <v>5</v>
      </c>
      <c r="O74" s="17">
        <f t="shared" si="95"/>
        <v>238.55651952476188</v>
      </c>
      <c r="P74" s="17">
        <f t="shared" si="57"/>
        <v>252.5</v>
      </c>
    </row>
    <row r="75" spans="1:16" x14ac:dyDescent="0.25">
      <c r="A75" s="23">
        <f>Alex_ITSD_count_data!A75</f>
        <v>0.10715277777489973</v>
      </c>
      <c r="B75" s="8" t="str">
        <f>Alex_ITSD_count_data!B75</f>
        <v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v>
      </c>
      <c r="C75" s="8" t="b">
        <f>Alex_ITSD_count_data!C75</f>
        <v>0</v>
      </c>
      <c r="D75" s="8" t="str">
        <f>Alex_ITSD_count_data!D75</f>
        <v>073SMPL.d</v>
      </c>
      <c r="E75" s="11">
        <f>Alex_ITSD_count_data!E75</f>
        <v>45246.587337962963</v>
      </c>
      <c r="F75" s="8" t="str">
        <f>Alex_ITSD_count_data!F75</f>
        <v>Sample</v>
      </c>
      <c r="G75" s="8">
        <f>Alex_ITSD_count_data!G75</f>
        <v>0</v>
      </c>
      <c r="H75" s="8" t="str">
        <f>Alex_ITSD_count_data!H75</f>
        <v>20-70-B</v>
      </c>
      <c r="I75" s="17">
        <f>Alex_ITSD_count_data!K75</f>
        <v>131200.03</v>
      </c>
      <c r="J75" s="17">
        <f>Alex_ITSD_count_data!L75</f>
        <v>1.7</v>
      </c>
      <c r="K75" s="47">
        <f t="shared" si="96"/>
        <v>32172.425156986195</v>
      </c>
      <c r="L75" s="17">
        <f t="shared" si="97"/>
        <v>11.405550550932695</v>
      </c>
      <c r="M75" s="17">
        <f>'[1]Alex-Mn_As_data'!J77</f>
        <v>14.336</v>
      </c>
      <c r="N75" s="8">
        <v>10</v>
      </c>
      <c r="O75" s="17">
        <f t="shared" si="95"/>
        <v>114.05550550932695</v>
      </c>
      <c r="P75" s="17">
        <f t="shared" si="57"/>
        <v>143.36000000000001</v>
      </c>
    </row>
    <row r="76" spans="1:16" x14ac:dyDescent="0.25">
      <c r="A76" s="23">
        <f>Alex_ITSD_count_data!A76</f>
        <v>0.10834490740671754</v>
      </c>
      <c r="B76" s="8" t="str">
        <f>Alex_ITSD_count_data!B76</f>
        <v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v>
      </c>
      <c r="C76" s="8" t="b">
        <f>Alex_ITSD_count_data!C76</f>
        <v>0</v>
      </c>
      <c r="D76" s="8" t="str">
        <f>Alex_ITSD_count_data!D76</f>
        <v>074SMPL.d</v>
      </c>
      <c r="E76" s="11">
        <f>Alex_ITSD_count_data!E76</f>
        <v>45246.588530092595</v>
      </c>
      <c r="F76" s="8" t="str">
        <f>Alex_ITSD_count_data!F76</f>
        <v>Sample</v>
      </c>
      <c r="G76" s="8">
        <f>Alex_ITSD_count_data!G76</f>
        <v>0</v>
      </c>
      <c r="H76" s="8" t="str">
        <f>Alex_ITSD_count_data!H76</f>
        <v>20-60-B</v>
      </c>
      <c r="I76" s="17">
        <f>Alex_ITSD_count_data!K76</f>
        <v>157542.82</v>
      </c>
      <c r="J76" s="17">
        <f>Alex_ITSD_count_data!L76</f>
        <v>3.9</v>
      </c>
      <c r="K76" s="47">
        <f t="shared" si="96"/>
        <v>57413.482242984654</v>
      </c>
      <c r="L76" s="17">
        <f t="shared" si="97"/>
        <v>14.326963645210437</v>
      </c>
      <c r="M76" s="17">
        <f>'[1]Alex-Mn_As_data'!J78</f>
        <v>17.245999999999999</v>
      </c>
      <c r="N76" s="8">
        <v>10</v>
      </c>
      <c r="O76" s="17">
        <f t="shared" si="95"/>
        <v>143.26963645210438</v>
      </c>
      <c r="P76" s="17">
        <f t="shared" si="57"/>
        <v>172.45999999999998</v>
      </c>
    </row>
    <row r="77" spans="1:16" x14ac:dyDescent="0.25">
      <c r="A77" s="23">
        <f>Alex_ITSD_count_data!A77</f>
        <v>0.10947916666191304</v>
      </c>
      <c r="B77" s="8" t="str">
        <f>Alex_ITSD_count_data!B77</f>
        <v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v>
      </c>
      <c r="C77" s="8" t="b">
        <f>Alex_ITSD_count_data!C77</f>
        <v>0</v>
      </c>
      <c r="D77" s="8" t="str">
        <f>Alex_ITSD_count_data!D77</f>
        <v>075SMPL.d</v>
      </c>
      <c r="E77" s="11">
        <f>Alex_ITSD_count_data!E77</f>
        <v>45246.58966435185</v>
      </c>
      <c r="F77" s="8" t="str">
        <f>Alex_ITSD_count_data!F77</f>
        <v>Sample</v>
      </c>
      <c r="G77" s="8">
        <f>Alex_ITSD_count_data!G77</f>
        <v>0</v>
      </c>
      <c r="H77" s="8" t="str">
        <f>Alex_ITSD_count_data!H77</f>
        <v>20-80-B</v>
      </c>
      <c r="I77" s="17">
        <f>Alex_ITSD_count_data!K77</f>
        <v>72497.350000000006</v>
      </c>
      <c r="J77" s="17">
        <f>Alex_ITSD_count_data!L77</f>
        <v>5.9</v>
      </c>
      <c r="K77" s="47">
        <f t="shared" si="96"/>
        <v>-28680.238485045877</v>
      </c>
      <c r="L77" s="17">
        <f t="shared" si="97"/>
        <v>4.8954285015523507</v>
      </c>
      <c r="M77" s="17">
        <f>'[1]Alex-Mn_As_data'!J79</f>
        <v>7.8520000000000003</v>
      </c>
      <c r="N77" s="8">
        <v>10</v>
      </c>
      <c r="O77" s="17">
        <f t="shared" si="95"/>
        <v>48.95428501552351</v>
      </c>
      <c r="P77" s="17">
        <f t="shared" si="57"/>
        <v>78.52000000000001</v>
      </c>
    </row>
    <row r="78" spans="1:16" x14ac:dyDescent="0.25">
      <c r="A78" s="23">
        <f>Alex_ITSD_count_data!A78</f>
        <v>0.1106134259243845</v>
      </c>
      <c r="B78" s="8" t="str">
        <f>Alex_ITSD_count_data!B78</f>
        <v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v>
      </c>
      <c r="C78" s="8" t="b">
        <f>Alex_ITSD_count_data!C78</f>
        <v>0</v>
      </c>
      <c r="D78" s="8" t="str">
        <f>Alex_ITSD_count_data!D78</f>
        <v>076SMPL.d</v>
      </c>
      <c r="E78" s="11">
        <f>Alex_ITSD_count_data!E78</f>
        <v>45246.590798611112</v>
      </c>
      <c r="F78" s="8" t="str">
        <f>Alex_ITSD_count_data!F78</f>
        <v>Sample</v>
      </c>
      <c r="G78" s="8">
        <f>Alex_ITSD_count_data!G78</f>
        <v>0</v>
      </c>
      <c r="H78" s="8" t="str">
        <f>Alex_ITSD_count_data!H78</f>
        <v>20-90-T</v>
      </c>
      <c r="I78" s="17">
        <f>Alex_ITSD_count_data!K78</f>
        <v>404399.54</v>
      </c>
      <c r="J78" s="17">
        <f>Alex_ITSD_count_data!L78</f>
        <v>3</v>
      </c>
      <c r="K78" s="47">
        <f t="shared" si="96"/>
        <v>302173.70078019932</v>
      </c>
      <c r="L78" s="17">
        <f t="shared" si="97"/>
        <v>41.703352183343789</v>
      </c>
      <c r="M78" s="17">
        <f>'[1]Alex-Mn_As_data'!J80</f>
        <v>44.515000000000001</v>
      </c>
      <c r="N78" s="8">
        <v>10</v>
      </c>
      <c r="O78" s="17">
        <f t="shared" si="95"/>
        <v>417.03352183343787</v>
      </c>
      <c r="P78" s="17">
        <f t="shared" si="57"/>
        <v>445.15</v>
      </c>
    </row>
    <row r="79" spans="1:16" x14ac:dyDescent="0.25">
      <c r="A79" s="23">
        <f>Alex_ITSD_count_data!A79</f>
        <v>0.11174768517958</v>
      </c>
      <c r="B79" s="8" t="str">
        <f>Alex_ITSD_count_data!B79</f>
        <v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v>
      </c>
      <c r="C79" s="8" t="b">
        <f>Alex_ITSD_count_data!C79</f>
        <v>0</v>
      </c>
      <c r="D79" s="8" t="str">
        <f>Alex_ITSD_count_data!D79</f>
        <v>077SMPL.d</v>
      </c>
      <c r="E79" s="11">
        <f>Alex_ITSD_count_data!E79</f>
        <v>45246.591932870368</v>
      </c>
      <c r="F79" s="8" t="str">
        <f>Alex_ITSD_count_data!F79</f>
        <v>Sample</v>
      </c>
      <c r="G79" s="8">
        <f>Alex_ITSD_count_data!G79</f>
        <v>0</v>
      </c>
      <c r="H79" s="8" t="str">
        <f>Alex_ITSD_count_data!H79</f>
        <v>DI H2O</v>
      </c>
      <c r="I79" s="17">
        <f>Alex_ITSD_count_data!K79</f>
        <v>13376.67</v>
      </c>
      <c r="J79" s="17">
        <f>Alex_ITSD_count_data!L79</f>
        <v>5.6</v>
      </c>
      <c r="K79" s="47">
        <f t="shared" si="96"/>
        <v>-89897.419947831164</v>
      </c>
      <c r="L79" s="17">
        <f t="shared" si="97"/>
        <v>-1.6610497110668969</v>
      </c>
      <c r="M79" s="17">
        <f>'[1]Alex-Mn_As_data'!J81</f>
        <v>1.321</v>
      </c>
      <c r="N79" s="8"/>
      <c r="O79" s="17"/>
      <c r="P79" s="17"/>
    </row>
    <row r="80" spans="1:16" x14ac:dyDescent="0.25">
      <c r="A80" s="23">
        <f>Alex_ITSD_count_data!A80</f>
        <v>0.11293981481139781</v>
      </c>
      <c r="B80" s="8" t="str">
        <f>Alex_ITSD_count_data!B80</f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C80" s="8" t="b">
        <f>Alex_ITSD_count_data!C80</f>
        <v>0</v>
      </c>
      <c r="D80" s="8" t="str">
        <f>Alex_ITSD_count_data!D80</f>
        <v>078SMPL.d</v>
      </c>
      <c r="E80" s="11">
        <f>Alex_ITSD_count_data!E80</f>
        <v>45246.593124999999</v>
      </c>
      <c r="F80" s="8" t="str">
        <f>Alex_ITSD_count_data!F80</f>
        <v>Sample</v>
      </c>
      <c r="G80" s="8">
        <f>Alex_ITSD_count_data!G80</f>
        <v>0</v>
      </c>
      <c r="H80" s="40" t="str">
        <f>Alex_ITSD_count_data!H80</f>
        <v>blk</v>
      </c>
      <c r="I80" s="43">
        <f>Alex_ITSD_count_data!K80</f>
        <v>7108.65</v>
      </c>
      <c r="J80" s="43">
        <f>Alex_ITSD_count_data!L80</f>
        <v>3.6</v>
      </c>
      <c r="K80" s="48">
        <f t="shared" si="96"/>
        <v>-97267.172861832718</v>
      </c>
      <c r="L80" s="43">
        <f t="shared" si="97"/>
        <v>-2.3561725778245473</v>
      </c>
      <c r="M80" s="43">
        <f>'[1]Alex-Mn_As_data'!J82</f>
        <v>0.629</v>
      </c>
      <c r="N80" s="8"/>
      <c r="O80" s="17"/>
      <c r="P80" s="17"/>
    </row>
    <row r="81" spans="1:16" x14ac:dyDescent="0.25">
      <c r="A81" s="23">
        <f>Alex_ITSD_count_data!A81</f>
        <v>0.11407407407386927</v>
      </c>
      <c r="B81" s="8" t="str">
        <f>Alex_ITSD_count_data!B81</f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C81" s="8" t="b">
        <f>Alex_ITSD_count_data!C81</f>
        <v>0</v>
      </c>
      <c r="D81" s="8" t="str">
        <f>Alex_ITSD_count_data!D81</f>
        <v>079SMPL.d</v>
      </c>
      <c r="E81" s="11">
        <f>Alex_ITSD_count_data!E81</f>
        <v>45246.594259259262</v>
      </c>
      <c r="F81" s="8" t="str">
        <f>Alex_ITSD_count_data!F81</f>
        <v>Sample</v>
      </c>
      <c r="G81" s="8">
        <f>Alex_ITSD_count_data!G81</f>
        <v>0</v>
      </c>
      <c r="H81" s="8" t="str">
        <f>Alex_ITSD_count_data!H81</f>
        <v>100 ppb check</v>
      </c>
      <c r="I81" s="17">
        <f>Alex_ITSD_count_data!K81</f>
        <v>1051463.1599999999</v>
      </c>
      <c r="J81" s="17">
        <f>Alex_ITSD_count_data!L81</f>
        <v>2.1</v>
      </c>
      <c r="K81" s="47">
        <f t="shared" si="96"/>
        <v>946039.0864034124</v>
      </c>
      <c r="L81" s="17">
        <f t="shared" si="97"/>
        <v>113.46265073519636</v>
      </c>
      <c r="M81" s="17">
        <f>'[1]Alex-Mn_As_data'!J83</f>
        <v>115.99299999999999</v>
      </c>
      <c r="N81" s="8"/>
      <c r="O81" s="17"/>
      <c r="P81" s="17"/>
    </row>
    <row r="82" spans="1:16" x14ac:dyDescent="0.25">
      <c r="A82" s="23">
        <f>Alex_ITSD_count_data!A82</f>
        <v>0.11520833332906477</v>
      </c>
      <c r="B82" s="8" t="str">
        <f>Alex_ITSD_count_data!B82</f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C82" s="8" t="b">
        <f>Alex_ITSD_count_data!C82</f>
        <v>0</v>
      </c>
      <c r="D82" s="8" t="str">
        <f>Alex_ITSD_count_data!D82</f>
        <v>080SMPL.d</v>
      </c>
      <c r="E82" s="11">
        <f>Alex_ITSD_count_data!E82</f>
        <v>45246.595393518517</v>
      </c>
      <c r="F82" s="8" t="str">
        <f>Alex_ITSD_count_data!F82</f>
        <v>CalStd</v>
      </c>
      <c r="G82" s="8">
        <f>Alex_ITSD_count_data!G82</f>
        <v>10</v>
      </c>
      <c r="H82" s="8" t="str">
        <f>Alex_ITSD_count_data!H82</f>
        <v>level 10 m6</v>
      </c>
      <c r="I82" s="17">
        <f>Alex_ITSD_count_data!K82</f>
        <v>10149657.140000001</v>
      </c>
      <c r="J82" s="17">
        <f>Alex_ITSD_count_data!L82</f>
        <v>1.9</v>
      </c>
      <c r="K82" s="47">
        <f t="shared" si="96"/>
        <v>10043184.815675383</v>
      </c>
      <c r="L82" s="17">
        <f t="shared" si="97"/>
        <v>1122.4515629745954</v>
      </c>
      <c r="M82" s="17">
        <f>'[1]Alex-Mn_As_data'!J15</f>
        <v>1121.019</v>
      </c>
      <c r="N82" s="8"/>
      <c r="O82" s="17"/>
      <c r="P82" s="17"/>
    </row>
    <row r="83" spans="1:16" x14ac:dyDescent="0.25">
      <c r="A83" s="23">
        <f>Alex_ITSD_count_data!A83</f>
        <v>0.11633101851475658</v>
      </c>
      <c r="B83" s="8" t="str">
        <f>Alex_ITSD_count_data!B83</f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C83" s="8" t="b">
        <f>Alex_ITSD_count_data!C83</f>
        <v>0</v>
      </c>
      <c r="D83" s="8" t="str">
        <f>Alex_ITSD_count_data!D83</f>
        <v>081SMPL.d</v>
      </c>
      <c r="E83" s="11">
        <f>Alex_ITSD_count_data!E83</f>
        <v>45246.596516203703</v>
      </c>
      <c r="F83" s="8" t="str">
        <f>Alex_ITSD_count_data!F83</f>
        <v>CalStd</v>
      </c>
      <c r="G83" s="8">
        <f>Alex_ITSD_count_data!G83</f>
        <v>11</v>
      </c>
      <c r="H83" s="8" t="str">
        <f>Alex_ITSD_count_data!H83</f>
        <v>level 11 m6</v>
      </c>
      <c r="I83" s="17">
        <f>Alex_ITSD_count_data!K83</f>
        <v>88454685.349999994</v>
      </c>
      <c r="J83" s="17">
        <f>Alex_ITSD_count_data!L83</f>
        <v>0.8</v>
      </c>
      <c r="K83" s="47">
        <f t="shared" si="96"/>
        <v>88347175.471379161</v>
      </c>
      <c r="L83" s="17">
        <f t="shared" si="97"/>
        <v>9806.4723049112654</v>
      </c>
      <c r="M83" s="17"/>
      <c r="N83" s="8"/>
      <c r="O83" s="17"/>
      <c r="P83" s="17"/>
    </row>
    <row r="84" spans="1:16" x14ac:dyDescent="0.25">
      <c r="A84" s="23">
        <f>Alex_ITSD_count_data!A84</f>
        <v>0.11753472221607808</v>
      </c>
      <c r="B84" s="8" t="str">
        <f>Alex_ITSD_count_data!B84</f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C84" s="8" t="b">
        <f>Alex_ITSD_count_data!C84</f>
        <v>0</v>
      </c>
      <c r="D84" s="8" t="str">
        <f>Alex_ITSD_count_data!D84</f>
        <v>082SMPL.d</v>
      </c>
      <c r="E84" s="11">
        <f>Alex_ITSD_count_data!E84</f>
        <v>45246.597719907404</v>
      </c>
      <c r="F84" s="8" t="str">
        <f>Alex_ITSD_count_data!F84</f>
        <v>Sample</v>
      </c>
      <c r="G84" s="8">
        <f>Alex_ITSD_count_data!G84</f>
        <v>0</v>
      </c>
      <c r="H84" s="40" t="str">
        <f>Alex_ITSD_count_data!H84</f>
        <v>blk</v>
      </c>
      <c r="I84" s="43">
        <f>Alex_ITSD_count_data!K84</f>
        <v>7865.73</v>
      </c>
      <c r="J84" s="43">
        <f>Alex_ITSD_count_data!L84</f>
        <v>3.5</v>
      </c>
      <c r="K84" s="48">
        <f t="shared" si="96"/>
        <v>-100756.57796665007</v>
      </c>
      <c r="L84" s="43">
        <f>(I84-$AP$30)*(1/$AO$30)</f>
        <v>-2.2722124724061086</v>
      </c>
      <c r="M84" s="43">
        <f>'[1]Alex-Mn_As_data'!J84</f>
        <v>0.71199999999999997</v>
      </c>
      <c r="N84" s="8"/>
      <c r="O84" s="17"/>
      <c r="P84" s="17"/>
    </row>
    <row r="85" spans="1:16" x14ac:dyDescent="0.25">
      <c r="A85" s="23">
        <f>Alex_ITSD_count_data!A85</f>
        <v>0.11868055555532919</v>
      </c>
      <c r="B85" s="8" t="str">
        <f>Alex_ITSD_count_data!B85</f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C85" s="8" t="b">
        <f>Alex_ITSD_count_data!C85</f>
        <v>0</v>
      </c>
      <c r="D85" s="8" t="str">
        <f>Alex_ITSD_count_data!D85</f>
        <v>083SMPL.d</v>
      </c>
      <c r="E85" s="11">
        <f>Alex_ITSD_count_data!E85</f>
        <v>45246.598865740743</v>
      </c>
      <c r="F85" s="8" t="str">
        <f>Alex_ITSD_count_data!F85</f>
        <v>Sample</v>
      </c>
      <c r="G85" s="8">
        <f>Alex_ITSD_count_data!G85</f>
        <v>0</v>
      </c>
      <c r="H85" s="40" t="str">
        <f>Alex_ITSD_count_data!H85</f>
        <v>blk</v>
      </c>
      <c r="I85" s="43">
        <f>Alex_ITSD_count_data!K85</f>
        <v>4357.47</v>
      </c>
      <c r="J85" s="43">
        <f>Alex_ITSD_count_data!L85</f>
        <v>1.5</v>
      </c>
      <c r="K85" s="48">
        <f t="shared" si="96"/>
        <v>-105323.78513994388</v>
      </c>
      <c r="L85" s="43">
        <f t="shared" si="97"/>
        <v>-2.6612781978714382</v>
      </c>
      <c r="M85" s="43">
        <f>'[1]Alex-Mn_As_data'!J85</f>
        <v>0.32500000000000001</v>
      </c>
      <c r="N85" s="8"/>
      <c r="O85" s="17"/>
      <c r="P85" s="17"/>
    </row>
    <row r="86" spans="1:16" x14ac:dyDescent="0.25">
      <c r="A86" s="23">
        <f>Alex_ITSD_count_data!A86</f>
        <v>0.119803240741021</v>
      </c>
      <c r="B86" s="8" t="str">
        <f>Alex_ITSD_count_data!B86</f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C86" s="8" t="b">
        <f>Alex_ITSD_count_data!C86</f>
        <v>0</v>
      </c>
      <c r="D86" s="8" t="str">
        <f>Alex_ITSD_count_data!D86</f>
        <v>084SMPL.d</v>
      </c>
      <c r="E86" s="11">
        <f>Alex_ITSD_count_data!E86</f>
        <v>45246.599988425929</v>
      </c>
      <c r="F86" s="8" t="str">
        <f>Alex_ITSD_count_data!F86</f>
        <v>Sample</v>
      </c>
      <c r="G86" s="8">
        <f>Alex_ITSD_count_data!G86</f>
        <v>0</v>
      </c>
      <c r="H86" s="40" t="str">
        <f>Alex_ITSD_count_data!H86</f>
        <v>blk</v>
      </c>
      <c r="I86" s="43">
        <f>Alex_ITSD_count_data!K86</f>
        <v>2650.33</v>
      </c>
      <c r="J86" s="43">
        <f>Alex_ITSD_count_data!L86</f>
        <v>5.3</v>
      </c>
      <c r="K86" s="48">
        <f t="shared" si="96"/>
        <v>-108068.47943615959</v>
      </c>
      <c r="L86" s="43">
        <f t="shared" si="97"/>
        <v>-2.8505998737366482</v>
      </c>
      <c r="M86" s="43">
        <f>'[1]Alex-Mn_As_data'!J86</f>
        <v>0.13600000000000001</v>
      </c>
      <c r="N86" s="8"/>
      <c r="O86" s="17"/>
      <c r="P86" s="17"/>
    </row>
  </sheetData>
  <autoFilter ref="A1:J86" xr:uid="{831C3614-7E82-469C-9EC7-2C530BF5CE48}"/>
  <conditionalFormatting sqref="I1:I86">
    <cfRule type="cellIs" dxfId="59" priority="17" operator="lessThan">
      <formula>$S$43</formula>
    </cfRule>
  </conditionalFormatting>
  <conditionalFormatting sqref="I3:I86">
    <cfRule type="cellIs" dxfId="58" priority="20" operator="lessThan">
      <formula>$T$43</formula>
    </cfRule>
  </conditionalFormatting>
  <conditionalFormatting sqref="L1:L86">
    <cfRule type="cellIs" dxfId="57" priority="18" operator="lessThan">
      <formula>$S$44</formula>
    </cfRule>
    <cfRule type="cellIs" dxfId="56" priority="19" operator="lessThan">
      <formula>$T$44</formula>
    </cfRule>
  </conditionalFormatting>
  <conditionalFormatting sqref="M1:M86">
    <cfRule type="cellIs" dxfId="55" priority="2" operator="equal">
      <formula>$M$28</formula>
    </cfRule>
    <cfRule type="cellIs" dxfId="54" priority="15" operator="lessThan">
      <formula>$S$45</formula>
    </cfRule>
    <cfRule type="cellIs" dxfId="53" priority="16" operator="lessThan">
      <formula>$T$45</formula>
    </cfRule>
  </conditionalFormatting>
  <conditionalFormatting sqref="O1:O2">
    <cfRule type="cellIs" dxfId="52" priority="7" operator="lessThan">
      <formula>$S$44</formula>
    </cfRule>
    <cfRule type="cellIs" dxfId="51" priority="8" operator="lessThan">
      <formula>$T$44</formula>
    </cfRule>
  </conditionalFormatting>
  <conditionalFormatting sqref="P1:P2">
    <cfRule type="cellIs" dxfId="50" priority="4" operator="equal">
      <formula>$M$28</formula>
    </cfRule>
    <cfRule type="cellIs" dxfId="49" priority="5" operator="lessThan">
      <formula>$S$45</formula>
    </cfRule>
    <cfRule type="cellIs" dxfId="48" priority="6" operator="lessThan">
      <formula>$T$45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E061-F223-4F06-826A-FAA5D642FFD5}">
  <dimension ref="A1:BU86"/>
  <sheetViews>
    <sheetView topLeftCell="A16" workbookViewId="0">
      <selection activeCell="O22" sqref="O22"/>
    </sheetView>
  </sheetViews>
  <sheetFormatPr defaultRowHeight="15" x14ac:dyDescent="0.25"/>
  <cols>
    <col min="1" max="1" width="9.140625" style="24"/>
    <col min="5" max="5" width="9.140625" style="1"/>
    <col min="8" max="8" width="17.42578125" customWidth="1"/>
    <col min="9" max="9" width="13.42578125" bestFit="1" customWidth="1"/>
    <col min="10" max="10" width="9.28515625" bestFit="1" customWidth="1"/>
    <col min="11" max="11" width="14.42578125" customWidth="1"/>
    <col min="17" max="17" width="27.85546875" customWidth="1"/>
    <col min="18" max="18" width="18" style="1" customWidth="1"/>
    <col min="19" max="19" width="13.5703125" customWidth="1"/>
    <col min="20" max="20" width="13" customWidth="1"/>
    <col min="21" max="21" width="11" customWidth="1"/>
    <col min="22" max="22" width="11.7109375" style="1" customWidth="1"/>
    <col min="23" max="23" width="14" customWidth="1"/>
    <col min="24" max="24" width="14.140625" customWidth="1"/>
    <col min="25" max="25" width="11.42578125" customWidth="1"/>
    <col min="26" max="26" width="14.140625" customWidth="1"/>
    <col min="29" max="29" width="13.42578125" bestFit="1" customWidth="1"/>
    <col min="31" max="31" width="13.42578125" bestFit="1" customWidth="1"/>
    <col min="40" max="40" width="13.85546875" customWidth="1"/>
    <col min="41" max="41" width="16.85546875" customWidth="1"/>
    <col min="42" max="42" width="18.28515625" customWidth="1"/>
    <col min="43" max="43" width="27.85546875" customWidth="1"/>
    <col min="45" max="45" width="22.140625" customWidth="1"/>
    <col min="46" max="46" width="14" style="1" customWidth="1"/>
    <col min="50" max="50" width="9.140625" style="1"/>
    <col min="52" max="52" width="15" customWidth="1"/>
    <col min="54" max="54" width="35.85546875" customWidth="1"/>
    <col min="55" max="55" width="13" customWidth="1"/>
    <col min="56" max="56" width="13.28515625" style="20" customWidth="1"/>
    <col min="57" max="57" width="11.7109375" style="20" bestFit="1" customWidth="1"/>
    <col min="58" max="58" width="11.42578125" style="20" bestFit="1" customWidth="1"/>
    <col min="59" max="59" width="12.5703125" style="20" bestFit="1" customWidth="1"/>
    <col min="60" max="60" width="11.7109375" style="20" bestFit="1" customWidth="1"/>
    <col min="61" max="61" width="10.5703125" style="20" bestFit="1" customWidth="1"/>
    <col min="62" max="62" width="9.28515625" style="20" bestFit="1" customWidth="1"/>
    <col min="63" max="63" width="11.5703125" style="20" customWidth="1"/>
    <col min="64" max="66" width="9.28515625" style="20" bestFit="1" customWidth="1"/>
    <col min="67" max="67" width="10" style="20" bestFit="1" customWidth="1"/>
    <col min="68" max="68" width="11.85546875" bestFit="1" customWidth="1"/>
    <col min="69" max="69" width="18.140625" bestFit="1" customWidth="1"/>
    <col min="70" max="70" width="15" bestFit="1" customWidth="1"/>
  </cols>
  <sheetData>
    <row r="1" spans="1:73" x14ac:dyDescent="0.25">
      <c r="A1" s="22"/>
      <c r="B1" s="7" t="str">
        <f>Alex_ITSD_count_data!B1</f>
        <v>Sample</v>
      </c>
      <c r="C1" s="7"/>
      <c r="D1" s="7"/>
      <c r="E1" s="10"/>
      <c r="F1" s="7"/>
      <c r="G1" s="7"/>
      <c r="H1" s="7"/>
      <c r="I1" s="16" t="str">
        <f>Alex_ITSD_count_data!Q1</f>
        <v xml:space="preserve">75  As  [ He ] </v>
      </c>
      <c r="J1" s="16">
        <f>Alex_ITSD_count_data!R1</f>
        <v>0</v>
      </c>
      <c r="K1" s="53" t="s">
        <v>349</v>
      </c>
      <c r="L1" s="54" t="s">
        <v>351</v>
      </c>
      <c r="M1" s="54" t="s">
        <v>350</v>
      </c>
      <c r="N1" s="7" t="s">
        <v>362</v>
      </c>
      <c r="O1" s="16" t="s">
        <v>374</v>
      </c>
      <c r="P1" s="16" t="s">
        <v>375</v>
      </c>
      <c r="Q1" s="2" t="s">
        <v>275</v>
      </c>
      <c r="R1" s="10"/>
      <c r="S1" s="7" t="str">
        <f>B1</f>
        <v>Sample</v>
      </c>
      <c r="T1" s="7"/>
      <c r="U1" s="7"/>
      <c r="V1" s="10"/>
      <c r="W1" s="7"/>
      <c r="X1" s="7"/>
      <c r="Y1" s="7"/>
      <c r="Z1" s="16" t="str">
        <f>I1</f>
        <v xml:space="preserve">75  As  [ He ] </v>
      </c>
      <c r="AA1" s="16"/>
      <c r="AB1" s="32"/>
      <c r="AC1" s="32"/>
      <c r="AD1" s="32"/>
      <c r="AE1" s="32"/>
      <c r="AF1" s="32"/>
      <c r="AG1" s="32"/>
      <c r="AH1" s="32"/>
      <c r="AI1" s="32"/>
      <c r="AJ1" s="32"/>
      <c r="AO1" s="2" t="s">
        <v>288</v>
      </c>
      <c r="AS1" s="2" t="s">
        <v>274</v>
      </c>
      <c r="AT1" s="10"/>
      <c r="AU1" s="7" t="str">
        <f>S1</f>
        <v>Sample</v>
      </c>
      <c r="AV1" s="7"/>
      <c r="AW1" s="7"/>
      <c r="AX1" s="10"/>
      <c r="AY1" s="7"/>
      <c r="AZ1" s="7"/>
      <c r="BA1" s="7"/>
      <c r="BB1" s="16" t="s">
        <v>291</v>
      </c>
      <c r="BC1" s="16"/>
      <c r="BD1" s="32"/>
      <c r="BE1" s="32"/>
      <c r="BF1" s="32"/>
      <c r="BG1" s="32"/>
      <c r="BH1" s="32"/>
      <c r="BI1" s="32"/>
      <c r="BJ1" s="32"/>
      <c r="BK1" s="32"/>
      <c r="BL1" s="32"/>
      <c r="BM1"/>
      <c r="BN1"/>
      <c r="BO1"/>
      <c r="BQ1" s="2" t="s">
        <v>288</v>
      </c>
      <c r="BU1" s="2"/>
    </row>
    <row r="2" spans="1:73" x14ac:dyDescent="0.25">
      <c r="A2" s="22" t="str">
        <f>Alex_ITSD_count_data!A2</f>
        <v>Number</v>
      </c>
      <c r="B2" s="7"/>
      <c r="C2" s="7" t="str">
        <f>Alex_ITSD_count_data!C2</f>
        <v>Rjct</v>
      </c>
      <c r="D2" s="7" t="str">
        <f>Alex_ITSD_count_data!D2</f>
        <v>Data File</v>
      </c>
      <c r="E2" s="10" t="str">
        <f>Alex_ITSD_count_data!E2</f>
        <v>Acq. Date-Time</v>
      </c>
      <c r="F2" s="7" t="str">
        <f>Alex_ITSD_count_data!F2</f>
        <v>Type</v>
      </c>
      <c r="G2" s="7" t="str">
        <f>Alex_ITSD_count_data!G2</f>
        <v>Level</v>
      </c>
      <c r="H2" s="7" t="str">
        <f>Alex_ITSD_count_data!H2</f>
        <v>Sample Name</v>
      </c>
      <c r="I2" s="16" t="str">
        <f>Alex_ITSD_count_data!Q2</f>
        <v>CPS</v>
      </c>
      <c r="J2" s="16" t="str">
        <f>Alex_ITSD_count_data!R2</f>
        <v>CPS RSD</v>
      </c>
      <c r="K2" s="53" t="s">
        <v>296</v>
      </c>
      <c r="L2" s="54" t="s">
        <v>326</v>
      </c>
      <c r="M2" s="54" t="s">
        <v>327</v>
      </c>
      <c r="N2" s="28"/>
      <c r="O2" s="54" t="s">
        <v>326</v>
      </c>
      <c r="P2" s="54" t="s">
        <v>327</v>
      </c>
      <c r="R2" s="10" t="str">
        <f>A2</f>
        <v>Number</v>
      </c>
      <c r="S2" s="7"/>
      <c r="T2" s="7" t="str">
        <f t="shared" ref="T2:Y2" si="0">C2</f>
        <v>Rjct</v>
      </c>
      <c r="U2" s="7" t="str">
        <f t="shared" si="0"/>
        <v>Data File</v>
      </c>
      <c r="V2" s="10" t="str">
        <f t="shared" si="0"/>
        <v>Acq. Date-Time</v>
      </c>
      <c r="W2" s="7" t="str">
        <f t="shared" si="0"/>
        <v>Type</v>
      </c>
      <c r="X2" s="7" t="str">
        <f t="shared" si="0"/>
        <v>Level</v>
      </c>
      <c r="Y2" s="7" t="str">
        <f t="shared" si="0"/>
        <v>Sample Name</v>
      </c>
      <c r="Z2" s="16" t="str">
        <f>I2</f>
        <v>CPS</v>
      </c>
      <c r="AA2" s="16" t="str">
        <f>J2</f>
        <v>CPS RSD</v>
      </c>
      <c r="AB2" s="27" t="s">
        <v>256</v>
      </c>
      <c r="AC2" s="27" t="s">
        <v>264</v>
      </c>
      <c r="AD2" s="27" t="s">
        <v>265</v>
      </c>
      <c r="AE2" s="27" t="s">
        <v>266</v>
      </c>
      <c r="AF2" s="27" t="s">
        <v>267</v>
      </c>
      <c r="AG2" s="28" t="s">
        <v>257</v>
      </c>
      <c r="AH2" s="28" t="s">
        <v>260</v>
      </c>
      <c r="AI2" s="28" t="s">
        <v>261</v>
      </c>
      <c r="AJ2" s="28" t="s">
        <v>287</v>
      </c>
      <c r="AO2" s="7" t="s">
        <v>272</v>
      </c>
      <c r="AP2" s="7" t="s">
        <v>273</v>
      </c>
      <c r="AT2" s="10" t="str">
        <f t="shared" ref="AT2:AT8" si="1">R2</f>
        <v>Number</v>
      </c>
      <c r="AU2" s="7"/>
      <c r="AV2" s="7" t="str">
        <f t="shared" ref="AV2:BK2" si="2">T2</f>
        <v>Rjct</v>
      </c>
      <c r="AW2" s="7" t="str">
        <f t="shared" si="2"/>
        <v>Data File</v>
      </c>
      <c r="AX2" s="10" t="str">
        <f t="shared" si="2"/>
        <v>Acq. Date-Time</v>
      </c>
      <c r="AY2" s="7" t="str">
        <f t="shared" si="2"/>
        <v>Type</v>
      </c>
      <c r="AZ2" s="7" t="str">
        <f t="shared" si="2"/>
        <v>Level</v>
      </c>
      <c r="BA2" s="7" t="str">
        <f t="shared" si="2"/>
        <v>Sample Name</v>
      </c>
      <c r="BB2" s="16" t="str">
        <f t="shared" si="2"/>
        <v>CPS</v>
      </c>
      <c r="BC2" s="16" t="str">
        <f t="shared" si="2"/>
        <v>CPS RSD</v>
      </c>
      <c r="BD2" s="27" t="str">
        <f t="shared" si="2"/>
        <v>Mean</v>
      </c>
      <c r="BE2" s="27" t="str">
        <f t="shared" si="2"/>
        <v>120% Mean</v>
      </c>
      <c r="BF2" s="27" t="str">
        <f t="shared" si="2"/>
        <v>80% Mean</v>
      </c>
      <c r="BG2" s="27" t="str">
        <f t="shared" si="2"/>
        <v>110% Mean</v>
      </c>
      <c r="BH2" s="27" t="str">
        <f t="shared" si="2"/>
        <v>90% Mean</v>
      </c>
      <c r="BI2" s="28" t="str">
        <f t="shared" si="2"/>
        <v>Stdev</v>
      </c>
      <c r="BJ2" s="28" t="str">
        <f t="shared" si="2"/>
        <v>RelStdev</v>
      </c>
      <c r="BK2" s="28" t="str">
        <f t="shared" si="2"/>
        <v>Range</v>
      </c>
      <c r="BL2" s="28" t="s">
        <v>287</v>
      </c>
      <c r="BM2"/>
      <c r="BN2"/>
      <c r="BO2"/>
      <c r="BQ2" s="7" t="s">
        <v>272</v>
      </c>
      <c r="BR2" s="7" t="s">
        <v>273</v>
      </c>
      <c r="BU2" s="2"/>
    </row>
    <row r="3" spans="1:73" x14ac:dyDescent="0.25">
      <c r="A3" s="23">
        <f>Alex_ITSD_count_data!A3</f>
        <v>0</v>
      </c>
      <c r="B3" s="8"/>
      <c r="C3" s="8" t="b">
        <f>Alex_ITSD_count_data!C3</f>
        <v>0</v>
      </c>
      <c r="D3" s="8" t="str">
        <f>Alex_ITSD_count_data!D3</f>
        <v>001SMPL.d</v>
      </c>
      <c r="E3" s="11">
        <f>Alex_ITSD_count_data!E3</f>
        <v>45246.480185185188</v>
      </c>
      <c r="F3" s="8" t="str">
        <f>Alex_ITSD_count_data!F3</f>
        <v>Sample</v>
      </c>
      <c r="G3" s="8">
        <f>Alex_ITSD_count_data!G3</f>
        <v>0</v>
      </c>
      <c r="H3" s="8" t="str">
        <f>Alex_ITSD_count_data!H3</f>
        <v>blk</v>
      </c>
      <c r="I3" s="17">
        <f>Alex_ITSD_count_data!Q3</f>
        <v>13</v>
      </c>
      <c r="J3" s="17">
        <f>Alex_ITSD_count_data!R3</f>
        <v>23.1</v>
      </c>
      <c r="K3" s="46"/>
      <c r="L3" s="17"/>
      <c r="M3" s="17"/>
      <c r="N3" s="8"/>
      <c r="O3" s="8"/>
      <c r="P3" s="8"/>
      <c r="R3" s="23">
        <f t="shared" ref="R3:AA3" si="3">A12</f>
        <v>1.0532407402934041E-2</v>
      </c>
      <c r="S3" s="8" t="str">
        <f t="shared" si="3"/>
        <v>45  Sc ( ISTD )  [ He ] :  ISTD Recovery Percent value = 294.14 is outside the allowed range [80.00, 120.00]103  Rh ( ISTD )  [ He ] :  ISTD Recovery Percent value = 306.45 is outside the allowed range [80.00, 120.00]</v>
      </c>
      <c r="T3" s="8" t="b">
        <f t="shared" si="3"/>
        <v>0</v>
      </c>
      <c r="U3" s="8" t="str">
        <f t="shared" si="3"/>
        <v>010CALS.d</v>
      </c>
      <c r="V3" s="11">
        <f t="shared" si="3"/>
        <v>45246.490717592591</v>
      </c>
      <c r="W3" s="8" t="str">
        <f t="shared" si="3"/>
        <v>CalStd</v>
      </c>
      <c r="X3" s="8">
        <f t="shared" si="3"/>
        <v>7</v>
      </c>
      <c r="Y3" s="8" t="str">
        <f t="shared" si="3"/>
        <v>100 ppb m16 + Al</v>
      </c>
      <c r="Z3" s="17">
        <f t="shared" si="3"/>
        <v>259551.1</v>
      </c>
      <c r="AA3" s="8">
        <f t="shared" si="3"/>
        <v>1.4</v>
      </c>
      <c r="AB3" s="8">
        <f>AVERAGE(Z3:Z8)</f>
        <v>270573.73166666663</v>
      </c>
      <c r="AC3" s="8">
        <f>1.2*AB3</f>
        <v>324688.47799999994</v>
      </c>
      <c r="AD3" s="8">
        <f>0.8*AB3</f>
        <v>216458.98533333332</v>
      </c>
      <c r="AE3" s="8">
        <f>1.1*AB3</f>
        <v>297631.10483333335</v>
      </c>
      <c r="AF3" s="8">
        <f>0.9*AB3</f>
        <v>243516.35849999997</v>
      </c>
      <c r="AG3" s="8">
        <f>STDEV(Z3:Z8)</f>
        <v>8359.0755044069665</v>
      </c>
      <c r="AH3" s="8">
        <f>AG3/AB3 * 100</f>
        <v>3.0893891483541838</v>
      </c>
      <c r="AI3" s="8">
        <f>MAX(Z3:Z8)-MIN(Z3:Z8)</f>
        <v>19658.809999999969</v>
      </c>
      <c r="AJ3" s="8">
        <f>AG3/SQRT(COUNT(Z3:Z8))</f>
        <v>3412.5782845324979</v>
      </c>
      <c r="AN3" t="s">
        <v>280</v>
      </c>
      <c r="AO3" s="17" cm="1">
        <f t="array" ref="AO3:AP7">LINEST(Z3:Z8,V3:V8, TRUE, TRUE)</f>
        <v>191591.68965322521</v>
      </c>
      <c r="AP3" s="17">
        <v>-8668592089.428793</v>
      </c>
      <c r="AQ3" s="20" t="s">
        <v>281</v>
      </c>
      <c r="AT3" s="23">
        <f t="shared" si="1"/>
        <v>1.0532407402934041E-2</v>
      </c>
      <c r="AU3" s="8" t="str">
        <f t="shared" ref="AU3:BA8" si="4">S3</f>
        <v>45  Sc ( ISTD )  [ He ] :  ISTD Recovery Percent value = 294.14 is outside the allowed range [80.00, 120.00]103  Rh ( ISTD )  [ He ] :  ISTD Recovery Percent value = 306.45 is outside the allowed range [80.00, 120.00]</v>
      </c>
      <c r="AV3" s="8" t="b">
        <f t="shared" si="4"/>
        <v>0</v>
      </c>
      <c r="AW3" s="8" t="str">
        <f t="shared" si="4"/>
        <v>010CALS.d</v>
      </c>
      <c r="AX3" s="11">
        <f t="shared" si="4"/>
        <v>45246.490717592591</v>
      </c>
      <c r="AY3" s="8" t="str">
        <f t="shared" si="4"/>
        <v>CalStd</v>
      </c>
      <c r="AZ3" s="8">
        <f t="shared" si="4"/>
        <v>7</v>
      </c>
      <c r="BA3" s="8" t="str">
        <f t="shared" si="4"/>
        <v>100 ppb m16 + Al</v>
      </c>
      <c r="BB3" s="8">
        <f t="shared" ref="BB3:BB8" si="5">Z3-($AO$3*AT3)</f>
        <v>257533.17826955573</v>
      </c>
      <c r="BC3" s="8"/>
      <c r="BD3" s="8">
        <f>AVERAGE(BB3:BB8)</f>
        <v>257500.11201092065</v>
      </c>
      <c r="BE3" s="8">
        <f>1.2*BD3</f>
        <v>309000.1344131048</v>
      </c>
      <c r="BF3" s="8">
        <f>0.8*BD3</f>
        <v>206000.08960873654</v>
      </c>
      <c r="BG3" s="8">
        <f>1.1*BD3</f>
        <v>283250.12321201275</v>
      </c>
      <c r="BH3" s="8">
        <f>0.9*BD3</f>
        <v>231750.10080982858</v>
      </c>
      <c r="BI3" s="8">
        <f>STDEV(BB3:BB8)</f>
        <v>4250.5699998497303</v>
      </c>
      <c r="BJ3" s="8">
        <f>BI3/BD3 * 100</f>
        <v>1.6507060780111282</v>
      </c>
      <c r="BK3" s="8">
        <f>MAX(BB3:BB8)-MIN(BB3:BB8)</f>
        <v>11661.332547192578</v>
      </c>
      <c r="BL3" s="8">
        <f>BI3/SQRT(COUNT(BB3:BB8))</f>
        <v>1735.287935935635</v>
      </c>
      <c r="BM3"/>
      <c r="BN3"/>
      <c r="BO3"/>
      <c r="BP3" t="s">
        <v>280</v>
      </c>
      <c r="BQ3" s="17" cm="1">
        <f t="array" ref="BQ3:BR7">LINEST(BB3:BB8,AX3:AX8, TRUE, TRUE)</f>
        <v>-8.1200691349419282E-11</v>
      </c>
      <c r="BR3" s="17">
        <v>257500.11201459469</v>
      </c>
      <c r="BS3" s="20" t="s">
        <v>281</v>
      </c>
      <c r="BU3" s="20"/>
    </row>
    <row r="4" spans="1:73" x14ac:dyDescent="0.25">
      <c r="A4" s="23">
        <f>Alex_ITSD_count_data!A4</f>
        <v>1.1458333319751546E-3</v>
      </c>
      <c r="B4" s="8" t="str">
        <f>Alex_ITSD_count_data!B4</f>
        <v>56  Fe  [ He ] :  CPS RSD value = 5.02 is over the allowed maximum = 5.00</v>
      </c>
      <c r="C4" s="8" t="b">
        <f>Alex_ITSD_count_data!C4</f>
        <v>0</v>
      </c>
      <c r="D4" s="8" t="str">
        <f>Alex_ITSD_count_data!D4</f>
        <v>002SMPL.d</v>
      </c>
      <c r="E4" s="11">
        <f>Alex_ITSD_count_data!E4</f>
        <v>45246.48133101852</v>
      </c>
      <c r="F4" s="8" t="str">
        <f>Alex_ITSD_count_data!F4</f>
        <v>Sample</v>
      </c>
      <c r="G4" s="8">
        <f>Alex_ITSD_count_data!G4</f>
        <v>0</v>
      </c>
      <c r="H4" s="8" t="str">
        <f>Alex_ITSD_count_data!H4</f>
        <v>blk</v>
      </c>
      <c r="I4" s="17">
        <f>Alex_ITSD_count_data!Q4</f>
        <v>15.67</v>
      </c>
      <c r="J4" s="17">
        <f>Alex_ITSD_count_data!R4</f>
        <v>35.200000000000003</v>
      </c>
      <c r="K4" s="46"/>
      <c r="L4" s="17"/>
      <c r="M4" s="17"/>
      <c r="N4" s="8"/>
      <c r="O4" s="8"/>
      <c r="P4" s="8"/>
      <c r="R4" s="23">
        <f t="shared" ref="R4:AA4" si="6">A29</f>
        <v>4.2407407403516117E-2</v>
      </c>
      <c r="S4" s="8" t="str">
        <f t="shared" si="6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T4" s="8" t="b">
        <f t="shared" si="6"/>
        <v>0</v>
      </c>
      <c r="U4" s="8" t="str">
        <f t="shared" si="6"/>
        <v>027SMPL.d</v>
      </c>
      <c r="V4" s="11">
        <f t="shared" si="6"/>
        <v>45246.522592592592</v>
      </c>
      <c r="W4" s="8" t="str">
        <f t="shared" si="6"/>
        <v>Sample</v>
      </c>
      <c r="X4" s="8">
        <f t="shared" si="6"/>
        <v>0</v>
      </c>
      <c r="Y4" s="8" t="str">
        <f t="shared" si="6"/>
        <v>100 ppb check</v>
      </c>
      <c r="Z4" s="8">
        <f t="shared" si="6"/>
        <v>262344.45</v>
      </c>
      <c r="AA4" s="8">
        <f t="shared" si="6"/>
        <v>1.5</v>
      </c>
      <c r="AB4" s="8">
        <f>$AB$3</f>
        <v>270573.73166666663</v>
      </c>
      <c r="AC4" s="8">
        <f t="shared" ref="AC4:AJ4" si="7">AC$3</f>
        <v>324688.47799999994</v>
      </c>
      <c r="AD4" s="8">
        <f t="shared" si="7"/>
        <v>216458.98533333332</v>
      </c>
      <c r="AE4" s="8">
        <f t="shared" si="7"/>
        <v>297631.10483333335</v>
      </c>
      <c r="AF4" s="8">
        <f t="shared" si="7"/>
        <v>243516.35849999997</v>
      </c>
      <c r="AG4" s="8">
        <f t="shared" si="7"/>
        <v>8359.0755044069665</v>
      </c>
      <c r="AH4" s="8">
        <f t="shared" si="7"/>
        <v>3.0893891483541838</v>
      </c>
      <c r="AI4" s="8">
        <f t="shared" si="7"/>
        <v>19658.809999999969</v>
      </c>
      <c r="AJ4" s="8">
        <f t="shared" si="7"/>
        <v>3412.5782845324979</v>
      </c>
      <c r="AN4" t="s">
        <v>286</v>
      </c>
      <c r="AO4" s="17">
        <v>56571.861470486649</v>
      </c>
      <c r="AP4" s="17">
        <v>2559681469.3516269</v>
      </c>
      <c r="AQ4" t="s">
        <v>282</v>
      </c>
      <c r="AT4" s="23">
        <f t="shared" si="1"/>
        <v>4.2407407403516117E-2</v>
      </c>
      <c r="AU4" s="8" t="str">
        <f t="shared" si="4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AV4" s="8" t="b">
        <f t="shared" si="4"/>
        <v>0</v>
      </c>
      <c r="AW4" s="8" t="str">
        <f t="shared" si="4"/>
        <v>027SMPL.d</v>
      </c>
      <c r="AX4" s="11">
        <f t="shared" si="4"/>
        <v>45246.522592592592</v>
      </c>
      <c r="AY4" s="8" t="str">
        <f t="shared" si="4"/>
        <v>Sample</v>
      </c>
      <c r="AZ4" s="8">
        <f t="shared" si="4"/>
        <v>0</v>
      </c>
      <c r="BA4" s="8" t="str">
        <f t="shared" si="4"/>
        <v>100 ppb check</v>
      </c>
      <c r="BB4" s="8">
        <f t="shared" si="5"/>
        <v>254219.54316174766</v>
      </c>
      <c r="BC4" s="8"/>
      <c r="BD4" s="8">
        <f t="shared" ref="BD4:BL4" si="8">BD$3</f>
        <v>257500.11201092065</v>
      </c>
      <c r="BE4" s="8">
        <f t="shared" si="8"/>
        <v>309000.1344131048</v>
      </c>
      <c r="BF4" s="8">
        <f t="shared" si="8"/>
        <v>206000.08960873654</v>
      </c>
      <c r="BG4" s="8">
        <f t="shared" si="8"/>
        <v>283250.12321201275</v>
      </c>
      <c r="BH4" s="8">
        <f t="shared" si="8"/>
        <v>231750.10080982858</v>
      </c>
      <c r="BI4" s="8">
        <f t="shared" si="8"/>
        <v>4250.5699998497303</v>
      </c>
      <c r="BJ4" s="8">
        <f t="shared" si="8"/>
        <v>1.6507060780111282</v>
      </c>
      <c r="BK4" s="8">
        <f t="shared" si="8"/>
        <v>11661.332547192578</v>
      </c>
      <c r="BL4" s="8">
        <f t="shared" si="8"/>
        <v>1735.287935935635</v>
      </c>
      <c r="BM4"/>
      <c r="BN4"/>
      <c r="BO4"/>
      <c r="BP4" t="s">
        <v>286</v>
      </c>
      <c r="BQ4" s="17">
        <v>56571.861470486598</v>
      </c>
      <c r="BR4" s="17">
        <v>2559681469.3516245</v>
      </c>
      <c r="BS4" t="s">
        <v>282</v>
      </c>
      <c r="BU4" s="20"/>
    </row>
    <row r="5" spans="1:73" x14ac:dyDescent="0.25">
      <c r="A5" s="23">
        <f>Alex_ITSD_count_data!A5</f>
        <v>2.3263888870133087E-3</v>
      </c>
      <c r="B5" s="8"/>
      <c r="C5" s="8" t="b">
        <f>Alex_ITSD_count_data!C5</f>
        <v>0</v>
      </c>
      <c r="D5" s="8" t="str">
        <f>Alex_ITSD_count_data!D5</f>
        <v>003SMPL.d</v>
      </c>
      <c r="E5" s="11">
        <f>Alex_ITSD_count_data!E5</f>
        <v>45246.482511574075</v>
      </c>
      <c r="F5" s="8" t="str">
        <f>Alex_ITSD_count_data!F5</f>
        <v>Sample</v>
      </c>
      <c r="G5" s="8">
        <f>Alex_ITSD_count_data!G5</f>
        <v>0</v>
      </c>
      <c r="H5" s="8" t="str">
        <f>Alex_ITSD_count_data!H5</f>
        <v>blk</v>
      </c>
      <c r="I5" s="17">
        <f>Alex_ITSD_count_data!Q5</f>
        <v>8.67</v>
      </c>
      <c r="J5" s="17">
        <f>Alex_ITSD_count_data!R5</f>
        <v>6.7</v>
      </c>
      <c r="K5" s="46"/>
      <c r="L5" s="17"/>
      <c r="M5" s="17"/>
      <c r="N5" s="8"/>
      <c r="O5" s="8"/>
      <c r="P5" s="8"/>
      <c r="R5" s="23">
        <f t="shared" ref="R5:AA5" si="9">A41</f>
        <v>6.4664351848477963E-2</v>
      </c>
      <c r="S5" s="8" t="str">
        <f t="shared" si="9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T5" s="8" t="b">
        <f t="shared" si="9"/>
        <v>0</v>
      </c>
      <c r="U5" s="8" t="str">
        <f t="shared" si="9"/>
        <v>039SMPL.d</v>
      </c>
      <c r="V5" s="11">
        <f t="shared" si="9"/>
        <v>45246.544849537036</v>
      </c>
      <c r="W5" s="8" t="str">
        <f t="shared" si="9"/>
        <v>Sample</v>
      </c>
      <c r="X5" s="8">
        <f t="shared" si="9"/>
        <v>0</v>
      </c>
      <c r="Y5" s="8" t="str">
        <f t="shared" si="9"/>
        <v>100 ppb check</v>
      </c>
      <c r="Z5" s="8">
        <f t="shared" si="9"/>
        <v>269436.15999999997</v>
      </c>
      <c r="AA5" s="8">
        <f t="shared" si="9"/>
        <v>2.1</v>
      </c>
      <c r="AB5" s="8">
        <f t="shared" ref="AB5:AB8" si="10">$AB$3</f>
        <v>270573.73166666663</v>
      </c>
      <c r="AC5" s="8">
        <f t="shared" ref="AC5:AF8" si="11">AC$3</f>
        <v>324688.47799999994</v>
      </c>
      <c r="AD5" s="8">
        <f t="shared" si="11"/>
        <v>216458.98533333332</v>
      </c>
      <c r="AE5" s="8">
        <f t="shared" si="11"/>
        <v>297631.10483333335</v>
      </c>
      <c r="AF5" s="8">
        <f t="shared" si="11"/>
        <v>243516.35849999997</v>
      </c>
      <c r="AG5" s="8">
        <f t="shared" ref="AG5:AI8" si="12">AG$3</f>
        <v>8359.0755044069665</v>
      </c>
      <c r="AH5" s="8">
        <f t="shared" si="12"/>
        <v>3.0893891483541838</v>
      </c>
      <c r="AI5" s="8">
        <f t="shared" si="12"/>
        <v>19658.809999999969</v>
      </c>
      <c r="AJ5" s="8">
        <f t="shared" ref="AJ5:AJ8" si="13">AJ$3</f>
        <v>3412.5782845324979</v>
      </c>
      <c r="AN5" t="s">
        <v>277</v>
      </c>
      <c r="AO5" s="17">
        <v>0.74143017039855375</v>
      </c>
      <c r="AP5" s="17">
        <v>4752.281731392638</v>
      </c>
      <c r="AQ5" t="s">
        <v>285</v>
      </c>
      <c r="AT5" s="23">
        <f t="shared" si="1"/>
        <v>6.4664351848477963E-2</v>
      </c>
      <c r="AU5" s="8" t="str">
        <f t="shared" si="4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AV5" s="8" t="b">
        <f t="shared" si="4"/>
        <v>0</v>
      </c>
      <c r="AW5" s="8" t="str">
        <f t="shared" si="4"/>
        <v>039SMPL.d</v>
      </c>
      <c r="AX5" s="11">
        <f t="shared" si="4"/>
        <v>45246.544849537036</v>
      </c>
      <c r="AY5" s="8" t="str">
        <f t="shared" si="4"/>
        <v>Sample</v>
      </c>
      <c r="AZ5" s="8">
        <f t="shared" si="4"/>
        <v>0</v>
      </c>
      <c r="BA5" s="8" t="str">
        <f t="shared" si="4"/>
        <v>100 ppb check</v>
      </c>
      <c r="BB5" s="8">
        <f t="shared" si="5"/>
        <v>257047.00756901942</v>
      </c>
      <c r="BC5" s="8"/>
      <c r="BD5" s="8">
        <f t="shared" ref="BD5:BH8" si="14">BD$3</f>
        <v>257500.11201092065</v>
      </c>
      <c r="BE5" s="8">
        <f t="shared" si="14"/>
        <v>309000.1344131048</v>
      </c>
      <c r="BF5" s="8">
        <f t="shared" si="14"/>
        <v>206000.08960873654</v>
      </c>
      <c r="BG5" s="8">
        <f t="shared" si="14"/>
        <v>283250.12321201275</v>
      </c>
      <c r="BH5" s="8">
        <f t="shared" si="14"/>
        <v>231750.10080982858</v>
      </c>
      <c r="BI5" s="8">
        <f t="shared" ref="BI5:BK8" si="15">BI$3</f>
        <v>4250.5699998497303</v>
      </c>
      <c r="BJ5" s="8">
        <f t="shared" si="15"/>
        <v>1.6507060780111282</v>
      </c>
      <c r="BK5" s="8">
        <f t="shared" si="15"/>
        <v>11661.332547192578</v>
      </c>
      <c r="BL5" s="8">
        <f t="shared" ref="BL5:BL8" si="16">BL$3</f>
        <v>1735.287935935635</v>
      </c>
      <c r="BM5"/>
      <c r="BN5"/>
      <c r="BO5"/>
      <c r="BP5" t="s">
        <v>277</v>
      </c>
      <c r="BQ5" s="17">
        <v>0</v>
      </c>
      <c r="BR5" s="17">
        <v>4752.2817313926334</v>
      </c>
      <c r="BS5" t="s">
        <v>285</v>
      </c>
      <c r="BU5" s="20"/>
    </row>
    <row r="6" spans="1:73" x14ac:dyDescent="0.25">
      <c r="A6" s="23">
        <f>Alex_ITSD_count_data!A6</f>
        <v>3.4490740727051161E-3</v>
      </c>
      <c r="B6" s="8"/>
      <c r="C6" s="8" t="b">
        <f>Alex_ITSD_count_data!C6</f>
        <v>0</v>
      </c>
      <c r="D6" s="8" t="str">
        <f>Alex_ITSD_count_data!D6</f>
        <v>004CALB.d</v>
      </c>
      <c r="E6" s="11">
        <f>Alex_ITSD_count_data!E6</f>
        <v>45246.483634259261</v>
      </c>
      <c r="F6" s="8" t="str">
        <f>Alex_ITSD_count_data!F6</f>
        <v>CalBlk</v>
      </c>
      <c r="G6" s="8">
        <f>Alex_ITSD_count_data!G6</f>
        <v>1</v>
      </c>
      <c r="H6" s="8" t="str">
        <f>Alex_ITSD_count_data!H6</f>
        <v xml:space="preserve">0 ppb </v>
      </c>
      <c r="I6" s="17">
        <f>Alex_ITSD_count_data!Q6</f>
        <v>32.33</v>
      </c>
      <c r="J6" s="17">
        <f>Alex_ITSD_count_data!R6</f>
        <v>26.3</v>
      </c>
      <c r="K6" s="47">
        <f>I6-($AO$3*A6)</f>
        <v>-628.48392932870411</v>
      </c>
      <c r="L6" s="17">
        <f>(I6-$AP$30)*(1/$AO$30)</f>
        <v>-0.17551497339514374</v>
      </c>
      <c r="M6" s="17">
        <f>'[1]Alex-Mn_As_data'!P6</f>
        <v>0</v>
      </c>
      <c r="N6" s="8"/>
      <c r="O6" s="8"/>
      <c r="P6" s="8"/>
      <c r="R6" s="23">
        <f t="shared" ref="R6:AA6" si="17">A53</f>
        <v>8.2002314811688848E-2</v>
      </c>
      <c r="S6" s="8" t="str">
        <f t="shared" si="17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T6" s="8" t="b">
        <f t="shared" si="17"/>
        <v>0</v>
      </c>
      <c r="U6" s="8" t="str">
        <f t="shared" si="17"/>
        <v>051SMPL.d</v>
      </c>
      <c r="V6" s="11">
        <f t="shared" si="17"/>
        <v>45246.5621875</v>
      </c>
      <c r="W6" s="8" t="str">
        <f t="shared" si="17"/>
        <v>Sample</v>
      </c>
      <c r="X6" s="8">
        <f t="shared" si="17"/>
        <v>0</v>
      </c>
      <c r="Y6" s="8" t="str">
        <f t="shared" si="17"/>
        <v>100 ppb check</v>
      </c>
      <c r="Z6" s="8">
        <f t="shared" si="17"/>
        <v>279209.90999999997</v>
      </c>
      <c r="AA6" s="8">
        <f t="shared" si="17"/>
        <v>1.3</v>
      </c>
      <c r="AB6" s="8">
        <f t="shared" si="10"/>
        <v>270573.73166666663</v>
      </c>
      <c r="AC6" s="8">
        <f t="shared" si="11"/>
        <v>324688.47799999994</v>
      </c>
      <c r="AD6" s="8">
        <f t="shared" si="11"/>
        <v>216458.98533333332</v>
      </c>
      <c r="AE6" s="8">
        <f t="shared" si="11"/>
        <v>297631.10483333335</v>
      </c>
      <c r="AF6" s="8">
        <f t="shared" si="11"/>
        <v>243516.35849999997</v>
      </c>
      <c r="AG6" s="8">
        <f t="shared" si="12"/>
        <v>8359.0755044069665</v>
      </c>
      <c r="AH6" s="8">
        <f t="shared" si="12"/>
        <v>3.0893891483541838</v>
      </c>
      <c r="AI6" s="8">
        <f t="shared" si="12"/>
        <v>19658.809999999969</v>
      </c>
      <c r="AJ6" s="8">
        <f t="shared" si="13"/>
        <v>3412.5782845324979</v>
      </c>
      <c r="AN6" t="s">
        <v>278</v>
      </c>
      <c r="AO6" s="17">
        <v>11.469708922210728</v>
      </c>
      <c r="AP6" s="17">
        <v>4</v>
      </c>
      <c r="AQ6" t="s">
        <v>283</v>
      </c>
      <c r="AT6" s="23">
        <f t="shared" si="1"/>
        <v>8.2002314811688848E-2</v>
      </c>
      <c r="AU6" s="8" t="str">
        <f t="shared" si="4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AV6" s="8" t="b">
        <f t="shared" si="4"/>
        <v>0</v>
      </c>
      <c r="AW6" s="8" t="str">
        <f t="shared" si="4"/>
        <v>051SMPL.d</v>
      </c>
      <c r="AX6" s="11">
        <f t="shared" si="4"/>
        <v>45246.5621875</v>
      </c>
      <c r="AY6" s="8" t="str">
        <f t="shared" si="4"/>
        <v>Sample</v>
      </c>
      <c r="AZ6" s="8">
        <f t="shared" si="4"/>
        <v>0</v>
      </c>
      <c r="BA6" s="8" t="str">
        <f t="shared" si="4"/>
        <v>100 ppb check</v>
      </c>
      <c r="BB6" s="8">
        <f t="shared" si="5"/>
        <v>263498.94794975279</v>
      </c>
      <c r="BC6" s="8"/>
      <c r="BD6" s="8">
        <f t="shared" si="14"/>
        <v>257500.11201092065</v>
      </c>
      <c r="BE6" s="8">
        <f t="shared" si="14"/>
        <v>309000.1344131048</v>
      </c>
      <c r="BF6" s="8">
        <f t="shared" si="14"/>
        <v>206000.08960873654</v>
      </c>
      <c r="BG6" s="8">
        <f t="shared" si="14"/>
        <v>283250.12321201275</v>
      </c>
      <c r="BH6" s="8">
        <f t="shared" si="14"/>
        <v>231750.10080982858</v>
      </c>
      <c r="BI6" s="8">
        <f t="shared" si="15"/>
        <v>4250.5699998497303</v>
      </c>
      <c r="BJ6" s="8">
        <f t="shared" si="15"/>
        <v>1.6507060780111282</v>
      </c>
      <c r="BK6" s="8">
        <f t="shared" si="15"/>
        <v>11661.332547192578</v>
      </c>
      <c r="BL6" s="8">
        <f t="shared" si="16"/>
        <v>1735.287935935635</v>
      </c>
      <c r="BM6"/>
      <c r="BN6"/>
      <c r="BO6"/>
      <c r="BP6" t="s">
        <v>278</v>
      </c>
      <c r="BQ6" s="17">
        <v>0</v>
      </c>
      <c r="BR6" s="17">
        <v>4</v>
      </c>
      <c r="BS6" t="s">
        <v>283</v>
      </c>
      <c r="BU6" s="20"/>
    </row>
    <row r="7" spans="1:73" x14ac:dyDescent="0.25">
      <c r="A7" s="23">
        <f>Alex_ITSD_count_data!A7</f>
        <v>4.6180555509636179E-3</v>
      </c>
      <c r="B7" s="8"/>
      <c r="C7" s="8" t="b">
        <f>Alex_ITSD_count_data!C7</f>
        <v>0</v>
      </c>
      <c r="D7" s="8" t="str">
        <f>Alex_ITSD_count_data!D7</f>
        <v>005CALS.d</v>
      </c>
      <c r="E7" s="11">
        <f>Alex_ITSD_count_data!E7</f>
        <v>45246.484803240739</v>
      </c>
      <c r="F7" s="8" t="str">
        <f>Alex_ITSD_count_data!F7</f>
        <v>CalStd</v>
      </c>
      <c r="G7" s="8">
        <f>Alex_ITSD_count_data!G7</f>
        <v>2</v>
      </c>
      <c r="H7" s="8" t="str">
        <f>Alex_ITSD_count_data!H7</f>
        <v>0.5 ppb m16 + Al</v>
      </c>
      <c r="I7" s="17">
        <f>Alex_ITSD_count_data!Q7</f>
        <v>1315.4</v>
      </c>
      <c r="J7" s="17">
        <f>Alex_ITSD_count_data!R7</f>
        <v>5.6</v>
      </c>
      <c r="K7" s="47">
        <f t="shared" ref="K7:K70" si="18">I7-($AO$3*A7)</f>
        <v>430.61893407842467</v>
      </c>
      <c r="L7" s="17">
        <f>(I7-$AP$30)*(1/$AO$30)</f>
        <v>0.32299561500176766</v>
      </c>
      <c r="M7" s="17">
        <f>'[1]Alex-Mn_As_data'!P7</f>
        <v>0.498</v>
      </c>
      <c r="N7" s="8"/>
      <c r="O7" s="8"/>
      <c r="P7" s="8"/>
      <c r="R7" s="23">
        <f t="shared" ref="R7:AA7" si="19">A65</f>
        <v>9.5740740740438923E-2</v>
      </c>
      <c r="S7" s="8" t="str">
        <f t="shared" si="19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T7" s="8" t="b">
        <f t="shared" si="19"/>
        <v>0</v>
      </c>
      <c r="U7" s="8" t="str">
        <f t="shared" si="19"/>
        <v>063SMPL.d</v>
      </c>
      <c r="V7" s="11">
        <f t="shared" si="19"/>
        <v>45246.575925925928</v>
      </c>
      <c r="W7" s="8" t="str">
        <f t="shared" si="19"/>
        <v>Sample</v>
      </c>
      <c r="X7" s="8">
        <f t="shared" si="19"/>
        <v>0</v>
      </c>
      <c r="Y7" s="8" t="str">
        <f t="shared" si="19"/>
        <v>100 ppb check</v>
      </c>
      <c r="Z7" s="8">
        <f t="shared" si="19"/>
        <v>279207.51</v>
      </c>
      <c r="AA7" s="8">
        <f t="shared" si="19"/>
        <v>4.5</v>
      </c>
      <c r="AB7" s="8">
        <f t="shared" si="10"/>
        <v>270573.73166666663</v>
      </c>
      <c r="AC7" s="8">
        <f t="shared" si="11"/>
        <v>324688.47799999994</v>
      </c>
      <c r="AD7" s="8">
        <f t="shared" si="11"/>
        <v>216458.98533333332</v>
      </c>
      <c r="AE7" s="8">
        <f t="shared" si="11"/>
        <v>297631.10483333335</v>
      </c>
      <c r="AF7" s="8">
        <f t="shared" si="11"/>
        <v>243516.35849999997</v>
      </c>
      <c r="AG7" s="8">
        <f t="shared" si="12"/>
        <v>8359.0755044069665</v>
      </c>
      <c r="AH7" s="8">
        <f t="shared" si="12"/>
        <v>3.0893891483541838</v>
      </c>
      <c r="AI7" s="8">
        <f t="shared" si="12"/>
        <v>19658.809999999969</v>
      </c>
      <c r="AJ7" s="8">
        <f t="shared" si="13"/>
        <v>3412.5782845324979</v>
      </c>
      <c r="AN7" t="s">
        <v>279</v>
      </c>
      <c r="AO7" s="17">
        <v>259033989.82377002</v>
      </c>
      <c r="AP7" s="17">
        <v>90336726.618112832</v>
      </c>
      <c r="AQ7" t="s">
        <v>284</v>
      </c>
      <c r="AT7" s="23">
        <f t="shared" si="1"/>
        <v>9.5740740740438923E-2</v>
      </c>
      <c r="AU7" s="8" t="str">
        <f t="shared" si="4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AV7" s="8" t="b">
        <f t="shared" si="4"/>
        <v>0</v>
      </c>
      <c r="AW7" s="8" t="str">
        <f t="shared" si="4"/>
        <v>063SMPL.d</v>
      </c>
      <c r="AX7" s="11">
        <f t="shared" si="4"/>
        <v>45246.575925925928</v>
      </c>
      <c r="AY7" s="8" t="str">
        <f t="shared" si="4"/>
        <v>Sample</v>
      </c>
      <c r="AZ7" s="8">
        <f t="shared" si="4"/>
        <v>0</v>
      </c>
      <c r="BA7" s="8" t="str">
        <f t="shared" si="4"/>
        <v>100 ppb check</v>
      </c>
      <c r="BB7" s="8">
        <f t="shared" si="5"/>
        <v>260864.37971288792</v>
      </c>
      <c r="BC7" s="8"/>
      <c r="BD7" s="8">
        <f t="shared" si="14"/>
        <v>257500.11201092065</v>
      </c>
      <c r="BE7" s="8">
        <f t="shared" si="14"/>
        <v>309000.1344131048</v>
      </c>
      <c r="BF7" s="8">
        <f t="shared" si="14"/>
        <v>206000.08960873654</v>
      </c>
      <c r="BG7" s="8">
        <f t="shared" si="14"/>
        <v>283250.12321201275</v>
      </c>
      <c r="BH7" s="8">
        <f t="shared" si="14"/>
        <v>231750.10080982858</v>
      </c>
      <c r="BI7" s="8">
        <f t="shared" si="15"/>
        <v>4250.5699998497303</v>
      </c>
      <c r="BJ7" s="8">
        <f t="shared" si="15"/>
        <v>1.6507060780111282</v>
      </c>
      <c r="BK7" s="8">
        <f t="shared" si="15"/>
        <v>11661.332547192578</v>
      </c>
      <c r="BL7" s="8">
        <f t="shared" si="16"/>
        <v>1735.287935935635</v>
      </c>
      <c r="BM7"/>
      <c r="BN7"/>
      <c r="BO7"/>
      <c r="BP7" t="s">
        <v>279</v>
      </c>
      <c r="BQ7" s="17">
        <v>0</v>
      </c>
      <c r="BR7" s="17">
        <v>90336726.618112668</v>
      </c>
      <c r="BS7" t="s">
        <v>284</v>
      </c>
      <c r="BU7" s="20"/>
    </row>
    <row r="8" spans="1:73" x14ac:dyDescent="0.25">
      <c r="A8" s="23">
        <f>Alex_ITSD_count_data!A8</f>
        <v>5.7870370364980772E-3</v>
      </c>
      <c r="B8" s="8" t="str">
        <f>Alex_ITSD_count_data!B8</f>
        <v>45  Sc ( ISTD )  [ He ] :  ISTD Recovery Percent value = 135.23 is outside the allowed range [80.00, 120.00]103  Rh ( ISTD )  [ He ] :  ISTD Recovery Percent value = 137.11 is outside the allowed range [80.00, 120.00]</v>
      </c>
      <c r="C8" s="8" t="b">
        <f>Alex_ITSD_count_data!C8</f>
        <v>0</v>
      </c>
      <c r="D8" s="8" t="str">
        <f>Alex_ITSD_count_data!D8</f>
        <v>006CALS.d</v>
      </c>
      <c r="E8" s="11">
        <f>Alex_ITSD_count_data!E8</f>
        <v>45246.485972222225</v>
      </c>
      <c r="F8" s="8" t="str">
        <f>Alex_ITSD_count_data!F8</f>
        <v>CalStd</v>
      </c>
      <c r="G8" s="8">
        <f>Alex_ITSD_count_data!G8</f>
        <v>3</v>
      </c>
      <c r="H8" s="8" t="str">
        <f>Alex_ITSD_count_data!H8</f>
        <v>1 ppb m16 + Al</v>
      </c>
      <c r="I8" s="17">
        <f>Alex_ITSD_count_data!Q8</f>
        <v>2604.2399999999998</v>
      </c>
      <c r="J8" s="17">
        <f>Alex_ITSD_count_data!R8</f>
        <v>3.4</v>
      </c>
      <c r="K8" s="47">
        <f t="shared" si="18"/>
        <v>1495.49179609154</v>
      </c>
      <c r="L8" s="17">
        <f t="shared" ref="L8:L71" si="20">(I8-$AP$30)*(1/$AO$30)</f>
        <v>0.82374801880629511</v>
      </c>
      <c r="M8" s="17">
        <f>'[1]Alex-Mn_As_data'!P8</f>
        <v>0.999</v>
      </c>
      <c r="N8" s="8"/>
      <c r="O8" s="8"/>
      <c r="P8" s="8"/>
      <c r="R8" s="23">
        <f t="shared" ref="R8:AA8" si="21">A81</f>
        <v>0.11407407407386927</v>
      </c>
      <c r="S8" s="8" t="str">
        <f t="shared" si="21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T8" s="8" t="b">
        <f t="shared" si="21"/>
        <v>0</v>
      </c>
      <c r="U8" s="8" t="str">
        <f t="shared" si="21"/>
        <v>079SMPL.d</v>
      </c>
      <c r="V8" s="11">
        <f t="shared" si="21"/>
        <v>45246.594259259262</v>
      </c>
      <c r="W8" s="8" t="str">
        <f t="shared" si="21"/>
        <v>Sample</v>
      </c>
      <c r="X8" s="8">
        <f t="shared" si="21"/>
        <v>0</v>
      </c>
      <c r="Y8" s="8" t="str">
        <f t="shared" si="21"/>
        <v>100 ppb check</v>
      </c>
      <c r="Z8" s="8">
        <f t="shared" si="21"/>
        <v>273693.26</v>
      </c>
      <c r="AA8" s="8">
        <f t="shared" si="21"/>
        <v>2.2000000000000002</v>
      </c>
      <c r="AB8" s="8">
        <f t="shared" si="10"/>
        <v>270573.73166666663</v>
      </c>
      <c r="AC8" s="8">
        <f t="shared" si="11"/>
        <v>324688.47799999994</v>
      </c>
      <c r="AD8" s="8">
        <f t="shared" si="11"/>
        <v>216458.98533333332</v>
      </c>
      <c r="AE8" s="8">
        <f t="shared" si="11"/>
        <v>297631.10483333335</v>
      </c>
      <c r="AF8" s="8">
        <f t="shared" si="11"/>
        <v>243516.35849999997</v>
      </c>
      <c r="AG8" s="8">
        <f t="shared" si="12"/>
        <v>8359.0755044069665</v>
      </c>
      <c r="AH8" s="8">
        <f t="shared" si="12"/>
        <v>3.0893891483541838</v>
      </c>
      <c r="AI8" s="8">
        <f t="shared" si="12"/>
        <v>19658.809999999969</v>
      </c>
      <c r="AJ8" s="8">
        <f t="shared" si="13"/>
        <v>3412.5782845324979</v>
      </c>
      <c r="AT8" s="23">
        <f t="shared" si="1"/>
        <v>0.11407407407386927</v>
      </c>
      <c r="AU8" s="8" t="str">
        <f t="shared" si="4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AV8" s="8" t="b">
        <f t="shared" si="4"/>
        <v>0</v>
      </c>
      <c r="AW8" s="8" t="str">
        <f t="shared" si="4"/>
        <v>079SMPL.d</v>
      </c>
      <c r="AX8" s="11">
        <f t="shared" si="4"/>
        <v>45246.594259259262</v>
      </c>
      <c r="AY8" s="8" t="str">
        <f t="shared" si="4"/>
        <v>Sample</v>
      </c>
      <c r="AZ8" s="8">
        <f t="shared" si="4"/>
        <v>0</v>
      </c>
      <c r="BA8" s="8" t="str">
        <f t="shared" si="4"/>
        <v>100 ppb check</v>
      </c>
      <c r="BB8" s="8">
        <f t="shared" si="5"/>
        <v>251837.61540256022</v>
      </c>
      <c r="BC8" s="8"/>
      <c r="BD8" s="8">
        <f t="shared" si="14"/>
        <v>257500.11201092065</v>
      </c>
      <c r="BE8" s="8">
        <f t="shared" si="14"/>
        <v>309000.1344131048</v>
      </c>
      <c r="BF8" s="8">
        <f t="shared" si="14"/>
        <v>206000.08960873654</v>
      </c>
      <c r="BG8" s="8">
        <f t="shared" si="14"/>
        <v>283250.12321201275</v>
      </c>
      <c r="BH8" s="8">
        <f t="shared" si="14"/>
        <v>231750.10080982858</v>
      </c>
      <c r="BI8" s="8">
        <f t="shared" si="15"/>
        <v>4250.5699998497303</v>
      </c>
      <c r="BJ8" s="8">
        <f t="shared" si="15"/>
        <v>1.6507060780111282</v>
      </c>
      <c r="BK8" s="8">
        <f t="shared" si="15"/>
        <v>11661.332547192578</v>
      </c>
      <c r="BL8" s="8">
        <f t="shared" si="16"/>
        <v>1735.287935935635</v>
      </c>
      <c r="BM8"/>
      <c r="BN8"/>
      <c r="BO8"/>
    </row>
    <row r="9" spans="1:73" x14ac:dyDescent="0.25">
      <c r="A9" s="23">
        <f>Alex_ITSD_count_data!A9</f>
        <v>7.0023148145992309E-3</v>
      </c>
      <c r="B9" s="8" t="str">
        <f>Alex_ITSD_count_data!B9</f>
        <v>45  Sc ( ISTD )  [ He ] :  ISTD Recovery Percent value = 158.50 is outside the allowed range [80.00, 120.00]103  Rh ( ISTD )  [ He ] :  ISTD Recovery Percent value = 166.42 is outside the allowed range [80.00, 120.00]</v>
      </c>
      <c r="C9" s="8" t="b">
        <f>Alex_ITSD_count_data!C9</f>
        <v>0</v>
      </c>
      <c r="D9" s="8" t="str">
        <f>Alex_ITSD_count_data!D9</f>
        <v>007CALS.d</v>
      </c>
      <c r="E9" s="11">
        <f>Alex_ITSD_count_data!E9</f>
        <v>45246.487187500003</v>
      </c>
      <c r="F9" s="8" t="str">
        <f>Alex_ITSD_count_data!F9</f>
        <v>CalStd</v>
      </c>
      <c r="G9" s="8">
        <f>Alex_ITSD_count_data!G9</f>
        <v>4</v>
      </c>
      <c r="H9" s="8" t="str">
        <f>Alex_ITSD_count_data!H9</f>
        <v>5 ppb m16 + Al</v>
      </c>
      <c r="I9" s="17">
        <f>Alex_ITSD_count_data!Q9</f>
        <v>13001.57</v>
      </c>
      <c r="J9" s="17">
        <f>Alex_ITSD_count_data!R9</f>
        <v>0.9</v>
      </c>
      <c r="K9" s="47">
        <f t="shared" si="18"/>
        <v>11659.984673187122</v>
      </c>
      <c r="L9" s="17">
        <f t="shared" si="20"/>
        <v>4.8634177921287627</v>
      </c>
      <c r="M9" s="17">
        <f>'[1]Alex-Mn_As_data'!P9</f>
        <v>5.0380000000000003</v>
      </c>
      <c r="N9" s="8"/>
      <c r="O9" s="8"/>
      <c r="P9" s="8"/>
      <c r="BD9"/>
      <c r="BE9"/>
      <c r="BF9"/>
      <c r="BG9"/>
      <c r="BH9"/>
      <c r="BI9"/>
      <c r="BJ9"/>
      <c r="BK9"/>
      <c r="BL9"/>
      <c r="BM9"/>
      <c r="BN9"/>
      <c r="BO9"/>
    </row>
    <row r="10" spans="1:73" x14ac:dyDescent="0.25">
      <c r="A10" s="23">
        <f>Alex_ITSD_count_data!A10</f>
        <v>8.182870369637385E-3</v>
      </c>
      <c r="B10" s="8" t="str">
        <f>Alex_ITSD_count_data!B10</f>
        <v>45  Sc ( ISTD )  [ He ] :  ISTD Recovery Percent value = 191.39 is outside the allowed range [80.00, 120.00]103  Rh ( ISTD )  [ He ] :  ISTD Recovery Percent value = 202.01 is outside the allowed range [80.00, 120.00]</v>
      </c>
      <c r="C10" s="8" t="b">
        <f>Alex_ITSD_count_data!C10</f>
        <v>0</v>
      </c>
      <c r="D10" s="8" t="str">
        <f>Alex_ITSD_count_data!D10</f>
        <v>008CALS.d</v>
      </c>
      <c r="E10" s="11">
        <f>Alex_ITSD_count_data!E10</f>
        <v>45246.488368055558</v>
      </c>
      <c r="F10" s="8" t="str">
        <f>Alex_ITSD_count_data!F10</f>
        <v>CalStd</v>
      </c>
      <c r="G10" s="8">
        <f>Alex_ITSD_count_data!G10</f>
        <v>5</v>
      </c>
      <c r="H10" s="8" t="str">
        <f>Alex_ITSD_count_data!H10</f>
        <v>10 ppb m16 + Al</v>
      </c>
      <c r="I10" s="17">
        <f>Alex_ITSD_count_data!Q10</f>
        <v>25914.34</v>
      </c>
      <c r="J10" s="17">
        <f>Alex_ITSD_count_data!R10</f>
        <v>2</v>
      </c>
      <c r="K10" s="47">
        <f t="shared" si="18"/>
        <v>24346.570039667862</v>
      </c>
      <c r="L10" s="17">
        <f t="shared" si="20"/>
        <v>9.8804102949025676</v>
      </c>
      <c r="M10" s="17">
        <f>'[1]Alex-Mn_As_data'!P10</f>
        <v>10.054</v>
      </c>
      <c r="N10" s="8"/>
      <c r="O10" s="8"/>
      <c r="P10" s="8"/>
      <c r="Q10" s="2" t="s">
        <v>263</v>
      </c>
      <c r="R10" s="10"/>
      <c r="S10" s="7" t="str">
        <f>B1</f>
        <v>Sample</v>
      </c>
      <c r="T10" s="7"/>
      <c r="U10" s="7"/>
      <c r="V10" s="10"/>
      <c r="W10" s="7"/>
      <c r="X10" s="7"/>
      <c r="Y10" s="7"/>
      <c r="Z10" s="16" t="str">
        <f>I1</f>
        <v xml:space="preserve">75  As  [ He ] </v>
      </c>
      <c r="AA10" s="16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O10" s="2" t="s">
        <v>290</v>
      </c>
      <c r="AS10" s="2" t="s">
        <v>289</v>
      </c>
      <c r="AT10" s="10"/>
      <c r="AU10" s="7" t="str">
        <f t="shared" ref="AU10" si="22">S10</f>
        <v>Sample</v>
      </c>
      <c r="AV10" s="7"/>
      <c r="AW10" s="7"/>
      <c r="AX10" s="10"/>
      <c r="AY10" s="7"/>
      <c r="AZ10" s="7"/>
      <c r="BA10" s="7"/>
      <c r="BB10" s="16" t="str">
        <f t="shared" ref="BB10:BC11" si="23">Z10</f>
        <v xml:space="preserve">75  As  [ He ] </v>
      </c>
      <c r="BC10" s="16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Q10" s="2" t="s">
        <v>288</v>
      </c>
      <c r="BU10" s="2"/>
    </row>
    <row r="11" spans="1:73" x14ac:dyDescent="0.25">
      <c r="A11" s="23">
        <f>Alex_ITSD_count_data!A11</f>
        <v>9.3287037016125396E-3</v>
      </c>
      <c r="B11" s="8" t="str">
        <f>Alex_ITSD_count_data!B11</f>
        <v>45  Sc ( ISTD )  [ He ] :  ISTD Recovery Percent value = 226.75 is outside the allowed range [80.00, 120.00]103  Rh ( ISTD )  [ He ] :  ISTD Recovery Percent value = 246.55 is outside the allowed range [80.00, 120.00]</v>
      </c>
      <c r="C11" s="8" t="b">
        <f>Alex_ITSD_count_data!C11</f>
        <v>0</v>
      </c>
      <c r="D11" s="8" t="str">
        <f>Alex_ITSD_count_data!D11</f>
        <v>009CALS.d</v>
      </c>
      <c r="E11" s="11">
        <f>Alex_ITSD_count_data!E11</f>
        <v>45246.48951388889</v>
      </c>
      <c r="F11" s="8" t="str">
        <f>Alex_ITSD_count_data!F11</f>
        <v>CalStd</v>
      </c>
      <c r="G11" s="8">
        <f>Alex_ITSD_count_data!G11</f>
        <v>6</v>
      </c>
      <c r="H11" s="8" t="str">
        <f>Alex_ITSD_count_data!H11</f>
        <v>50 ppb m16 + Al</v>
      </c>
      <c r="I11" s="17">
        <f>Alex_ITSD_count_data!Q11</f>
        <v>129814.73</v>
      </c>
      <c r="J11" s="17">
        <f>Alex_ITSD_count_data!R11</f>
        <v>1.4</v>
      </c>
      <c r="K11" s="47">
        <f t="shared" si="18"/>
        <v>128027.42789553375</v>
      </c>
      <c r="L11" s="17">
        <f t="shared" si="20"/>
        <v>50.248780339848331</v>
      </c>
      <c r="M11" s="17">
        <f>'[1]Alex-Mn_As_data'!P11</f>
        <v>50.412999999999997</v>
      </c>
      <c r="N11" s="8"/>
      <c r="O11" s="8"/>
      <c r="P11" s="8"/>
      <c r="R11" s="10" t="str">
        <f>A2</f>
        <v>Number</v>
      </c>
      <c r="S11" s="7"/>
      <c r="T11" s="7" t="str">
        <f t="shared" ref="T11:Y14" si="24">C2</f>
        <v>Rjct</v>
      </c>
      <c r="U11" s="7" t="str">
        <f t="shared" si="24"/>
        <v>Data File</v>
      </c>
      <c r="V11" s="10" t="str">
        <f t="shared" si="24"/>
        <v>Acq. Date-Time</v>
      </c>
      <c r="W11" s="7" t="str">
        <f t="shared" si="24"/>
        <v>Type</v>
      </c>
      <c r="X11" s="7" t="str">
        <f t="shared" si="24"/>
        <v>Level</v>
      </c>
      <c r="Y11" s="7" t="str">
        <f t="shared" si="24"/>
        <v>Sample Name</v>
      </c>
      <c r="Z11" s="16" t="str">
        <f>I2</f>
        <v>CPS</v>
      </c>
      <c r="AA11" s="16" t="str">
        <f>J2</f>
        <v>CPS RSD</v>
      </c>
      <c r="AB11" s="27" t="s">
        <v>256</v>
      </c>
      <c r="AC11" s="27" t="s">
        <v>264</v>
      </c>
      <c r="AD11" s="27" t="s">
        <v>265</v>
      </c>
      <c r="AE11" s="27" t="s">
        <v>266</v>
      </c>
      <c r="AF11" s="27" t="s">
        <v>267</v>
      </c>
      <c r="AG11" s="28" t="s">
        <v>257</v>
      </c>
      <c r="AH11" s="28" t="s">
        <v>260</v>
      </c>
      <c r="AI11" s="28" t="s">
        <v>261</v>
      </c>
      <c r="AJ11" s="28" t="s">
        <v>269</v>
      </c>
      <c r="AK11" s="28" t="s">
        <v>270</v>
      </c>
      <c r="AL11" s="28" t="s">
        <v>271</v>
      </c>
      <c r="AM11" s="28" t="s">
        <v>268</v>
      </c>
      <c r="AO11" s="7" t="s">
        <v>272</v>
      </c>
      <c r="AP11" s="7" t="s">
        <v>273</v>
      </c>
      <c r="AT11" s="10" t="str">
        <f t="shared" ref="AT11" si="25">R11</f>
        <v>Number</v>
      </c>
      <c r="AU11" s="7"/>
      <c r="AV11" s="7" t="str">
        <f t="shared" ref="AV11:BA24" si="26">T11</f>
        <v>Rjct</v>
      </c>
      <c r="AW11" s="7" t="str">
        <f t="shared" si="26"/>
        <v>Data File</v>
      </c>
      <c r="AX11" s="10" t="str">
        <f t="shared" si="26"/>
        <v>Acq. Date-Time</v>
      </c>
      <c r="AY11" s="7" t="str">
        <f t="shared" si="26"/>
        <v>Type</v>
      </c>
      <c r="AZ11" s="7" t="str">
        <f t="shared" si="26"/>
        <v>Level</v>
      </c>
      <c r="BA11" s="7" t="str">
        <f t="shared" si="26"/>
        <v>Sample Name</v>
      </c>
      <c r="BB11" s="16" t="str">
        <f t="shared" si="23"/>
        <v>CPS</v>
      </c>
      <c r="BC11" s="16" t="str">
        <f t="shared" si="23"/>
        <v>CPS RSD</v>
      </c>
      <c r="BD11" s="27" t="str">
        <f t="shared" ref="BD11:BO11" si="27">AB11</f>
        <v>Mean</v>
      </c>
      <c r="BE11" s="27" t="str">
        <f t="shared" si="27"/>
        <v>120% Mean</v>
      </c>
      <c r="BF11" s="27" t="str">
        <f t="shared" si="27"/>
        <v>80% Mean</v>
      </c>
      <c r="BG11" s="27" t="str">
        <f t="shared" si="27"/>
        <v>110% Mean</v>
      </c>
      <c r="BH11" s="27" t="str">
        <f t="shared" si="27"/>
        <v>90% Mean</v>
      </c>
      <c r="BI11" s="28" t="str">
        <f t="shared" si="27"/>
        <v>Stdev</v>
      </c>
      <c r="BJ11" s="28" t="str">
        <f t="shared" si="27"/>
        <v>RelStdev</v>
      </c>
      <c r="BK11" s="28" t="str">
        <f t="shared" si="27"/>
        <v>Range</v>
      </c>
      <c r="BL11" s="28" t="str">
        <f t="shared" si="27"/>
        <v>plus 1 Std</v>
      </c>
      <c r="BM11" s="28" t="str">
        <f t="shared" si="27"/>
        <v>minus 1 Std</v>
      </c>
      <c r="BN11" s="28" t="str">
        <f t="shared" si="27"/>
        <v>plus 2 Std</v>
      </c>
      <c r="BO11" s="28" t="str">
        <f t="shared" si="27"/>
        <v>minus 2 Std</v>
      </c>
      <c r="BQ11" s="7" t="s">
        <v>272</v>
      </c>
      <c r="BR11" s="7" t="s">
        <v>273</v>
      </c>
      <c r="BU11" s="2"/>
    </row>
    <row r="12" spans="1:73" x14ac:dyDescent="0.25">
      <c r="A12" s="23">
        <f>Alex_ITSD_count_data!A12</f>
        <v>1.0532407402934041E-2</v>
      </c>
      <c r="B12" s="8" t="str">
        <f>Alex_ITSD_count_data!B12</f>
        <v>45  Sc ( ISTD )  [ He ] :  ISTD Recovery Percent value = 294.14 is outside the allowed range [80.00, 120.00]103  Rh ( ISTD )  [ He ] :  ISTD Recovery Percent value = 306.45 is outside the allowed range [80.00, 120.00]</v>
      </c>
      <c r="C12" s="8" t="b">
        <f>Alex_ITSD_count_data!C12</f>
        <v>0</v>
      </c>
      <c r="D12" s="8" t="str">
        <f>Alex_ITSD_count_data!D12</f>
        <v>010CALS.d</v>
      </c>
      <c r="E12" s="11">
        <f>Alex_ITSD_count_data!E12</f>
        <v>45246.490717592591</v>
      </c>
      <c r="F12" s="8" t="str">
        <f>Alex_ITSD_count_data!F12</f>
        <v>CalStd</v>
      </c>
      <c r="G12" s="8">
        <f>Alex_ITSD_count_data!G12</f>
        <v>7</v>
      </c>
      <c r="H12" s="8" t="str">
        <f>Alex_ITSD_count_data!H12</f>
        <v>100 ppb m16 + Al</v>
      </c>
      <c r="I12" s="17">
        <f>Alex_ITSD_count_data!Q12</f>
        <v>259551.1</v>
      </c>
      <c r="J12" s="17">
        <f>Alex_ITSD_count_data!R12</f>
        <v>1.4</v>
      </c>
      <c r="K12" s="47">
        <f t="shared" si="18"/>
        <v>257533.17826955573</v>
      </c>
      <c r="L12" s="17">
        <f t="shared" si="20"/>
        <v>100.65519163867022</v>
      </c>
      <c r="M12" s="17">
        <f>'[1]Alex-Mn_As_data'!P12</f>
        <v>100.807</v>
      </c>
      <c r="N12" s="8"/>
      <c r="O12" s="8"/>
      <c r="P12" s="8"/>
      <c r="R12" s="26">
        <f>A3</f>
        <v>0</v>
      </c>
      <c r="S12" s="18"/>
      <c r="T12" s="18" t="b">
        <f t="shared" si="24"/>
        <v>0</v>
      </c>
      <c r="U12" s="18" t="str">
        <f t="shared" si="24"/>
        <v>001SMPL.d</v>
      </c>
      <c r="V12" s="19">
        <f t="shared" si="24"/>
        <v>45246.480185185188</v>
      </c>
      <c r="W12" s="18" t="str">
        <f t="shared" si="24"/>
        <v>Sample</v>
      </c>
      <c r="X12" s="18">
        <f t="shared" si="24"/>
        <v>0</v>
      </c>
      <c r="Y12" s="18" t="str">
        <f t="shared" si="24"/>
        <v>blk</v>
      </c>
      <c r="Z12" s="18">
        <f>I3</f>
        <v>13</v>
      </c>
      <c r="AA12" s="18">
        <f>J3</f>
        <v>23.1</v>
      </c>
      <c r="AB12" s="18"/>
      <c r="AC12" s="18"/>
      <c r="AD12" s="18"/>
      <c r="AE12" s="18"/>
      <c r="AF12" s="18"/>
      <c r="AG12" s="18"/>
      <c r="AH12" s="18"/>
      <c r="AI12" s="18"/>
      <c r="AJ12" s="31"/>
      <c r="AK12" s="31"/>
      <c r="AL12" s="31"/>
      <c r="AM12" s="31"/>
      <c r="AN12" t="s">
        <v>280</v>
      </c>
      <c r="AO12" s="17" cm="1">
        <f t="array" ref="AO12:AP16">LINEST(Z15:Z24,V15:V24, TRUE, TRUE)</f>
        <v>111597.14554756608</v>
      </c>
      <c r="AP12" s="17">
        <v>-5049382628.780282</v>
      </c>
      <c r="AQ12" s="20" t="s">
        <v>281</v>
      </c>
      <c r="AT12" s="26">
        <f>R12</f>
        <v>0</v>
      </c>
      <c r="AU12" s="18"/>
      <c r="AV12" s="18" t="b">
        <f t="shared" si="26"/>
        <v>0</v>
      </c>
      <c r="AW12" s="18" t="str">
        <f t="shared" si="26"/>
        <v>001SMPL.d</v>
      </c>
      <c r="AX12" s="19">
        <f t="shared" si="26"/>
        <v>45246.480185185188</v>
      </c>
      <c r="AY12" s="18" t="str">
        <f t="shared" si="26"/>
        <v>Sample</v>
      </c>
      <c r="AZ12" s="18"/>
      <c r="BA12" s="18" t="str">
        <f t="shared" si="26"/>
        <v>blk</v>
      </c>
      <c r="BB12" s="18">
        <f>Z12-($AO$12*AT12)</f>
        <v>13</v>
      </c>
      <c r="BC12" s="18"/>
      <c r="BD12" s="18"/>
      <c r="BE12" s="18"/>
      <c r="BF12" s="18"/>
      <c r="BG12" s="18"/>
      <c r="BH12" s="18"/>
      <c r="BI12" s="18"/>
      <c r="BJ12" s="18"/>
      <c r="BK12" s="18"/>
      <c r="BL12" s="31"/>
      <c r="BM12" s="31"/>
      <c r="BN12" s="31"/>
      <c r="BO12" s="31"/>
      <c r="BP12" t="s">
        <v>280</v>
      </c>
      <c r="BQ12" s="17" cm="1">
        <f t="array" ref="BQ12:BR16">LINEST(BB15:BB24,AX15:AX24, TRUE, TRUE)</f>
        <v>-8.485995882097225E-12</v>
      </c>
      <c r="BR12" s="17">
        <v>-4594.0391059576423</v>
      </c>
      <c r="BS12" s="20" t="s">
        <v>281</v>
      </c>
      <c r="BU12" s="20"/>
    </row>
    <row r="13" spans="1:73" x14ac:dyDescent="0.25">
      <c r="A13" s="23">
        <f>Alex_ITSD_count_data!A13</f>
        <v>1.1689814811688848E-2</v>
      </c>
      <c r="B13" s="8" t="str">
        <f>Alex_ITSD_count_data!B13</f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C13" s="8" t="b">
        <f>Alex_ITSD_count_data!C13</f>
        <v>0</v>
      </c>
      <c r="D13" s="8" t="str">
        <f>Alex_ITSD_count_data!D13</f>
        <v>011CALS.d</v>
      </c>
      <c r="E13" s="11">
        <f>Alex_ITSD_count_data!E13</f>
        <v>45246.491875</v>
      </c>
      <c r="F13" s="8" t="str">
        <f>Alex_ITSD_count_data!F13</f>
        <v>CalStd</v>
      </c>
      <c r="G13" s="8">
        <f>Alex_ITSD_count_data!G13</f>
        <v>8</v>
      </c>
      <c r="H13" s="8" t="str">
        <f>Alex_ITSD_count_data!H13</f>
        <v>500 ppb m16 + Al</v>
      </c>
      <c r="I13" s="17">
        <f>Alex_ITSD_count_data!Q13</f>
        <v>1287165.08</v>
      </c>
      <c r="J13" s="17">
        <f>Alex_ITSD_count_data!R13</f>
        <v>0.9</v>
      </c>
      <c r="K13" s="47">
        <f t="shared" si="18"/>
        <v>1284925.4086284954</v>
      </c>
      <c r="L13" s="17">
        <f t="shared" si="20"/>
        <v>499.91357178526545</v>
      </c>
      <c r="M13" s="17">
        <f>'[1]Alex-Mn_As_data'!P13</f>
        <v>499.97300000000001</v>
      </c>
      <c r="N13" s="8"/>
      <c r="O13" s="8"/>
      <c r="P13" s="8"/>
      <c r="R13" s="26">
        <f>A4</f>
        <v>1.1458333319751546E-3</v>
      </c>
      <c r="S13" s="18" t="str">
        <f>B4</f>
        <v>56  Fe  [ He ] :  CPS RSD value = 5.02 is over the allowed maximum = 5.00</v>
      </c>
      <c r="T13" s="18" t="b">
        <f t="shared" si="24"/>
        <v>0</v>
      </c>
      <c r="U13" s="18" t="str">
        <f t="shared" si="24"/>
        <v>002SMPL.d</v>
      </c>
      <c r="V13" s="19">
        <f t="shared" si="24"/>
        <v>45246.48133101852</v>
      </c>
      <c r="W13" s="18" t="str">
        <f t="shared" si="24"/>
        <v>Sample</v>
      </c>
      <c r="X13" s="18">
        <f t="shared" si="24"/>
        <v>0</v>
      </c>
      <c r="Y13" s="18" t="str">
        <f t="shared" si="24"/>
        <v>blk</v>
      </c>
      <c r="Z13" s="18">
        <f>I4</f>
        <v>15.67</v>
      </c>
      <c r="AA13" s="18">
        <f>J4</f>
        <v>35.200000000000003</v>
      </c>
      <c r="AB13" s="18"/>
      <c r="AC13" s="18"/>
      <c r="AD13" s="18"/>
      <c r="AE13" s="18"/>
      <c r="AF13" s="18"/>
      <c r="AG13" s="18"/>
      <c r="AH13" s="18"/>
      <c r="AI13" s="18"/>
      <c r="AJ13" s="31"/>
      <c r="AK13" s="31"/>
      <c r="AL13" s="31"/>
      <c r="AM13" s="31"/>
      <c r="AN13" t="s">
        <v>286</v>
      </c>
      <c r="AO13" s="17">
        <v>61735.897918488823</v>
      </c>
      <c r="AP13" s="17">
        <v>2793336971.0961032</v>
      </c>
      <c r="AQ13" t="s">
        <v>282</v>
      </c>
      <c r="AT13" s="26">
        <f t="shared" ref="AT13:AU24" si="28">R13</f>
        <v>1.1458333319751546E-3</v>
      </c>
      <c r="AU13" s="18" t="str">
        <f t="shared" si="28"/>
        <v>56  Fe  [ He ] :  CPS RSD value = 5.02 is over the allowed maximum = 5.00</v>
      </c>
      <c r="AV13" s="18" t="b">
        <f t="shared" si="26"/>
        <v>0</v>
      </c>
      <c r="AW13" s="18" t="str">
        <f t="shared" si="26"/>
        <v>002SMPL.d</v>
      </c>
      <c r="AX13" s="19">
        <f t="shared" si="26"/>
        <v>45246.48133101852</v>
      </c>
      <c r="AY13" s="18" t="str">
        <f t="shared" si="26"/>
        <v>Sample</v>
      </c>
      <c r="AZ13" s="18"/>
      <c r="BA13" s="18" t="str">
        <f t="shared" si="26"/>
        <v>blk</v>
      </c>
      <c r="BB13" s="18">
        <f t="shared" ref="BB13:BB23" si="29">Z13-($AO$12*AT13)</f>
        <v>-112.20172912168393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31"/>
      <c r="BM13" s="31"/>
      <c r="BN13" s="31"/>
      <c r="BO13" s="31"/>
      <c r="BP13" t="s">
        <v>286</v>
      </c>
      <c r="BQ13" s="17">
        <v>61735.89791848883</v>
      </c>
      <c r="BR13" s="17">
        <v>2793336971.0961037</v>
      </c>
      <c r="BS13" t="s">
        <v>282</v>
      </c>
      <c r="BU13" s="20"/>
    </row>
    <row r="14" spans="1:73" x14ac:dyDescent="0.25">
      <c r="A14" s="23">
        <f>Alex_ITSD_count_data!A14</f>
        <v>1.2847222220443655E-2</v>
      </c>
      <c r="B14" s="8" t="str">
        <f>Alex_ITSD_count_data!B14</f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C14" s="8" t="b">
        <f>Alex_ITSD_count_data!C14</f>
        <v>0</v>
      </c>
      <c r="D14" s="8" t="str">
        <f>Alex_ITSD_count_data!D14</f>
        <v>012CALS.d</v>
      </c>
      <c r="E14" s="11">
        <f>Alex_ITSD_count_data!E14</f>
        <v>45246.493032407408</v>
      </c>
      <c r="F14" s="8" t="str">
        <f>Alex_ITSD_count_data!F14</f>
        <v>CalStd</v>
      </c>
      <c r="G14" s="8">
        <f>Alex_ITSD_count_data!G14</f>
        <v>9</v>
      </c>
      <c r="H14" s="8" t="str">
        <f>Alex_ITSD_count_data!H14</f>
        <v>1000 ppb m16 + Al</v>
      </c>
      <c r="I14" s="17">
        <f>Alex_ITSD_count_data!Q14</f>
        <v>2574207.08</v>
      </c>
      <c r="J14" s="17">
        <f>Alex_ITSD_count_data!R14</f>
        <v>1.8</v>
      </c>
      <c r="K14" s="47">
        <f t="shared" si="18"/>
        <v>2571745.658987435</v>
      </c>
      <c r="L14" s="17">
        <f t="shared" si="20"/>
        <v>999.96739948877155</v>
      </c>
      <c r="M14" s="17">
        <f>'[1]Alex-Mn_As_data'!P14</f>
        <v>999.91099999999994</v>
      </c>
      <c r="N14" s="8"/>
      <c r="O14" s="8"/>
      <c r="P14" s="8"/>
      <c r="R14" s="26">
        <f>A5</f>
        <v>2.3263888870133087E-3</v>
      </c>
      <c r="S14" s="18"/>
      <c r="T14" s="18" t="b">
        <f t="shared" si="24"/>
        <v>0</v>
      </c>
      <c r="U14" s="18" t="str">
        <f t="shared" si="24"/>
        <v>003SMPL.d</v>
      </c>
      <c r="V14" s="19">
        <f t="shared" si="24"/>
        <v>45246.482511574075</v>
      </c>
      <c r="W14" s="18" t="str">
        <f t="shared" si="24"/>
        <v>Sample</v>
      </c>
      <c r="X14" s="18">
        <f t="shared" si="24"/>
        <v>0</v>
      </c>
      <c r="Y14" s="18" t="str">
        <f t="shared" si="24"/>
        <v>blk</v>
      </c>
      <c r="Z14" s="18">
        <f>I5</f>
        <v>8.67</v>
      </c>
      <c r="AA14" s="18">
        <f>J5</f>
        <v>6.7</v>
      </c>
      <c r="AB14" s="18"/>
      <c r="AC14" s="18"/>
      <c r="AD14" s="18"/>
      <c r="AE14" s="18"/>
      <c r="AF14" s="18"/>
      <c r="AG14" s="18"/>
      <c r="AH14" s="18"/>
      <c r="AI14" s="18"/>
      <c r="AJ14" s="31"/>
      <c r="AK14" s="31"/>
      <c r="AL14" s="31"/>
      <c r="AM14" s="31"/>
      <c r="AN14" t="s">
        <v>277</v>
      </c>
      <c r="AO14" s="17">
        <v>0.29000047321594269</v>
      </c>
      <c r="AP14" s="17">
        <v>7443.6792041791996</v>
      </c>
      <c r="AQ14" t="s">
        <v>285</v>
      </c>
      <c r="AT14" s="26">
        <f t="shared" si="28"/>
        <v>2.3263888870133087E-3</v>
      </c>
      <c r="AU14" s="18"/>
      <c r="AV14" s="18" t="b">
        <f t="shared" si="26"/>
        <v>0</v>
      </c>
      <c r="AW14" s="18" t="str">
        <f t="shared" si="26"/>
        <v>003SMPL.d</v>
      </c>
      <c r="AX14" s="19">
        <f t="shared" si="26"/>
        <v>45246.482511574075</v>
      </c>
      <c r="AY14" s="18" t="str">
        <f t="shared" si="26"/>
        <v>Sample</v>
      </c>
      <c r="AZ14" s="18"/>
      <c r="BA14" s="18" t="str">
        <f t="shared" si="26"/>
        <v>blk</v>
      </c>
      <c r="BB14" s="18">
        <f t="shared" si="29"/>
        <v>-250.94835922426446</v>
      </c>
      <c r="BC14" s="18"/>
      <c r="BD14" s="18"/>
      <c r="BE14" s="18"/>
      <c r="BF14" s="18"/>
      <c r="BG14" s="18"/>
      <c r="BH14" s="18"/>
      <c r="BI14" s="18"/>
      <c r="BJ14" s="18"/>
      <c r="BK14" s="18"/>
      <c r="BL14" s="31"/>
      <c r="BM14" s="31"/>
      <c r="BN14" s="31"/>
      <c r="BO14" s="31"/>
      <c r="BP14" t="s">
        <v>277</v>
      </c>
      <c r="BQ14" s="17">
        <v>-2.6893344557340488E-16</v>
      </c>
      <c r="BR14" s="17">
        <v>7443.6792041792005</v>
      </c>
      <c r="BS14" t="s">
        <v>285</v>
      </c>
      <c r="BU14" s="20"/>
    </row>
    <row r="15" spans="1:73" x14ac:dyDescent="0.25">
      <c r="A15" s="23">
        <f>Alex_ITSD_count_data!A15</f>
        <v>1.395833332935581E-2</v>
      </c>
      <c r="B15" s="8" t="str">
        <f>Alex_ITSD_count_data!B15</f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C15" s="8" t="b">
        <f>Alex_ITSD_count_data!C15</f>
        <v>0</v>
      </c>
      <c r="D15" s="8" t="str">
        <f>Alex_ITSD_count_data!D15</f>
        <v>013SMPL.d</v>
      </c>
      <c r="E15" s="11">
        <f>Alex_ITSD_count_data!E15</f>
        <v>45246.494143518517</v>
      </c>
      <c r="F15" s="8" t="str">
        <f>Alex_ITSD_count_data!F15</f>
        <v>Sample</v>
      </c>
      <c r="G15" s="8">
        <f>Alex_ITSD_count_data!G15</f>
        <v>0</v>
      </c>
      <c r="H15" s="40" t="str">
        <f>Alex_ITSD_count_data!H15</f>
        <v>blk</v>
      </c>
      <c r="I15" s="43">
        <f>Alex_ITSD_count_data!Q15</f>
        <v>167</v>
      </c>
      <c r="J15" s="43">
        <f>Alex_ITSD_count_data!R15</f>
        <v>2.6</v>
      </c>
      <c r="K15" s="48">
        <f t="shared" si="18"/>
        <v>-2507.3006673142081</v>
      </c>
      <c r="L15" s="43">
        <f t="shared" si="20"/>
        <v>-0.1231917011345406</v>
      </c>
      <c r="M15" s="43">
        <f>'[1]Alex-Mn_As_data'!P17</f>
        <v>5.1999999999999998E-2</v>
      </c>
      <c r="N15" s="8"/>
      <c r="O15" s="8"/>
      <c r="P15" s="8"/>
      <c r="R15" s="23">
        <f t="shared" ref="R15:AA15" si="30">A15</f>
        <v>1.395833332935581E-2</v>
      </c>
      <c r="S15" s="8" t="str">
        <f t="shared" si="30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T15" s="8" t="b">
        <f t="shared" si="30"/>
        <v>0</v>
      </c>
      <c r="U15" s="8" t="str">
        <f t="shared" si="30"/>
        <v>013SMPL.d</v>
      </c>
      <c r="V15" s="11">
        <f t="shared" si="30"/>
        <v>45246.494143518517</v>
      </c>
      <c r="W15" s="8" t="str">
        <f t="shared" si="30"/>
        <v>Sample</v>
      </c>
      <c r="X15" s="8">
        <f t="shared" si="30"/>
        <v>0</v>
      </c>
      <c r="Y15" s="8" t="str">
        <f t="shared" si="30"/>
        <v>blk</v>
      </c>
      <c r="Z15" s="8">
        <f t="shared" si="30"/>
        <v>167</v>
      </c>
      <c r="AA15" s="8">
        <f t="shared" si="30"/>
        <v>2.6</v>
      </c>
      <c r="AB15" s="8">
        <f>AVERAGE(Z15:Z24)</f>
        <v>4243.9639999999999</v>
      </c>
      <c r="AC15" s="8">
        <f>1.2*AB15</f>
        <v>5092.7568000000001</v>
      </c>
      <c r="AD15" s="8">
        <f>0.8*AB15</f>
        <v>3395.1712000000002</v>
      </c>
      <c r="AE15" s="8">
        <f>1.1*AB15</f>
        <v>4668.3604000000005</v>
      </c>
      <c r="AF15" s="8">
        <f>0.9*AB15</f>
        <v>3819.5675999999999</v>
      </c>
      <c r="AG15" s="8">
        <f>STDEV(Z15:Z24)</f>
        <v>8328.7985426286632</v>
      </c>
      <c r="AH15" s="8">
        <f>AG15/AB15 * 100</f>
        <v>196.2504522335407</v>
      </c>
      <c r="AI15" s="8">
        <f>MAX(Z15:Z24)-MIN(Z15:Z24)</f>
        <v>25983.800000000003</v>
      </c>
      <c r="AJ15" s="8">
        <f>AE15+AG15</f>
        <v>12997.158942628663</v>
      </c>
      <c r="AK15" s="8">
        <f>AB15-AG15</f>
        <v>-4084.8345426286633</v>
      </c>
      <c r="AL15" s="8">
        <f>AB15+2*AG15</f>
        <v>20901.561085257326</v>
      </c>
      <c r="AM15" s="8">
        <f>AB15-2*AG15</f>
        <v>-12413.633085257326</v>
      </c>
      <c r="AN15" t="s">
        <v>278</v>
      </c>
      <c r="AO15" s="17">
        <v>3.2676131436819373</v>
      </c>
      <c r="AP15" s="17">
        <v>8</v>
      </c>
      <c r="AQ15" t="s">
        <v>283</v>
      </c>
      <c r="AT15" s="23">
        <f t="shared" si="28"/>
        <v>1.395833332935581E-2</v>
      </c>
      <c r="AU15" s="8" t="str">
        <f t="shared" si="28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AV15" s="8" t="b">
        <f t="shared" si="26"/>
        <v>0</v>
      </c>
      <c r="AW15" s="8" t="str">
        <f t="shared" si="26"/>
        <v>013SMPL.d</v>
      </c>
      <c r="AX15" s="11">
        <f t="shared" si="26"/>
        <v>45246.494143518517</v>
      </c>
      <c r="AY15" s="8" t="str">
        <f t="shared" si="26"/>
        <v>Sample</v>
      </c>
      <c r="AZ15" s="8">
        <f t="shared" si="26"/>
        <v>0</v>
      </c>
      <c r="BA15" s="8" t="str">
        <f t="shared" si="26"/>
        <v>blk</v>
      </c>
      <c r="BB15" s="8">
        <f t="shared" si="29"/>
        <v>-1390.7101561575628</v>
      </c>
      <c r="BC15" s="8"/>
      <c r="BD15" s="8">
        <f>AVERAGE(BB15:BB24)</f>
        <v>-4594.0391063416046</v>
      </c>
      <c r="BE15" s="8">
        <f>1.2*BD15</f>
        <v>-5512.8469276099249</v>
      </c>
      <c r="BF15" s="8">
        <f>0.8*BD15</f>
        <v>-3675.2312850732837</v>
      </c>
      <c r="BG15" s="8">
        <f>1.1*BD15</f>
        <v>-5053.4430169757652</v>
      </c>
      <c r="BH15" s="8">
        <f>0.9*BD15</f>
        <v>-4134.6351957074439</v>
      </c>
      <c r="BI15" s="8">
        <f>STDEV(BB15:BB24)</f>
        <v>7017.9680563365264</v>
      </c>
      <c r="BJ15" s="8">
        <f>BI15/BD15 * 100</f>
        <v>-152.76247968043924</v>
      </c>
      <c r="BK15" s="8">
        <f>MAX(BB15:BB24)-MIN(BB15:BB24)</f>
        <v>24885.341449582309</v>
      </c>
      <c r="BL15" s="8">
        <f>BG15+BI15</f>
        <v>1964.5250393607612</v>
      </c>
      <c r="BM15" s="8">
        <f>BD15-BI15</f>
        <v>-11612.007162678132</v>
      </c>
      <c r="BN15" s="8">
        <f>BD15+2*BI15</f>
        <v>9441.8970063314482</v>
      </c>
      <c r="BO15" s="8">
        <f>BD15-2*BI15</f>
        <v>-18629.975219014657</v>
      </c>
      <c r="BP15" t="s">
        <v>278</v>
      </c>
      <c r="BQ15" s="17">
        <v>-2.1514675645872383E-15</v>
      </c>
      <c r="BR15" s="17">
        <v>8</v>
      </c>
      <c r="BS15" t="s">
        <v>283</v>
      </c>
      <c r="BU15" s="20"/>
    </row>
    <row r="16" spans="1:73" x14ac:dyDescent="0.25">
      <c r="A16" s="23">
        <f>Alex_ITSD_count_data!A16</f>
        <v>1.5127314814890269E-2</v>
      </c>
      <c r="B16" s="8" t="str">
        <f>Alex_ITSD_count_data!B16</f>
        <v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v>
      </c>
      <c r="C16" s="8" t="b">
        <f>Alex_ITSD_count_data!C16</f>
        <v>0</v>
      </c>
      <c r="D16" s="8" t="str">
        <f>Alex_ITSD_count_data!D16</f>
        <v>014SMPL.d</v>
      </c>
      <c r="E16" s="11">
        <f>Alex_ITSD_count_data!E16</f>
        <v>45246.495312500003</v>
      </c>
      <c r="F16" s="8" t="str">
        <f>Alex_ITSD_count_data!F16</f>
        <v>Sample</v>
      </c>
      <c r="G16" s="8">
        <f>Alex_ITSD_count_data!G16</f>
        <v>0</v>
      </c>
      <c r="H16" s="8" t="str">
        <f>Alex_ITSD_count_data!H16</f>
        <v>m6 x100 x100</v>
      </c>
      <c r="I16" s="17">
        <f>Alex_ITSD_count_data!Q16</f>
        <v>25775.4</v>
      </c>
      <c r="J16" s="17">
        <f>Alex_ITSD_count_data!R16</f>
        <v>1.6</v>
      </c>
      <c r="K16" s="47">
        <f t="shared" si="18"/>
        <v>22877.132194698908</v>
      </c>
      <c r="L16" s="17">
        <f t="shared" si="20"/>
        <v>9.8264280015344223</v>
      </c>
      <c r="M16" s="17">
        <f>'[1]Alex-Mn_As_data'!P18</f>
        <v>10</v>
      </c>
      <c r="N16" s="8"/>
      <c r="O16" s="8"/>
      <c r="P16" s="8"/>
      <c r="R16" s="23">
        <f t="shared" ref="R16:AA16" si="31">A17</f>
        <v>2.880787036701804E-2</v>
      </c>
      <c r="S16" s="8" t="str">
        <f t="shared" si="31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T16" s="8" t="b">
        <f t="shared" si="31"/>
        <v>0</v>
      </c>
      <c r="U16" s="8" t="str">
        <f t="shared" si="31"/>
        <v>015SMPL.d</v>
      </c>
      <c r="V16" s="11">
        <f t="shared" si="31"/>
        <v>45246.508993055555</v>
      </c>
      <c r="W16" s="8" t="str">
        <f t="shared" si="31"/>
        <v>Sample</v>
      </c>
      <c r="X16" s="8">
        <f t="shared" si="31"/>
        <v>0</v>
      </c>
      <c r="Y16" s="8" t="str">
        <f t="shared" si="31"/>
        <v>blk</v>
      </c>
      <c r="Z16" s="8">
        <f t="shared" si="31"/>
        <v>16.670000000000002</v>
      </c>
      <c r="AA16" s="8">
        <f t="shared" si="31"/>
        <v>30.2</v>
      </c>
      <c r="AB16" s="8">
        <f t="shared" ref="AB16:AM16" si="32">AB$15</f>
        <v>4243.9639999999999</v>
      </c>
      <c r="AC16" s="8">
        <f t="shared" si="32"/>
        <v>5092.7568000000001</v>
      </c>
      <c r="AD16" s="8">
        <f t="shared" si="32"/>
        <v>3395.1712000000002</v>
      </c>
      <c r="AE16" s="8">
        <f t="shared" si="32"/>
        <v>4668.3604000000005</v>
      </c>
      <c r="AF16" s="8">
        <f t="shared" si="32"/>
        <v>3819.5675999999999</v>
      </c>
      <c r="AG16" s="8">
        <f t="shared" si="32"/>
        <v>8328.7985426286632</v>
      </c>
      <c r="AH16" s="8">
        <f t="shared" si="32"/>
        <v>196.2504522335407</v>
      </c>
      <c r="AI16" s="8">
        <f t="shared" si="32"/>
        <v>25983.800000000003</v>
      </c>
      <c r="AJ16" s="8">
        <f t="shared" si="32"/>
        <v>12997.158942628663</v>
      </c>
      <c r="AK16" s="8">
        <f t="shared" si="32"/>
        <v>-4084.8345426286633</v>
      </c>
      <c r="AL16" s="8">
        <f t="shared" si="32"/>
        <v>20901.561085257326</v>
      </c>
      <c r="AM16" s="8">
        <f t="shared" si="32"/>
        <v>-12413.633085257326</v>
      </c>
      <c r="AN16" t="s">
        <v>279</v>
      </c>
      <c r="AO16" s="17">
        <v>181053085.71540111</v>
      </c>
      <c r="AP16" s="17">
        <v>443266880.75783902</v>
      </c>
      <c r="AQ16" t="s">
        <v>284</v>
      </c>
      <c r="AT16" s="23">
        <f t="shared" si="28"/>
        <v>2.880787036701804E-2</v>
      </c>
      <c r="AU16" s="8" t="str">
        <f t="shared" si="28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AV16" s="8" t="b">
        <f t="shared" si="26"/>
        <v>0</v>
      </c>
      <c r="AW16" s="8" t="str">
        <f t="shared" si="26"/>
        <v>015SMPL.d</v>
      </c>
      <c r="AX16" s="11">
        <f t="shared" si="26"/>
        <v>45246.508993055555</v>
      </c>
      <c r="AY16" s="8" t="str">
        <f t="shared" si="26"/>
        <v>Sample</v>
      </c>
      <c r="AZ16" s="8">
        <f t="shared" si="26"/>
        <v>0</v>
      </c>
      <c r="BA16" s="8" t="str">
        <f t="shared" si="26"/>
        <v>blk</v>
      </c>
      <c r="BB16" s="8">
        <f t="shared" si="29"/>
        <v>-3198.206102263528</v>
      </c>
      <c r="BC16" s="8"/>
      <c r="BD16" s="8">
        <f>BD$15</f>
        <v>-4594.0391063416046</v>
      </c>
      <c r="BE16" s="8">
        <f t="shared" ref="BE16:BO24" si="33">BE$15</f>
        <v>-5512.8469276099249</v>
      </c>
      <c r="BF16" s="8">
        <f t="shared" si="33"/>
        <v>-3675.2312850732837</v>
      </c>
      <c r="BG16" s="8">
        <f t="shared" si="33"/>
        <v>-5053.4430169757652</v>
      </c>
      <c r="BH16" s="8">
        <f t="shared" si="33"/>
        <v>-4134.6351957074439</v>
      </c>
      <c r="BI16" s="8">
        <f t="shared" si="33"/>
        <v>7017.9680563365264</v>
      </c>
      <c r="BJ16" s="8">
        <f t="shared" si="33"/>
        <v>-152.76247968043924</v>
      </c>
      <c r="BK16" s="8">
        <f t="shared" si="33"/>
        <v>24885.341449582309</v>
      </c>
      <c r="BL16" s="8">
        <f t="shared" si="33"/>
        <v>1964.5250393607612</v>
      </c>
      <c r="BM16" s="8">
        <f t="shared" si="33"/>
        <v>-11612.007162678132</v>
      </c>
      <c r="BN16" s="8">
        <f t="shared" si="33"/>
        <v>9441.8970063314482</v>
      </c>
      <c r="BO16" s="8">
        <f t="shared" si="33"/>
        <v>-18629.975219014657</v>
      </c>
      <c r="BP16" t="s">
        <v>279</v>
      </c>
      <c r="BQ16" s="17">
        <v>-1.1920928955078125E-7</v>
      </c>
      <c r="BR16" s="17">
        <v>443266880.75783914</v>
      </c>
      <c r="BS16" t="s">
        <v>284</v>
      </c>
      <c r="BU16" s="20"/>
    </row>
    <row r="17" spans="1:67" x14ac:dyDescent="0.25">
      <c r="A17" s="23">
        <f>Alex_ITSD_count_data!A17</f>
        <v>2.880787036701804E-2</v>
      </c>
      <c r="B17" s="8" t="str">
        <f>Alex_ITSD_count_data!B17</f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C17" s="8" t="b">
        <f>Alex_ITSD_count_data!C17</f>
        <v>0</v>
      </c>
      <c r="D17" s="8" t="str">
        <f>Alex_ITSD_count_data!D17</f>
        <v>015SMPL.d</v>
      </c>
      <c r="E17" s="11">
        <f>Alex_ITSD_count_data!E17</f>
        <v>45246.508993055555</v>
      </c>
      <c r="F17" s="8" t="str">
        <f>Alex_ITSD_count_data!F17</f>
        <v>Sample</v>
      </c>
      <c r="G17" s="8">
        <f>Alex_ITSD_count_data!G17</f>
        <v>0</v>
      </c>
      <c r="H17" s="40" t="str">
        <f>Alex_ITSD_count_data!H17</f>
        <v>blk</v>
      </c>
      <c r="I17" s="43">
        <f>Alex_ITSD_count_data!Q17</f>
        <v>16.670000000000002</v>
      </c>
      <c r="J17" s="43">
        <f>Alex_ITSD_count_data!R17</f>
        <v>30.2</v>
      </c>
      <c r="K17" s="48">
        <f t="shared" si="18"/>
        <v>-5502.6785589280635</v>
      </c>
      <c r="L17" s="43">
        <f t="shared" si="20"/>
        <v>-0.18159934588791155</v>
      </c>
      <c r="M17" s="43" t="str">
        <f>'[1]Alex-Mn_As_data'!P19</f>
        <v>&lt;0.000</v>
      </c>
      <c r="N17" s="8"/>
      <c r="O17" s="8"/>
      <c r="P17" s="8"/>
      <c r="R17" s="23">
        <f t="shared" ref="R17:AA17" si="34">A28</f>
        <v>4.1238425925257616E-2</v>
      </c>
      <c r="S17" s="8" t="str">
        <f t="shared" si="34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T17" s="8" t="b">
        <f t="shared" si="34"/>
        <v>0</v>
      </c>
      <c r="U17" s="8" t="str">
        <f t="shared" si="34"/>
        <v>026SMPL.d</v>
      </c>
      <c r="V17" s="11">
        <f t="shared" si="34"/>
        <v>45246.521423611113</v>
      </c>
      <c r="W17" s="8" t="str">
        <f t="shared" si="34"/>
        <v>Sample</v>
      </c>
      <c r="X17" s="8">
        <f t="shared" si="34"/>
        <v>0</v>
      </c>
      <c r="Y17" s="8" t="str">
        <f t="shared" si="34"/>
        <v xml:space="preserve">blk </v>
      </c>
      <c r="Z17" s="8">
        <f t="shared" si="34"/>
        <v>37.67</v>
      </c>
      <c r="AA17" s="8">
        <f t="shared" si="34"/>
        <v>10.7</v>
      </c>
      <c r="AB17" s="8">
        <f t="shared" ref="AB17:AI24" si="35">AB$15</f>
        <v>4243.9639999999999</v>
      </c>
      <c r="AC17" s="8">
        <f t="shared" si="35"/>
        <v>5092.7568000000001</v>
      </c>
      <c r="AD17" s="8">
        <f t="shared" si="35"/>
        <v>3395.1712000000002</v>
      </c>
      <c r="AE17" s="8">
        <f t="shared" si="35"/>
        <v>4668.3604000000005</v>
      </c>
      <c r="AF17" s="8">
        <f t="shared" si="35"/>
        <v>3819.5675999999999</v>
      </c>
      <c r="AG17" s="8">
        <f t="shared" si="35"/>
        <v>8328.7985426286632</v>
      </c>
      <c r="AH17" s="8">
        <f t="shared" si="35"/>
        <v>196.2504522335407</v>
      </c>
      <c r="AI17" s="8">
        <f t="shared" si="35"/>
        <v>25983.800000000003</v>
      </c>
      <c r="AJ17" s="8">
        <f t="shared" ref="AJ17:AM24" si="36">AJ$15</f>
        <v>12997.158942628663</v>
      </c>
      <c r="AK17" s="8">
        <f t="shared" si="36"/>
        <v>-4084.8345426286633</v>
      </c>
      <c r="AL17" s="8">
        <f t="shared" si="36"/>
        <v>20901.561085257326</v>
      </c>
      <c r="AM17" s="8">
        <f t="shared" si="36"/>
        <v>-12413.633085257326</v>
      </c>
      <c r="AT17" s="23">
        <f t="shared" si="28"/>
        <v>4.1238425925257616E-2</v>
      </c>
      <c r="AU17" s="8" t="str">
        <f t="shared" si="28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AV17" s="8" t="b">
        <f t="shared" si="26"/>
        <v>0</v>
      </c>
      <c r="AW17" s="8" t="str">
        <f t="shared" si="26"/>
        <v>026SMPL.d</v>
      </c>
      <c r="AX17" s="11">
        <f t="shared" si="26"/>
        <v>45246.521423611113</v>
      </c>
      <c r="AY17" s="8" t="str">
        <f t="shared" si="26"/>
        <v>Sample</v>
      </c>
      <c r="AZ17" s="8">
        <f t="shared" si="26"/>
        <v>0</v>
      </c>
      <c r="BA17" s="8" t="str">
        <f t="shared" si="26"/>
        <v xml:space="preserve">blk </v>
      </c>
      <c r="BB17" s="8">
        <f t="shared" si="29"/>
        <v>-4564.4206201334964</v>
      </c>
      <c r="BC17" s="8"/>
      <c r="BD17" s="8">
        <f t="shared" ref="BD17:BD24" si="37">BD$15</f>
        <v>-4594.0391063416046</v>
      </c>
      <c r="BE17" s="8">
        <f t="shared" si="33"/>
        <v>-5512.8469276099249</v>
      </c>
      <c r="BF17" s="8">
        <f t="shared" si="33"/>
        <v>-3675.2312850732837</v>
      </c>
      <c r="BG17" s="8">
        <f t="shared" si="33"/>
        <v>-5053.4430169757652</v>
      </c>
      <c r="BH17" s="8">
        <f t="shared" si="33"/>
        <v>-4134.6351957074439</v>
      </c>
      <c r="BI17" s="8">
        <f t="shared" si="33"/>
        <v>7017.9680563365264</v>
      </c>
      <c r="BJ17" s="8">
        <f t="shared" si="33"/>
        <v>-152.76247968043924</v>
      </c>
      <c r="BK17" s="8">
        <f t="shared" si="33"/>
        <v>24885.341449582309</v>
      </c>
      <c r="BL17" s="8">
        <f t="shared" si="33"/>
        <v>1964.5250393607612</v>
      </c>
      <c r="BM17" s="8">
        <f t="shared" si="33"/>
        <v>-11612.007162678132</v>
      </c>
      <c r="BN17" s="8">
        <f t="shared" si="33"/>
        <v>9441.8970063314482</v>
      </c>
      <c r="BO17" s="8">
        <f t="shared" si="33"/>
        <v>-18629.975219014657</v>
      </c>
    </row>
    <row r="18" spans="1:67" x14ac:dyDescent="0.25">
      <c r="A18" s="23">
        <f>Alex_ITSD_count_data!A18</f>
        <v>2.9930555552709848E-2</v>
      </c>
      <c r="B18" s="8" t="str">
        <f>Alex_ITSD_count_data!B18</f>
        <v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v>
      </c>
      <c r="C18" s="8" t="b">
        <f>Alex_ITSD_count_data!C18</f>
        <v>0</v>
      </c>
      <c r="D18" s="8" t="str">
        <f>Alex_ITSD_count_data!D18</f>
        <v>016SMPL.d</v>
      </c>
      <c r="E18" s="11">
        <f>Alex_ITSD_count_data!E18</f>
        <v>45246.510115740741</v>
      </c>
      <c r="F18" s="8" t="str">
        <f>Alex_ITSD_count_data!F18</f>
        <v>Sample</v>
      </c>
      <c r="G18" s="8">
        <f>Alex_ITSD_count_data!G18</f>
        <v>0</v>
      </c>
      <c r="H18" s="8" t="str">
        <f>Alex_ITSD_count_data!H18</f>
        <v>0-10-T</v>
      </c>
      <c r="I18" s="17">
        <f>Alex_ITSD_count_data!Q18</f>
        <v>3737.17</v>
      </c>
      <c r="J18" s="17">
        <f>Alex_ITSD_count_data!R18</f>
        <v>1.4</v>
      </c>
      <c r="K18" s="47">
        <f t="shared" si="18"/>
        <v>-1997.2757106034014</v>
      </c>
      <c r="L18" s="17">
        <f t="shared" si="20"/>
        <v>1.2639247830611782</v>
      </c>
      <c r="M18" s="17">
        <f>'[1]Alex-Mn_As_data'!P20</f>
        <v>1.4390000000000001</v>
      </c>
      <c r="N18" s="8">
        <v>5</v>
      </c>
      <c r="O18" s="17" t="str">
        <f>IF(L18 &lt; $S$44, "NA", N18*L18)</f>
        <v>NA</v>
      </c>
      <c r="P18" s="17" t="str">
        <f>IF(M18 &lt; $S$45, "NA", N18*M18)</f>
        <v>NA</v>
      </c>
      <c r="R18" s="23">
        <f t="shared" ref="R18:AA18" si="38">A40</f>
        <v>6.3530092593282461E-2</v>
      </c>
      <c r="S18" s="8" t="str">
        <f t="shared" si="38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T18" s="8" t="b">
        <f t="shared" si="38"/>
        <v>0</v>
      </c>
      <c r="U18" s="8" t="str">
        <f t="shared" si="38"/>
        <v>038SMPL.d</v>
      </c>
      <c r="V18" s="11">
        <f t="shared" si="38"/>
        <v>45246.543715277781</v>
      </c>
      <c r="W18" s="8" t="str">
        <f t="shared" si="38"/>
        <v>Sample</v>
      </c>
      <c r="X18" s="8">
        <f t="shared" si="38"/>
        <v>0</v>
      </c>
      <c r="Y18" s="8" t="str">
        <f t="shared" si="38"/>
        <v xml:space="preserve">blk </v>
      </c>
      <c r="Z18" s="8">
        <f t="shared" si="38"/>
        <v>26</v>
      </c>
      <c r="AA18" s="8">
        <f t="shared" si="38"/>
        <v>3.8</v>
      </c>
      <c r="AB18" s="8">
        <f t="shared" si="35"/>
        <v>4243.9639999999999</v>
      </c>
      <c r="AC18" s="8">
        <f t="shared" si="35"/>
        <v>5092.7568000000001</v>
      </c>
      <c r="AD18" s="8">
        <f t="shared" si="35"/>
        <v>3395.1712000000002</v>
      </c>
      <c r="AE18" s="8">
        <f t="shared" si="35"/>
        <v>4668.3604000000005</v>
      </c>
      <c r="AF18" s="8">
        <f t="shared" si="35"/>
        <v>3819.5675999999999</v>
      </c>
      <c r="AG18" s="8">
        <f t="shared" si="35"/>
        <v>8328.7985426286632</v>
      </c>
      <c r="AH18" s="8">
        <f t="shared" si="35"/>
        <v>196.2504522335407</v>
      </c>
      <c r="AI18" s="8">
        <f t="shared" si="35"/>
        <v>25983.800000000003</v>
      </c>
      <c r="AJ18" s="8">
        <f t="shared" si="36"/>
        <v>12997.158942628663</v>
      </c>
      <c r="AK18" s="8">
        <f t="shared" si="36"/>
        <v>-4084.8345426286633</v>
      </c>
      <c r="AL18" s="8">
        <f t="shared" si="36"/>
        <v>20901.561085257326</v>
      </c>
      <c r="AM18" s="8">
        <f t="shared" si="36"/>
        <v>-12413.633085257326</v>
      </c>
      <c r="AT18" s="23">
        <f t="shared" si="28"/>
        <v>6.3530092593282461E-2</v>
      </c>
      <c r="AU18" s="8" t="str">
        <f t="shared" si="28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AV18" s="8" t="b">
        <f t="shared" si="26"/>
        <v>0</v>
      </c>
      <c r="AW18" s="8" t="str">
        <f t="shared" si="26"/>
        <v>038SMPL.d</v>
      </c>
      <c r="AX18" s="11">
        <f t="shared" si="26"/>
        <v>45246.543715277781</v>
      </c>
      <c r="AY18" s="8" t="str">
        <f t="shared" si="26"/>
        <v>Sample</v>
      </c>
      <c r="AZ18" s="8">
        <f t="shared" si="26"/>
        <v>0</v>
      </c>
      <c r="BA18" s="8" t="str">
        <f t="shared" si="26"/>
        <v xml:space="preserve">blk </v>
      </c>
      <c r="BB18" s="8">
        <f t="shared" si="29"/>
        <v>-7063.7769897828921</v>
      </c>
      <c r="BC18" s="8"/>
      <c r="BD18" s="8">
        <f t="shared" si="37"/>
        <v>-4594.0391063416046</v>
      </c>
      <c r="BE18" s="8">
        <f t="shared" si="33"/>
        <v>-5512.8469276099249</v>
      </c>
      <c r="BF18" s="8">
        <f t="shared" si="33"/>
        <v>-3675.2312850732837</v>
      </c>
      <c r="BG18" s="8">
        <f t="shared" si="33"/>
        <v>-5053.4430169757652</v>
      </c>
      <c r="BH18" s="8">
        <f t="shared" si="33"/>
        <v>-4134.6351957074439</v>
      </c>
      <c r="BI18" s="8">
        <f t="shared" si="33"/>
        <v>7017.9680563365264</v>
      </c>
      <c r="BJ18" s="8">
        <f t="shared" si="33"/>
        <v>-152.76247968043924</v>
      </c>
      <c r="BK18" s="8">
        <f t="shared" si="33"/>
        <v>24885.341449582309</v>
      </c>
      <c r="BL18" s="8">
        <f t="shared" si="33"/>
        <v>1964.5250393607612</v>
      </c>
      <c r="BM18" s="8">
        <f t="shared" si="33"/>
        <v>-11612.007162678132</v>
      </c>
      <c r="BN18" s="8">
        <f t="shared" si="33"/>
        <v>9441.8970063314482</v>
      </c>
      <c r="BO18" s="8">
        <f t="shared" si="33"/>
        <v>-18629.975219014657</v>
      </c>
    </row>
    <row r="19" spans="1:67" x14ac:dyDescent="0.25">
      <c r="A19" s="23">
        <f>Alex_ITSD_count_data!A19</f>
        <v>3.1076388884685002E-2</v>
      </c>
      <c r="B19" s="8" t="str">
        <f>Alex_ITSD_count_data!B19</f>
        <v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v>
      </c>
      <c r="C19" s="8" t="b">
        <f>Alex_ITSD_count_data!C19</f>
        <v>0</v>
      </c>
      <c r="D19" s="8" t="str">
        <f>Alex_ITSD_count_data!D19</f>
        <v>017SMPL.d</v>
      </c>
      <c r="E19" s="11">
        <f>Alex_ITSD_count_data!E19</f>
        <v>45246.511261574073</v>
      </c>
      <c r="F19" s="8" t="str">
        <f>Alex_ITSD_count_data!F19</f>
        <v>Sample</v>
      </c>
      <c r="G19" s="8">
        <f>Alex_ITSD_count_data!G19</f>
        <v>0</v>
      </c>
      <c r="H19" s="8" t="str">
        <f>Alex_ITSD_count_data!H19</f>
        <v>0-20-T</v>
      </c>
      <c r="I19" s="17">
        <f>Alex_ITSD_count_data!Q19</f>
        <v>8398.14</v>
      </c>
      <c r="J19" s="17">
        <f>Alex_ITSD_count_data!R19</f>
        <v>2.4</v>
      </c>
      <c r="K19" s="47">
        <f t="shared" si="18"/>
        <v>2444.1621452624931</v>
      </c>
      <c r="L19" s="17">
        <f t="shared" si="20"/>
        <v>3.0748492822703808</v>
      </c>
      <c r="M19" s="17">
        <f>'[1]Alex-Mn_As_data'!P21</f>
        <v>3.25</v>
      </c>
      <c r="N19" s="8">
        <v>5</v>
      </c>
      <c r="O19" s="17" t="str">
        <f t="shared" ref="O19:O27" si="39">IF(L19 &lt; $S$44, "NA", N19*L19)</f>
        <v>NA</v>
      </c>
      <c r="P19" s="17" t="str">
        <f t="shared" ref="P19:P27" si="40">IF(M19 &lt; $S$45, "NA", N19*M19)</f>
        <v>NA</v>
      </c>
      <c r="R19" s="23">
        <f t="shared" ref="R19:AA19" si="41">A52</f>
        <v>8.0856481479713693E-2</v>
      </c>
      <c r="S19" s="8" t="str">
        <f t="shared" si="41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T19" s="8" t="b">
        <f t="shared" si="41"/>
        <v>0</v>
      </c>
      <c r="U19" s="8" t="str">
        <f t="shared" si="41"/>
        <v>050SMPL.d</v>
      </c>
      <c r="V19" s="11">
        <f t="shared" si="41"/>
        <v>45246.561041666668</v>
      </c>
      <c r="W19" s="8" t="str">
        <f t="shared" si="41"/>
        <v>Sample</v>
      </c>
      <c r="X19" s="8">
        <f t="shared" si="41"/>
        <v>0</v>
      </c>
      <c r="Y19" s="8" t="str">
        <f t="shared" si="41"/>
        <v xml:space="preserve">blk </v>
      </c>
      <c r="Z19" s="8">
        <f t="shared" si="41"/>
        <v>35</v>
      </c>
      <c r="AA19" s="8">
        <f t="shared" si="41"/>
        <v>20.6</v>
      </c>
      <c r="AB19" s="8">
        <f t="shared" si="35"/>
        <v>4243.9639999999999</v>
      </c>
      <c r="AC19" s="8">
        <f t="shared" si="35"/>
        <v>5092.7568000000001</v>
      </c>
      <c r="AD19" s="8">
        <f t="shared" si="35"/>
        <v>3395.1712000000002</v>
      </c>
      <c r="AE19" s="8">
        <f t="shared" si="35"/>
        <v>4668.3604000000005</v>
      </c>
      <c r="AF19" s="8">
        <f t="shared" si="35"/>
        <v>3819.5675999999999</v>
      </c>
      <c r="AG19" s="8">
        <f t="shared" si="35"/>
        <v>8328.7985426286632</v>
      </c>
      <c r="AH19" s="8">
        <f t="shared" si="35"/>
        <v>196.2504522335407</v>
      </c>
      <c r="AI19" s="8">
        <f t="shared" si="35"/>
        <v>25983.800000000003</v>
      </c>
      <c r="AJ19" s="8">
        <f t="shared" si="36"/>
        <v>12997.158942628663</v>
      </c>
      <c r="AK19" s="8">
        <f t="shared" si="36"/>
        <v>-4084.8345426286633</v>
      </c>
      <c r="AL19" s="8">
        <f t="shared" si="36"/>
        <v>20901.561085257326</v>
      </c>
      <c r="AM19" s="8">
        <f t="shared" si="36"/>
        <v>-12413.633085257326</v>
      </c>
      <c r="AT19" s="23">
        <f t="shared" si="28"/>
        <v>8.0856481479713693E-2</v>
      </c>
      <c r="AU19" s="8" t="str">
        <f t="shared" si="28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AV19" s="8" t="b">
        <f t="shared" si="26"/>
        <v>0</v>
      </c>
      <c r="AW19" s="8" t="str">
        <f t="shared" si="26"/>
        <v>050SMPL.d</v>
      </c>
      <c r="AX19" s="11">
        <f t="shared" si="26"/>
        <v>45246.561041666668</v>
      </c>
      <c r="AY19" s="8" t="str">
        <f t="shared" si="26"/>
        <v>Sample</v>
      </c>
      <c r="AZ19" s="8">
        <f t="shared" si="26"/>
        <v>0</v>
      </c>
      <c r="BA19" s="8" t="str">
        <f t="shared" si="26"/>
        <v xml:space="preserve">blk </v>
      </c>
      <c r="BB19" s="8">
        <f t="shared" si="29"/>
        <v>-8988.3525321556899</v>
      </c>
      <c r="BC19" s="8"/>
      <c r="BD19" s="8">
        <f t="shared" si="37"/>
        <v>-4594.0391063416046</v>
      </c>
      <c r="BE19" s="8">
        <f t="shared" si="33"/>
        <v>-5512.8469276099249</v>
      </c>
      <c r="BF19" s="8">
        <f t="shared" si="33"/>
        <v>-3675.2312850732837</v>
      </c>
      <c r="BG19" s="8">
        <f t="shared" si="33"/>
        <v>-5053.4430169757652</v>
      </c>
      <c r="BH19" s="8">
        <f t="shared" si="33"/>
        <v>-4134.6351957074439</v>
      </c>
      <c r="BI19" s="8">
        <f t="shared" si="33"/>
        <v>7017.9680563365264</v>
      </c>
      <c r="BJ19" s="8">
        <f t="shared" si="33"/>
        <v>-152.76247968043924</v>
      </c>
      <c r="BK19" s="8">
        <f t="shared" si="33"/>
        <v>24885.341449582309</v>
      </c>
      <c r="BL19" s="8">
        <f t="shared" si="33"/>
        <v>1964.5250393607612</v>
      </c>
      <c r="BM19" s="8">
        <f t="shared" si="33"/>
        <v>-11612.007162678132</v>
      </c>
      <c r="BN19" s="8">
        <f t="shared" si="33"/>
        <v>9441.8970063314482</v>
      </c>
      <c r="BO19" s="8">
        <f t="shared" si="33"/>
        <v>-18629.975219014657</v>
      </c>
    </row>
    <row r="20" spans="1:67" x14ac:dyDescent="0.25">
      <c r="A20" s="23">
        <f>Alex_ITSD_count_data!A20</f>
        <v>3.2175925924093463E-2</v>
      </c>
      <c r="B20" s="8" t="str">
        <f>Alex_ITSD_count_data!B20</f>
        <v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v>
      </c>
      <c r="C20" s="8" t="b">
        <f>Alex_ITSD_count_data!C20</f>
        <v>0</v>
      </c>
      <c r="D20" s="8" t="str">
        <f>Alex_ITSD_count_data!D20</f>
        <v>018SMPL.d</v>
      </c>
      <c r="E20" s="11">
        <f>Alex_ITSD_count_data!E20</f>
        <v>45246.512361111112</v>
      </c>
      <c r="F20" s="8" t="str">
        <f>Alex_ITSD_count_data!F20</f>
        <v>Sample</v>
      </c>
      <c r="G20" s="8">
        <f>Alex_ITSD_count_data!G20</f>
        <v>0</v>
      </c>
      <c r="H20" s="8" t="str">
        <f>Alex_ITSD_count_data!H20</f>
        <v>0-30-T</v>
      </c>
      <c r="I20" s="17">
        <f>Alex_ITSD_count_data!Q20</f>
        <v>1000.37</v>
      </c>
      <c r="J20" s="17">
        <f>Alex_ITSD_count_data!R20</f>
        <v>4.0999999999999996</v>
      </c>
      <c r="K20" s="47">
        <f t="shared" si="18"/>
        <v>-5164.2700139540784</v>
      </c>
      <c r="L20" s="17">
        <f t="shared" si="20"/>
        <v>0.20059715610032111</v>
      </c>
      <c r="M20" s="17">
        <f>'[1]Alex-Mn_As_data'!P22</f>
        <v>0.376</v>
      </c>
      <c r="N20" s="8">
        <v>5</v>
      </c>
      <c r="O20" s="17" t="str">
        <f t="shared" si="39"/>
        <v>NA</v>
      </c>
      <c r="P20" s="17" t="str">
        <f t="shared" si="40"/>
        <v>NA</v>
      </c>
      <c r="R20" s="23">
        <f t="shared" ref="R20:AA20" si="42">A64</f>
        <v>9.4606481477967463E-2</v>
      </c>
      <c r="S20" s="8" t="str">
        <f t="shared" si="42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T20" s="8" t="b">
        <f t="shared" si="42"/>
        <v>0</v>
      </c>
      <c r="U20" s="8" t="str">
        <f t="shared" si="42"/>
        <v>062SMPL.d</v>
      </c>
      <c r="V20" s="11">
        <f t="shared" si="42"/>
        <v>45246.574791666666</v>
      </c>
      <c r="W20" s="8" t="str">
        <f t="shared" si="42"/>
        <v>Sample</v>
      </c>
      <c r="X20" s="8">
        <f t="shared" si="42"/>
        <v>0</v>
      </c>
      <c r="Y20" s="8" t="str">
        <f t="shared" si="42"/>
        <v xml:space="preserve">blk </v>
      </c>
      <c r="Z20" s="8">
        <f t="shared" si="42"/>
        <v>76.67</v>
      </c>
      <c r="AA20" s="8">
        <f t="shared" si="42"/>
        <v>7.6</v>
      </c>
      <c r="AB20" s="8">
        <f t="shared" si="35"/>
        <v>4243.9639999999999</v>
      </c>
      <c r="AC20" s="8">
        <f t="shared" si="35"/>
        <v>5092.7568000000001</v>
      </c>
      <c r="AD20" s="8">
        <f t="shared" si="35"/>
        <v>3395.1712000000002</v>
      </c>
      <c r="AE20" s="8">
        <f t="shared" si="35"/>
        <v>4668.3604000000005</v>
      </c>
      <c r="AF20" s="8">
        <f t="shared" si="35"/>
        <v>3819.5675999999999</v>
      </c>
      <c r="AG20" s="8">
        <f t="shared" si="35"/>
        <v>8328.7985426286632</v>
      </c>
      <c r="AH20" s="8">
        <f t="shared" si="35"/>
        <v>196.2504522335407</v>
      </c>
      <c r="AI20" s="8">
        <f t="shared" si="35"/>
        <v>25983.800000000003</v>
      </c>
      <c r="AJ20" s="8">
        <f t="shared" si="36"/>
        <v>12997.158942628663</v>
      </c>
      <c r="AK20" s="8">
        <f t="shared" si="36"/>
        <v>-4084.8345426286633</v>
      </c>
      <c r="AL20" s="8">
        <f t="shared" si="36"/>
        <v>20901.561085257326</v>
      </c>
      <c r="AM20" s="8">
        <f t="shared" si="36"/>
        <v>-12413.633085257326</v>
      </c>
      <c r="AT20" s="23">
        <f t="shared" si="28"/>
        <v>9.4606481477967463E-2</v>
      </c>
      <c r="AU20" s="8" t="str">
        <f t="shared" si="28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AV20" s="8" t="b">
        <f t="shared" si="26"/>
        <v>0</v>
      </c>
      <c r="AW20" s="8" t="str">
        <f t="shared" si="26"/>
        <v>062SMPL.d</v>
      </c>
      <c r="AX20" s="11">
        <f t="shared" si="26"/>
        <v>45246.574791666666</v>
      </c>
      <c r="AY20" s="8" t="str">
        <f t="shared" si="26"/>
        <v>Sample</v>
      </c>
      <c r="AZ20" s="8">
        <f t="shared" si="26"/>
        <v>0</v>
      </c>
      <c r="BA20" s="8" t="str">
        <f t="shared" si="26"/>
        <v xml:space="preserve">blk </v>
      </c>
      <c r="BB20" s="8">
        <f t="shared" si="29"/>
        <v>-10481.14328323985</v>
      </c>
      <c r="BC20" s="8"/>
      <c r="BD20" s="8">
        <f t="shared" si="37"/>
        <v>-4594.0391063416046</v>
      </c>
      <c r="BE20" s="8">
        <f t="shared" si="33"/>
        <v>-5512.8469276099249</v>
      </c>
      <c r="BF20" s="8">
        <f t="shared" si="33"/>
        <v>-3675.2312850732837</v>
      </c>
      <c r="BG20" s="8">
        <f t="shared" si="33"/>
        <v>-5053.4430169757652</v>
      </c>
      <c r="BH20" s="8">
        <f t="shared" si="33"/>
        <v>-4134.6351957074439</v>
      </c>
      <c r="BI20" s="8">
        <f t="shared" si="33"/>
        <v>7017.9680563365264</v>
      </c>
      <c r="BJ20" s="8">
        <f t="shared" si="33"/>
        <v>-152.76247968043924</v>
      </c>
      <c r="BK20" s="8">
        <f t="shared" si="33"/>
        <v>24885.341449582309</v>
      </c>
      <c r="BL20" s="8">
        <f t="shared" si="33"/>
        <v>1964.5250393607612</v>
      </c>
      <c r="BM20" s="8">
        <f t="shared" si="33"/>
        <v>-11612.007162678132</v>
      </c>
      <c r="BN20" s="8">
        <f t="shared" si="33"/>
        <v>9441.8970063314482</v>
      </c>
      <c r="BO20" s="8">
        <f t="shared" si="33"/>
        <v>-18629.975219014657</v>
      </c>
    </row>
    <row r="21" spans="1:67" x14ac:dyDescent="0.25">
      <c r="A21" s="23">
        <f>Alex_ITSD_count_data!A21</f>
        <v>3.3356481479131617E-2</v>
      </c>
      <c r="B21" s="8" t="str">
        <f>Alex_ITSD_count_data!B21</f>
        <v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v>
      </c>
      <c r="C21" s="8" t="b">
        <f>Alex_ITSD_count_data!C21</f>
        <v>0</v>
      </c>
      <c r="D21" s="8" t="str">
        <f>Alex_ITSD_count_data!D21</f>
        <v>019SMPL.d</v>
      </c>
      <c r="E21" s="11">
        <f>Alex_ITSD_count_data!E21</f>
        <v>45246.513541666667</v>
      </c>
      <c r="F21" s="8" t="str">
        <f>Alex_ITSD_count_data!F21</f>
        <v>Sample</v>
      </c>
      <c r="G21" s="8">
        <f>Alex_ITSD_count_data!G21</f>
        <v>0</v>
      </c>
      <c r="H21" s="8" t="str">
        <f>Alex_ITSD_count_data!H21</f>
        <v>0-40-T</v>
      </c>
      <c r="I21" s="17">
        <f>Alex_ITSD_count_data!Q21</f>
        <v>1559.76</v>
      </c>
      <c r="J21" s="17">
        <f>Alex_ITSD_count_data!R21</f>
        <v>1.4</v>
      </c>
      <c r="K21" s="47">
        <f t="shared" si="18"/>
        <v>-4831.0646474733394</v>
      </c>
      <c r="L21" s="17">
        <f t="shared" si="20"/>
        <v>0.41793669177908238</v>
      </c>
      <c r="M21" s="17">
        <f>'[1]Alex-Mn_As_data'!P23</f>
        <v>0.59299999999999997</v>
      </c>
      <c r="N21" s="8">
        <v>5</v>
      </c>
      <c r="O21" s="17" t="str">
        <f t="shared" si="39"/>
        <v>NA</v>
      </c>
      <c r="P21" s="17" t="str">
        <f t="shared" si="40"/>
        <v>NA</v>
      </c>
      <c r="R21" s="23">
        <f t="shared" ref="R21:AA21" si="43">A80</f>
        <v>0.11293981481139781</v>
      </c>
      <c r="S21" s="8" t="str">
        <f t="shared" si="43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T21" s="8" t="b">
        <f t="shared" si="43"/>
        <v>0</v>
      </c>
      <c r="U21" s="8" t="str">
        <f t="shared" si="43"/>
        <v>078SMPL.d</v>
      </c>
      <c r="V21" s="11">
        <f t="shared" si="43"/>
        <v>45246.593124999999</v>
      </c>
      <c r="W21" s="8" t="str">
        <f t="shared" si="43"/>
        <v>Sample</v>
      </c>
      <c r="X21" s="8">
        <f t="shared" si="43"/>
        <v>0</v>
      </c>
      <c r="Y21" s="8" t="str">
        <f t="shared" si="43"/>
        <v>blk</v>
      </c>
      <c r="Z21" s="8">
        <f t="shared" si="43"/>
        <v>602.35</v>
      </c>
      <c r="AA21" s="8">
        <f t="shared" si="43"/>
        <v>5.2</v>
      </c>
      <c r="AB21" s="8">
        <f t="shared" si="35"/>
        <v>4243.9639999999999</v>
      </c>
      <c r="AC21" s="8">
        <f t="shared" si="35"/>
        <v>5092.7568000000001</v>
      </c>
      <c r="AD21" s="8">
        <f t="shared" si="35"/>
        <v>3395.1712000000002</v>
      </c>
      <c r="AE21" s="8">
        <f t="shared" si="35"/>
        <v>4668.3604000000005</v>
      </c>
      <c r="AF21" s="8">
        <f t="shared" si="35"/>
        <v>3819.5675999999999</v>
      </c>
      <c r="AG21" s="8">
        <f t="shared" si="35"/>
        <v>8328.7985426286632</v>
      </c>
      <c r="AH21" s="8">
        <f t="shared" si="35"/>
        <v>196.2504522335407</v>
      </c>
      <c r="AI21" s="8">
        <f t="shared" si="35"/>
        <v>25983.800000000003</v>
      </c>
      <c r="AJ21" s="8">
        <f t="shared" si="36"/>
        <v>12997.158942628663</v>
      </c>
      <c r="AK21" s="8">
        <f t="shared" si="36"/>
        <v>-4084.8345426286633</v>
      </c>
      <c r="AL21" s="8">
        <f t="shared" si="36"/>
        <v>20901.561085257326</v>
      </c>
      <c r="AM21" s="8">
        <f t="shared" si="36"/>
        <v>-12413.633085257326</v>
      </c>
      <c r="AT21" s="23">
        <f t="shared" si="28"/>
        <v>0.11293981481139781</v>
      </c>
      <c r="AU21" s="8" t="str">
        <f t="shared" si="28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AV21" s="8" t="b">
        <f t="shared" si="26"/>
        <v>0</v>
      </c>
      <c r="AW21" s="8" t="str">
        <f t="shared" si="26"/>
        <v>078SMPL.d</v>
      </c>
      <c r="AX21" s="11">
        <f t="shared" si="26"/>
        <v>45246.593124999999</v>
      </c>
      <c r="AY21" s="8" t="str">
        <f t="shared" si="26"/>
        <v>Sample</v>
      </c>
      <c r="AZ21" s="8">
        <f t="shared" si="26"/>
        <v>0</v>
      </c>
      <c r="BA21" s="8" t="str">
        <f t="shared" si="26"/>
        <v>blk</v>
      </c>
      <c r="BB21" s="8">
        <f t="shared" si="29"/>
        <v>-12001.41095162272</v>
      </c>
      <c r="BC21" s="8"/>
      <c r="BD21" s="8">
        <f t="shared" si="37"/>
        <v>-4594.0391063416046</v>
      </c>
      <c r="BE21" s="8">
        <f t="shared" si="33"/>
        <v>-5512.8469276099249</v>
      </c>
      <c r="BF21" s="8">
        <f t="shared" si="33"/>
        <v>-3675.2312850732837</v>
      </c>
      <c r="BG21" s="8">
        <f t="shared" si="33"/>
        <v>-5053.4430169757652</v>
      </c>
      <c r="BH21" s="8">
        <f t="shared" si="33"/>
        <v>-4134.6351957074439</v>
      </c>
      <c r="BI21" s="8">
        <f t="shared" si="33"/>
        <v>7017.9680563365264</v>
      </c>
      <c r="BJ21" s="8">
        <f t="shared" si="33"/>
        <v>-152.76247968043924</v>
      </c>
      <c r="BK21" s="8">
        <f t="shared" si="33"/>
        <v>24885.341449582309</v>
      </c>
      <c r="BL21" s="8">
        <f t="shared" si="33"/>
        <v>1964.5250393607612</v>
      </c>
      <c r="BM21" s="8">
        <f t="shared" si="33"/>
        <v>-11612.007162678132</v>
      </c>
      <c r="BN21" s="8">
        <f t="shared" si="33"/>
        <v>9441.8970063314482</v>
      </c>
      <c r="BO21" s="8">
        <f t="shared" si="33"/>
        <v>-18629.975219014657</v>
      </c>
    </row>
    <row r="22" spans="1:67" x14ac:dyDescent="0.25">
      <c r="A22" s="23">
        <f>Alex_ITSD_count_data!A22</f>
        <v>3.4479166664823424E-2</v>
      </c>
      <c r="B22" s="8" t="str">
        <f>Alex_ITSD_count_data!B22</f>
        <v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v>
      </c>
      <c r="C22" s="8" t="b">
        <f>Alex_ITSD_count_data!C22</f>
        <v>0</v>
      </c>
      <c r="D22" s="8" t="str">
        <f>Alex_ITSD_count_data!D22</f>
        <v>020SMPL.d</v>
      </c>
      <c r="E22" s="11">
        <f>Alex_ITSD_count_data!E22</f>
        <v>45246.514664351853</v>
      </c>
      <c r="F22" s="8" t="str">
        <f>Alex_ITSD_count_data!F22</f>
        <v>Sample</v>
      </c>
      <c r="G22" s="8">
        <f>Alex_ITSD_count_data!G22</f>
        <v>0</v>
      </c>
      <c r="H22" s="8" t="str">
        <f>Alex_ITSD_count_data!H22</f>
        <v>0-60-T</v>
      </c>
      <c r="I22" s="17">
        <f>Alex_ITSD_count_data!Q22</f>
        <v>1950.47</v>
      </c>
      <c r="J22" s="17">
        <f>Alex_ITSD_count_data!R22</f>
        <v>1.5</v>
      </c>
      <c r="K22" s="47">
        <f t="shared" si="18"/>
        <v>-4655.4517991486773</v>
      </c>
      <c r="L22" s="17">
        <f t="shared" si="20"/>
        <v>0.56973906576690636</v>
      </c>
      <c r="M22" s="17">
        <f>'[1]Alex-Mn_As_data'!P24</f>
        <v>0.745</v>
      </c>
      <c r="N22" s="8">
        <v>5</v>
      </c>
      <c r="O22" s="17" t="str">
        <f t="shared" si="39"/>
        <v>NA</v>
      </c>
      <c r="P22" s="17" t="str">
        <f t="shared" si="40"/>
        <v>NA</v>
      </c>
      <c r="R22" s="23">
        <f t="shared" ref="R22:AA24" si="44">A84</f>
        <v>0.11753472221607808</v>
      </c>
      <c r="S22" s="8" t="str">
        <f t="shared" si="44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T22" s="8" t="b">
        <f t="shared" si="44"/>
        <v>0</v>
      </c>
      <c r="U22" s="8" t="str">
        <f t="shared" si="44"/>
        <v>082SMPL.d</v>
      </c>
      <c r="V22" s="11">
        <f t="shared" si="44"/>
        <v>45246.597719907404</v>
      </c>
      <c r="W22" s="8" t="str">
        <f t="shared" si="44"/>
        <v>Sample</v>
      </c>
      <c r="X22" s="8">
        <f t="shared" si="44"/>
        <v>0</v>
      </c>
      <c r="Y22" s="8" t="str">
        <f t="shared" si="44"/>
        <v>blk</v>
      </c>
      <c r="Z22" s="8">
        <f t="shared" si="44"/>
        <v>26000.47</v>
      </c>
      <c r="AA22" s="8">
        <f t="shared" si="44"/>
        <v>2.2000000000000002</v>
      </c>
      <c r="AB22" s="8">
        <f t="shared" si="35"/>
        <v>4243.9639999999999</v>
      </c>
      <c r="AC22" s="8">
        <f t="shared" si="35"/>
        <v>5092.7568000000001</v>
      </c>
      <c r="AD22" s="8">
        <f t="shared" si="35"/>
        <v>3395.1712000000002</v>
      </c>
      <c r="AE22" s="8">
        <f t="shared" si="35"/>
        <v>4668.3604000000005</v>
      </c>
      <c r="AF22" s="8">
        <f t="shared" si="35"/>
        <v>3819.5675999999999</v>
      </c>
      <c r="AG22" s="8">
        <f t="shared" si="35"/>
        <v>8328.7985426286632</v>
      </c>
      <c r="AH22" s="8">
        <f t="shared" si="35"/>
        <v>196.2504522335407</v>
      </c>
      <c r="AI22" s="8">
        <f t="shared" si="35"/>
        <v>25983.800000000003</v>
      </c>
      <c r="AJ22" s="8">
        <f t="shared" si="36"/>
        <v>12997.158942628663</v>
      </c>
      <c r="AK22" s="8">
        <f t="shared" si="36"/>
        <v>-4084.8345426286633</v>
      </c>
      <c r="AL22" s="8">
        <f t="shared" si="36"/>
        <v>20901.561085257326</v>
      </c>
      <c r="AM22" s="8">
        <f t="shared" si="36"/>
        <v>-12413.633085257326</v>
      </c>
      <c r="AT22" s="23">
        <f t="shared" si="28"/>
        <v>0.11753472221607808</v>
      </c>
      <c r="AU22" s="8" t="str">
        <f t="shared" si="28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AV22" s="8" t="b">
        <f t="shared" si="26"/>
        <v>0</v>
      </c>
      <c r="AW22" s="8" t="str">
        <f t="shared" si="26"/>
        <v>082SMPL.d</v>
      </c>
      <c r="AX22" s="11">
        <f t="shared" si="26"/>
        <v>45246.597719907404</v>
      </c>
      <c r="AY22" s="8" t="str">
        <f t="shared" si="26"/>
        <v>Sample</v>
      </c>
      <c r="AZ22" s="8">
        <f t="shared" si="26"/>
        <v>0</v>
      </c>
      <c r="BA22" s="8" t="str">
        <f t="shared" si="26"/>
        <v>blk</v>
      </c>
      <c r="BB22" s="8">
        <f t="shared" si="29"/>
        <v>12883.930497959587</v>
      </c>
      <c r="BC22" s="8"/>
      <c r="BD22" s="8">
        <f t="shared" si="37"/>
        <v>-4594.0391063416046</v>
      </c>
      <c r="BE22" s="8">
        <f t="shared" si="33"/>
        <v>-5512.8469276099249</v>
      </c>
      <c r="BF22" s="8">
        <f t="shared" si="33"/>
        <v>-3675.2312850732837</v>
      </c>
      <c r="BG22" s="8">
        <f t="shared" si="33"/>
        <v>-5053.4430169757652</v>
      </c>
      <c r="BH22" s="8">
        <f t="shared" si="33"/>
        <v>-4134.6351957074439</v>
      </c>
      <c r="BI22" s="8">
        <f t="shared" si="33"/>
        <v>7017.9680563365264</v>
      </c>
      <c r="BJ22" s="8">
        <f t="shared" si="33"/>
        <v>-152.76247968043924</v>
      </c>
      <c r="BK22" s="8">
        <f t="shared" si="33"/>
        <v>24885.341449582309</v>
      </c>
      <c r="BL22" s="8">
        <f t="shared" si="33"/>
        <v>1964.5250393607612</v>
      </c>
      <c r="BM22" s="8">
        <f t="shared" si="33"/>
        <v>-11612.007162678132</v>
      </c>
      <c r="BN22" s="8">
        <f t="shared" si="33"/>
        <v>9441.8970063314482</v>
      </c>
      <c r="BO22" s="8">
        <f t="shared" si="33"/>
        <v>-18629.975219014657</v>
      </c>
    </row>
    <row r="23" spans="1:67" x14ac:dyDescent="0.25">
      <c r="A23" s="23">
        <f>Alex_ITSD_count_data!A23</f>
        <v>3.5601851850515231E-2</v>
      </c>
      <c r="B23" s="8" t="str">
        <f>Alex_ITSD_count_data!B23</f>
        <v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v>
      </c>
      <c r="C23" s="8" t="b">
        <f>Alex_ITSD_count_data!C23</f>
        <v>0</v>
      </c>
      <c r="D23" s="8" t="str">
        <f>Alex_ITSD_count_data!D23</f>
        <v>021SMPL.d</v>
      </c>
      <c r="E23" s="11">
        <f>Alex_ITSD_count_data!E23</f>
        <v>45246.515787037039</v>
      </c>
      <c r="F23" s="8" t="str">
        <f>Alex_ITSD_count_data!F23</f>
        <v>Sample</v>
      </c>
      <c r="G23" s="8">
        <f>Alex_ITSD_count_data!G23</f>
        <v>0</v>
      </c>
      <c r="H23" s="8" t="str">
        <f>Alex_ITSD_count_data!H23</f>
        <v>0-70-T</v>
      </c>
      <c r="I23" s="17">
        <f>Alex_ITSD_count_data!Q23</f>
        <v>3229.7</v>
      </c>
      <c r="J23" s="17">
        <f>Alex_ITSD_count_data!R23</f>
        <v>4</v>
      </c>
      <c r="K23" s="47">
        <f t="shared" si="18"/>
        <v>-3591.3189508240166</v>
      </c>
      <c r="L23" s="17">
        <f t="shared" si="20"/>
        <v>1.0667577007556293</v>
      </c>
      <c r="M23" s="17">
        <f>'[1]Alex-Mn_As_data'!P25</f>
        <v>1.242</v>
      </c>
      <c r="N23" s="8">
        <v>5</v>
      </c>
      <c r="O23" s="17" t="str">
        <f t="shared" si="39"/>
        <v>NA</v>
      </c>
      <c r="P23" s="17" t="str">
        <f t="shared" si="40"/>
        <v>NA</v>
      </c>
      <c r="R23" s="23">
        <f t="shared" si="44"/>
        <v>0.11868055555532919</v>
      </c>
      <c r="S23" s="8" t="str">
        <f t="shared" si="44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T23" s="8" t="b">
        <f t="shared" si="44"/>
        <v>0</v>
      </c>
      <c r="U23" s="8" t="str">
        <f t="shared" si="44"/>
        <v>083SMPL.d</v>
      </c>
      <c r="V23" s="11">
        <f t="shared" si="44"/>
        <v>45246.598865740743</v>
      </c>
      <c r="W23" s="8" t="str">
        <f t="shared" si="44"/>
        <v>Sample</v>
      </c>
      <c r="X23" s="8">
        <f t="shared" si="44"/>
        <v>0</v>
      </c>
      <c r="Y23" s="8" t="str">
        <f t="shared" si="44"/>
        <v>blk</v>
      </c>
      <c r="Z23" s="8">
        <f t="shared" si="44"/>
        <v>9767</v>
      </c>
      <c r="AA23" s="8">
        <f t="shared" si="44"/>
        <v>1.2</v>
      </c>
      <c r="AB23" s="8">
        <f t="shared" si="35"/>
        <v>4243.9639999999999</v>
      </c>
      <c r="AC23" s="8">
        <f t="shared" si="35"/>
        <v>5092.7568000000001</v>
      </c>
      <c r="AD23" s="8">
        <f t="shared" si="35"/>
        <v>3395.1712000000002</v>
      </c>
      <c r="AE23" s="8">
        <f t="shared" si="35"/>
        <v>4668.3604000000005</v>
      </c>
      <c r="AF23" s="8">
        <f t="shared" si="35"/>
        <v>3819.5675999999999</v>
      </c>
      <c r="AG23" s="8">
        <f t="shared" si="35"/>
        <v>8328.7985426286632</v>
      </c>
      <c r="AH23" s="8">
        <f t="shared" si="35"/>
        <v>196.2504522335407</v>
      </c>
      <c r="AI23" s="8">
        <f t="shared" si="35"/>
        <v>25983.800000000003</v>
      </c>
      <c r="AJ23" s="8">
        <f t="shared" si="36"/>
        <v>12997.158942628663</v>
      </c>
      <c r="AK23" s="8">
        <f t="shared" si="36"/>
        <v>-4084.8345426286633</v>
      </c>
      <c r="AL23" s="8">
        <f t="shared" si="36"/>
        <v>20901.561085257326</v>
      </c>
      <c r="AM23" s="8">
        <f t="shared" si="36"/>
        <v>-12413.633085257326</v>
      </c>
      <c r="AT23" s="23">
        <f t="shared" si="28"/>
        <v>0.11868055555532919</v>
      </c>
      <c r="AU23" s="8" t="str">
        <f t="shared" si="28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AV23" s="8" t="b">
        <f t="shared" si="26"/>
        <v>0</v>
      </c>
      <c r="AW23" s="8" t="str">
        <f t="shared" si="26"/>
        <v>083SMPL.d</v>
      </c>
      <c r="AX23" s="11">
        <f t="shared" si="26"/>
        <v>45246.598865740743</v>
      </c>
      <c r="AY23" s="8" t="str">
        <f t="shared" si="26"/>
        <v>Sample</v>
      </c>
      <c r="AZ23" s="8">
        <f t="shared" si="26"/>
        <v>0</v>
      </c>
      <c r="BA23" s="8" t="str">
        <f t="shared" si="26"/>
        <v>blk</v>
      </c>
      <c r="BB23" s="8">
        <f t="shared" si="29"/>
        <v>-3477.4112319740743</v>
      </c>
      <c r="BC23" s="8"/>
      <c r="BD23" s="8">
        <f t="shared" si="37"/>
        <v>-4594.0391063416046</v>
      </c>
      <c r="BE23" s="8">
        <f t="shared" si="33"/>
        <v>-5512.8469276099249</v>
      </c>
      <c r="BF23" s="8">
        <f t="shared" si="33"/>
        <v>-3675.2312850732837</v>
      </c>
      <c r="BG23" s="8">
        <f t="shared" si="33"/>
        <v>-5053.4430169757652</v>
      </c>
      <c r="BH23" s="8">
        <f t="shared" si="33"/>
        <v>-4134.6351957074439</v>
      </c>
      <c r="BI23" s="8">
        <f t="shared" si="33"/>
        <v>7017.9680563365264</v>
      </c>
      <c r="BJ23" s="8">
        <f t="shared" si="33"/>
        <v>-152.76247968043924</v>
      </c>
      <c r="BK23" s="8">
        <f t="shared" si="33"/>
        <v>24885.341449582309</v>
      </c>
      <c r="BL23" s="8">
        <f t="shared" si="33"/>
        <v>1964.5250393607612</v>
      </c>
      <c r="BM23" s="8">
        <f t="shared" si="33"/>
        <v>-11612.007162678132</v>
      </c>
      <c r="BN23" s="8">
        <f t="shared" si="33"/>
        <v>9441.8970063314482</v>
      </c>
      <c r="BO23" s="8">
        <f t="shared" si="33"/>
        <v>-18629.975219014657</v>
      </c>
    </row>
    <row r="24" spans="1:67" x14ac:dyDescent="0.25">
      <c r="A24" s="23">
        <f>Alex_ITSD_count_data!A24</f>
        <v>3.6724537036207039E-2</v>
      </c>
      <c r="B24" s="8" t="str">
        <f>Alex_ITSD_count_data!B24</f>
        <v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v>
      </c>
      <c r="C24" s="8" t="b">
        <f>Alex_ITSD_count_data!C24</f>
        <v>0</v>
      </c>
      <c r="D24" s="8" t="str">
        <f>Alex_ITSD_count_data!D24</f>
        <v>022SMPL.d</v>
      </c>
      <c r="E24" s="11">
        <f>Alex_ITSD_count_data!E24</f>
        <v>45246.516909722224</v>
      </c>
      <c r="F24" s="8" t="str">
        <f>Alex_ITSD_count_data!F24</f>
        <v>Sample</v>
      </c>
      <c r="G24" s="8">
        <f>Alex_ITSD_count_data!G24</f>
        <v>0</v>
      </c>
      <c r="H24" s="8" t="str">
        <f>Alex_ITSD_count_data!H24</f>
        <v>0-80-T</v>
      </c>
      <c r="I24" s="17">
        <f>Alex_ITSD_count_data!Q24</f>
        <v>2666.93</v>
      </c>
      <c r="J24" s="17">
        <f>Alex_ITSD_count_data!R24</f>
        <v>2.9</v>
      </c>
      <c r="K24" s="47">
        <f t="shared" si="18"/>
        <v>-4369.1861024993541</v>
      </c>
      <c r="L24" s="17">
        <f t="shared" si="20"/>
        <v>0.84810493525403563</v>
      </c>
      <c r="M24" s="17">
        <f>'[1]Alex-Mn_As_data'!P26</f>
        <v>1.0229999999999999</v>
      </c>
      <c r="N24" s="8">
        <v>5</v>
      </c>
      <c r="O24" s="17" t="str">
        <f t="shared" si="39"/>
        <v>NA</v>
      </c>
      <c r="P24" s="17" t="str">
        <f t="shared" si="40"/>
        <v>NA</v>
      </c>
      <c r="R24" s="23">
        <f t="shared" si="44"/>
        <v>0.119803240741021</v>
      </c>
      <c r="S24" s="8" t="str">
        <f t="shared" si="44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T24" s="8" t="b">
        <f t="shared" si="44"/>
        <v>0</v>
      </c>
      <c r="U24" s="8" t="str">
        <f t="shared" si="44"/>
        <v>084SMPL.d</v>
      </c>
      <c r="V24" s="11">
        <f t="shared" si="44"/>
        <v>45246.599988425929</v>
      </c>
      <c r="W24" s="8" t="str">
        <f t="shared" si="44"/>
        <v>Sample</v>
      </c>
      <c r="X24" s="8">
        <f t="shared" si="44"/>
        <v>0</v>
      </c>
      <c r="Y24" s="8" t="str">
        <f t="shared" si="44"/>
        <v>blk</v>
      </c>
      <c r="Z24" s="8">
        <f t="shared" si="44"/>
        <v>5710.81</v>
      </c>
      <c r="AA24" s="8">
        <f t="shared" si="44"/>
        <v>0.8</v>
      </c>
      <c r="AB24" s="8">
        <f t="shared" si="35"/>
        <v>4243.9639999999999</v>
      </c>
      <c r="AC24" s="8">
        <f t="shared" si="35"/>
        <v>5092.7568000000001</v>
      </c>
      <c r="AD24" s="8">
        <f t="shared" si="35"/>
        <v>3395.1712000000002</v>
      </c>
      <c r="AE24" s="8">
        <f t="shared" si="35"/>
        <v>4668.3604000000005</v>
      </c>
      <c r="AF24" s="8">
        <f t="shared" si="35"/>
        <v>3819.5675999999999</v>
      </c>
      <c r="AG24" s="8">
        <f t="shared" si="35"/>
        <v>8328.7985426286632</v>
      </c>
      <c r="AH24" s="8">
        <f t="shared" si="35"/>
        <v>196.2504522335407</v>
      </c>
      <c r="AI24" s="8">
        <f t="shared" si="35"/>
        <v>25983.800000000003</v>
      </c>
      <c r="AJ24" s="8">
        <f t="shared" si="36"/>
        <v>12997.158942628663</v>
      </c>
      <c r="AK24" s="8">
        <f t="shared" si="36"/>
        <v>-4084.8345426286633</v>
      </c>
      <c r="AL24" s="8">
        <f t="shared" si="36"/>
        <v>20901.561085257326</v>
      </c>
      <c r="AM24" s="8">
        <f t="shared" si="36"/>
        <v>-12413.633085257326</v>
      </c>
      <c r="AT24" s="23">
        <f t="shared" si="28"/>
        <v>0.119803240741021</v>
      </c>
      <c r="AU24" s="8" t="str">
        <f t="shared" si="28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AV24" s="8" t="b">
        <f t="shared" si="26"/>
        <v>0</v>
      </c>
      <c r="AW24" s="8" t="str">
        <f t="shared" si="26"/>
        <v>084SMPL.d</v>
      </c>
      <c r="AX24" s="11">
        <f t="shared" si="26"/>
        <v>45246.599988425929</v>
      </c>
      <c r="AY24" s="8" t="str">
        <f t="shared" si="26"/>
        <v>Sample</v>
      </c>
      <c r="AZ24" s="8">
        <f t="shared" si="26"/>
        <v>0</v>
      </c>
      <c r="BA24" s="8" t="str">
        <f t="shared" si="26"/>
        <v>blk</v>
      </c>
      <c r="BB24" s="8">
        <f>Z24-($AO$12*AT24)</f>
        <v>-7658.8896940458189</v>
      </c>
      <c r="BC24" s="8"/>
      <c r="BD24" s="8">
        <f t="shared" si="37"/>
        <v>-4594.0391063416046</v>
      </c>
      <c r="BE24" s="8">
        <f t="shared" si="33"/>
        <v>-5512.8469276099249</v>
      </c>
      <c r="BF24" s="8">
        <f t="shared" si="33"/>
        <v>-3675.2312850732837</v>
      </c>
      <c r="BG24" s="8">
        <f t="shared" si="33"/>
        <v>-5053.4430169757652</v>
      </c>
      <c r="BH24" s="8">
        <f t="shared" si="33"/>
        <v>-4134.6351957074439</v>
      </c>
      <c r="BI24" s="8">
        <f t="shared" si="33"/>
        <v>7017.9680563365264</v>
      </c>
      <c r="BJ24" s="8">
        <f t="shared" si="33"/>
        <v>-152.76247968043924</v>
      </c>
      <c r="BK24" s="8">
        <f t="shared" si="33"/>
        <v>24885.341449582309</v>
      </c>
      <c r="BL24" s="8">
        <f t="shared" si="33"/>
        <v>1964.5250393607612</v>
      </c>
      <c r="BM24" s="8">
        <f t="shared" si="33"/>
        <v>-11612.007162678132</v>
      </c>
      <c r="BN24" s="8">
        <f t="shared" si="33"/>
        <v>9441.8970063314482</v>
      </c>
      <c r="BO24" s="8">
        <f t="shared" si="33"/>
        <v>-18629.975219014657</v>
      </c>
    </row>
    <row r="25" spans="1:67" x14ac:dyDescent="0.25">
      <c r="A25" s="23">
        <f>Alex_ITSD_count_data!A25</f>
        <v>3.7893518514465541E-2</v>
      </c>
      <c r="B25" s="8" t="str">
        <f>Alex_ITSD_count_data!B25</f>
        <v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v>
      </c>
      <c r="C25" s="8" t="b">
        <f>Alex_ITSD_count_data!C25</f>
        <v>0</v>
      </c>
      <c r="D25" s="8" t="str">
        <f>Alex_ITSD_count_data!D25</f>
        <v>023SMPL.d</v>
      </c>
      <c r="E25" s="11">
        <f>Alex_ITSD_count_data!E25</f>
        <v>45246.518078703702</v>
      </c>
      <c r="F25" s="8" t="str">
        <f>Alex_ITSD_count_data!F25</f>
        <v>Sample</v>
      </c>
      <c r="G25" s="8">
        <f>Alex_ITSD_count_data!G25</f>
        <v>0</v>
      </c>
      <c r="H25" s="8" t="str">
        <f>Alex_ITSD_count_data!H25</f>
        <v>0-90-T</v>
      </c>
      <c r="I25" s="17">
        <f>Alex_ITSD_count_data!Q25</f>
        <v>5504.07</v>
      </c>
      <c r="J25" s="17">
        <f>Alex_ITSD_count_data!R25</f>
        <v>2.4</v>
      </c>
      <c r="K25" s="47">
        <f t="shared" si="18"/>
        <v>-1756.0132390922263</v>
      </c>
      <c r="L25" s="17">
        <f t="shared" si="20"/>
        <v>1.9504176155944792</v>
      </c>
      <c r="M25" s="17">
        <f>'[1]Alex-Mn_As_data'!P27</f>
        <v>2.125</v>
      </c>
      <c r="N25" s="8">
        <v>5</v>
      </c>
      <c r="O25" s="17" t="str">
        <f t="shared" si="39"/>
        <v>NA</v>
      </c>
      <c r="P25" s="17" t="str">
        <f t="shared" si="40"/>
        <v>NA</v>
      </c>
    </row>
    <row r="26" spans="1:67" x14ac:dyDescent="0.25">
      <c r="A26" s="23">
        <f>Alex_ITSD_count_data!A26</f>
        <v>3.9016203700157348E-2</v>
      </c>
      <c r="B26" s="8" t="str">
        <f>Alex_ITSD_count_data!B26</f>
        <v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v>
      </c>
      <c r="C26" s="8" t="b">
        <f>Alex_ITSD_count_data!C26</f>
        <v>0</v>
      </c>
      <c r="D26" s="8" t="str">
        <f>Alex_ITSD_count_data!D26</f>
        <v>024SMPL.d</v>
      </c>
      <c r="E26" s="11">
        <f>Alex_ITSD_count_data!E26</f>
        <v>45246.519201388888</v>
      </c>
      <c r="F26" s="8" t="str">
        <f>Alex_ITSD_count_data!F26</f>
        <v>Sample</v>
      </c>
      <c r="G26" s="8">
        <f>Alex_ITSD_count_data!G26</f>
        <v>0</v>
      </c>
      <c r="H26" s="8" t="str">
        <f>Alex_ITSD_count_data!H26</f>
        <v>0-100-T</v>
      </c>
      <c r="I26" s="17">
        <f>Alex_ITSD_count_data!Q26</f>
        <v>3232.04</v>
      </c>
      <c r="J26" s="17">
        <f>Alex_ITSD_count_data!R26</f>
        <v>1.6</v>
      </c>
      <c r="K26" s="47">
        <f t="shared" si="18"/>
        <v>-4243.140390767564</v>
      </c>
      <c r="L26" s="17">
        <f t="shared" si="20"/>
        <v>1.067666859863744</v>
      </c>
      <c r="M26" s="17">
        <f>'[1]Alex-Mn_As_data'!P28</f>
        <v>1.2430000000000001</v>
      </c>
      <c r="N26" s="8">
        <v>5</v>
      </c>
      <c r="O26" s="17" t="str">
        <f t="shared" si="39"/>
        <v>NA</v>
      </c>
      <c r="P26" s="17" t="str">
        <f t="shared" si="40"/>
        <v>NA</v>
      </c>
    </row>
    <row r="27" spans="1:67" x14ac:dyDescent="0.25">
      <c r="A27" s="23">
        <f>Alex_ITSD_count_data!A27</f>
        <v>4.0127314809069503E-2</v>
      </c>
      <c r="B27" s="8" t="str">
        <f>Alex_ITSD_count_data!B27</f>
        <v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v>
      </c>
      <c r="C27" s="8" t="b">
        <f>Alex_ITSD_count_data!C27</f>
        <v>0</v>
      </c>
      <c r="D27" s="8" t="str">
        <f>Alex_ITSD_count_data!D27</f>
        <v>025SMPL.d</v>
      </c>
      <c r="E27" s="11">
        <f>Alex_ITSD_count_data!E27</f>
        <v>45246.520312499997</v>
      </c>
      <c r="F27" s="8" t="str">
        <f>Alex_ITSD_count_data!F27</f>
        <v>Sample</v>
      </c>
      <c r="G27" s="8">
        <f>Alex_ITSD_count_data!G27</f>
        <v>0</v>
      </c>
      <c r="H27" s="8" t="str">
        <f>Alex_ITSD_count_data!H27</f>
        <v>0-10-B</v>
      </c>
      <c r="I27" s="17">
        <f>Alex_ITSD_count_data!Q27</f>
        <v>9727.64</v>
      </c>
      <c r="J27" s="17">
        <f>Alex_ITSD_count_data!R27</f>
        <v>2</v>
      </c>
      <c r="K27" s="47">
        <f t="shared" si="18"/>
        <v>2039.5799544834872</v>
      </c>
      <c r="L27" s="17">
        <f t="shared" si="20"/>
        <v>3.5913992969022352</v>
      </c>
      <c r="M27" s="17">
        <f>'[1]Alex-Mn_As_data'!P29</f>
        <v>3.766</v>
      </c>
      <c r="N27" s="8">
        <v>5</v>
      </c>
      <c r="O27" s="17" t="str">
        <f t="shared" si="39"/>
        <v>NA</v>
      </c>
      <c r="P27" s="17" t="str">
        <f t="shared" si="40"/>
        <v>NA</v>
      </c>
    </row>
    <row r="28" spans="1:67" x14ac:dyDescent="0.25">
      <c r="A28" s="23">
        <f>Alex_ITSD_count_data!A28</f>
        <v>4.1238425925257616E-2</v>
      </c>
      <c r="B28" s="8" t="str">
        <f>Alex_ITSD_count_data!B28</f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C28" s="8" t="b">
        <f>Alex_ITSD_count_data!C28</f>
        <v>0</v>
      </c>
      <c r="D28" s="8" t="str">
        <f>Alex_ITSD_count_data!D28</f>
        <v>026SMPL.d</v>
      </c>
      <c r="E28" s="11">
        <f>Alex_ITSD_count_data!E28</f>
        <v>45246.521423611113</v>
      </c>
      <c r="F28" s="8" t="str">
        <f>Alex_ITSD_count_data!F28</f>
        <v>Sample</v>
      </c>
      <c r="G28" s="8">
        <f>Alex_ITSD_count_data!G28</f>
        <v>0</v>
      </c>
      <c r="H28" s="40" t="str">
        <f>Alex_ITSD_count_data!H28</f>
        <v xml:space="preserve">blk </v>
      </c>
      <c r="I28" s="43">
        <f>Alex_ITSD_count_data!Q28</f>
        <v>37.67</v>
      </c>
      <c r="J28" s="43">
        <f>Alex_ITSD_count_data!R28</f>
        <v>10.7</v>
      </c>
      <c r="K28" s="48">
        <f t="shared" si="18"/>
        <v>-7863.2697016594739</v>
      </c>
      <c r="L28" s="43">
        <f t="shared" si="20"/>
        <v>-0.17344022568688189</v>
      </c>
      <c r="M28" s="43">
        <f>'[1]Alex-Mn_As_data'!P30</f>
        <v>2E-3</v>
      </c>
      <c r="N28" s="8"/>
      <c r="O28" s="17"/>
      <c r="P28" s="17"/>
      <c r="Q28" s="2" t="s">
        <v>318</v>
      </c>
      <c r="R28" s="10"/>
      <c r="S28" s="7" t="str">
        <f t="shared" ref="R28:AA29" si="45">B1</f>
        <v>Sample</v>
      </c>
      <c r="T28" s="7"/>
      <c r="U28" s="7"/>
      <c r="V28" s="10"/>
      <c r="W28" s="7"/>
      <c r="X28" s="7"/>
      <c r="Y28" s="7"/>
      <c r="Z28" s="16" t="str">
        <f t="shared" si="45"/>
        <v xml:space="preserve">75  As  [ He ] </v>
      </c>
      <c r="AA28" s="16"/>
      <c r="AB28" s="7" t="str">
        <f>'Calibration Std'!$A$1</f>
        <v>Calibration Standards Concentrations ppb</v>
      </c>
      <c r="AO28" s="2" t="s">
        <v>356</v>
      </c>
    </row>
    <row r="29" spans="1:67" x14ac:dyDescent="0.25">
      <c r="A29" s="23">
        <f>Alex_ITSD_count_data!A29</f>
        <v>4.2407407403516117E-2</v>
      </c>
      <c r="B29" s="8" t="str">
        <f>Alex_ITSD_count_data!B29</f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C29" s="8" t="b">
        <f>Alex_ITSD_count_data!C29</f>
        <v>0</v>
      </c>
      <c r="D29" s="8" t="str">
        <f>Alex_ITSD_count_data!D29</f>
        <v>027SMPL.d</v>
      </c>
      <c r="E29" s="11">
        <f>Alex_ITSD_count_data!E29</f>
        <v>45246.522592592592</v>
      </c>
      <c r="F29" s="8" t="str">
        <f>Alex_ITSD_count_data!F29</f>
        <v>Sample</v>
      </c>
      <c r="G29" s="8">
        <f>Alex_ITSD_count_data!G29</f>
        <v>0</v>
      </c>
      <c r="H29" s="8" t="str">
        <f>Alex_ITSD_count_data!H29</f>
        <v>100 ppb check</v>
      </c>
      <c r="I29" s="17">
        <f>Alex_ITSD_count_data!Q29</f>
        <v>262344.45</v>
      </c>
      <c r="J29" s="17">
        <f>Alex_ITSD_count_data!R29</f>
        <v>1.5</v>
      </c>
      <c r="K29" s="47">
        <f t="shared" si="18"/>
        <v>254219.54316174766</v>
      </c>
      <c r="L29" s="17">
        <f t="shared" si="20"/>
        <v>101.74049061074385</v>
      </c>
      <c r="M29" s="17">
        <f>'[1]Alex-Mn_As_data'!P31</f>
        <v>101.892</v>
      </c>
      <c r="N29" s="8"/>
      <c r="O29" s="17"/>
      <c r="P29" s="17"/>
      <c r="R29" s="10" t="str">
        <f t="shared" si="45"/>
        <v>Number</v>
      </c>
      <c r="S29" s="7">
        <f t="shared" si="45"/>
        <v>0</v>
      </c>
      <c r="T29" s="7" t="str">
        <f t="shared" si="45"/>
        <v>Rjct</v>
      </c>
      <c r="U29" s="7" t="str">
        <f t="shared" si="45"/>
        <v>Data File</v>
      </c>
      <c r="V29" s="10" t="str">
        <f t="shared" si="45"/>
        <v>Acq. Date-Time</v>
      </c>
      <c r="W29" s="7" t="str">
        <f t="shared" si="45"/>
        <v>Type</v>
      </c>
      <c r="X29" s="7" t="str">
        <f t="shared" si="45"/>
        <v>Level</v>
      </c>
      <c r="Y29" s="7" t="str">
        <f t="shared" si="45"/>
        <v>Sample Name</v>
      </c>
      <c r="Z29" s="16" t="str">
        <f t="shared" si="45"/>
        <v>CPS</v>
      </c>
      <c r="AA29" s="16" t="str">
        <f t="shared" si="45"/>
        <v>CPS RSD</v>
      </c>
      <c r="AB29" s="7"/>
      <c r="AO29" s="7" t="s">
        <v>272</v>
      </c>
      <c r="AP29" s="7" t="s">
        <v>273</v>
      </c>
    </row>
    <row r="30" spans="1:67" x14ac:dyDescent="0.25">
      <c r="A30" s="23">
        <f>Alex_ITSD_count_data!A30</f>
        <v>4.3518518512428273E-2</v>
      </c>
      <c r="B30" s="8" t="str">
        <f>Alex_ITSD_count_data!B30</f>
        <v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v>
      </c>
      <c r="C30" s="8" t="b">
        <f>Alex_ITSD_count_data!C30</f>
        <v>0</v>
      </c>
      <c r="D30" s="8" t="str">
        <f>Alex_ITSD_count_data!D30</f>
        <v>028SMPL.d</v>
      </c>
      <c r="E30" s="11">
        <f>Alex_ITSD_count_data!E30</f>
        <v>45246.5237037037</v>
      </c>
      <c r="F30" s="8" t="str">
        <f>Alex_ITSD_count_data!F30</f>
        <v>Sample</v>
      </c>
      <c r="G30" s="8">
        <f>Alex_ITSD_count_data!G30</f>
        <v>0</v>
      </c>
      <c r="H30" s="8" t="str">
        <f>Alex_ITSD_count_data!H30</f>
        <v>0-50-T</v>
      </c>
      <c r="I30" s="17">
        <f>Alex_ITSD_count_data!Q30</f>
        <v>956.04</v>
      </c>
      <c r="J30" s="17">
        <f>Alex_ITSD_count_data!R30</f>
        <v>2.4</v>
      </c>
      <c r="K30" s="47">
        <f t="shared" si="18"/>
        <v>-7381.7464930012929</v>
      </c>
      <c r="L30" s="17">
        <f t="shared" si="20"/>
        <v>0.18337364188548083</v>
      </c>
      <c r="M30" s="17">
        <f>'[1]Alex-Mn_As_data'!P32</f>
        <v>0.35899999999999999</v>
      </c>
      <c r="N30" s="8">
        <v>10</v>
      </c>
      <c r="O30" s="17" t="str">
        <f t="shared" ref="O30" si="46">IF(L30 &lt; $S$44, "NA", N30*L30)</f>
        <v>NA</v>
      </c>
      <c r="P30" s="17" t="str">
        <f t="shared" ref="P30" si="47">IF(M30 &lt; $S$45, "NA", N30*M30)</f>
        <v>NA</v>
      </c>
      <c r="R30" s="23">
        <f t="shared" ref="R30:AA38" si="48">A6</f>
        <v>3.4490740727051161E-3</v>
      </c>
      <c r="S30" s="8">
        <f t="shared" si="48"/>
        <v>0</v>
      </c>
      <c r="T30" s="8" t="b">
        <f t="shared" si="48"/>
        <v>0</v>
      </c>
      <c r="U30" s="8" t="str">
        <f t="shared" si="48"/>
        <v>004CALB.d</v>
      </c>
      <c r="V30" s="11">
        <f t="shared" si="48"/>
        <v>45246.483634259261</v>
      </c>
      <c r="W30" s="8" t="str">
        <f t="shared" si="48"/>
        <v>CalBlk</v>
      </c>
      <c r="X30" s="8">
        <f t="shared" si="48"/>
        <v>1</v>
      </c>
      <c r="Y30" s="8" t="str">
        <f t="shared" si="48"/>
        <v xml:space="preserve">0 ppb </v>
      </c>
      <c r="Z30" s="8">
        <f t="shared" si="48"/>
        <v>32.33</v>
      </c>
      <c r="AA30" s="8">
        <f t="shared" si="48"/>
        <v>26.3</v>
      </c>
      <c r="AB30" s="8">
        <f>'Calibration Std'!D$5</f>
        <v>0</v>
      </c>
      <c r="AN30" t="s">
        <v>280</v>
      </c>
      <c r="AO30" s="17" cm="1">
        <f t="array" ref="AO30:AP34">LINEST(Z30:Z38,AB30:AB38, TRUE, TRUE)</f>
        <v>2573.8069157689119</v>
      </c>
      <c r="AP30" s="17">
        <v>484.07165234541753</v>
      </c>
      <c r="AQ30" s="20" t="s">
        <v>281</v>
      </c>
    </row>
    <row r="31" spans="1:67" x14ac:dyDescent="0.25">
      <c r="A31" s="23">
        <f>Alex_ITSD_count_data!A31</f>
        <v>4.464120369812008E-2</v>
      </c>
      <c r="B31" s="8" t="str">
        <f>Alex_ITSD_count_data!B31</f>
        <v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v>
      </c>
      <c r="C31" s="8" t="b">
        <f>Alex_ITSD_count_data!C31</f>
        <v>0</v>
      </c>
      <c r="D31" s="8" t="str">
        <f>Alex_ITSD_count_data!D31</f>
        <v>029SMPL.d</v>
      </c>
      <c r="E31" s="11">
        <f>Alex_ITSD_count_data!E31</f>
        <v>45246.524826388886</v>
      </c>
      <c r="F31" s="8" t="str">
        <f>Alex_ITSD_count_data!F31</f>
        <v>Sample</v>
      </c>
      <c r="G31" s="8">
        <f>Alex_ITSD_count_data!G31</f>
        <v>0</v>
      </c>
      <c r="H31" s="8" t="str">
        <f>Alex_ITSD_count_data!H31</f>
        <v>0-60-B</v>
      </c>
      <c r="I31" s="17">
        <f>Alex_ITSD_count_data!Q31</f>
        <v>1599.1</v>
      </c>
      <c r="J31" s="17">
        <f>Alex_ITSD_count_data!R31</f>
        <v>1.8</v>
      </c>
      <c r="K31" s="47">
        <f t="shared" si="18"/>
        <v>-6953.7836446766323</v>
      </c>
      <c r="L31" s="17">
        <f t="shared" si="20"/>
        <v>0.4332214436223446</v>
      </c>
      <c r="M31" s="17">
        <f>'[1]Alex-Mn_As_data'!P33</f>
        <v>0.60899999999999999</v>
      </c>
      <c r="N31" s="8">
        <v>5</v>
      </c>
      <c r="O31" s="17" t="str">
        <f t="shared" ref="O31:O39" si="49">IF(L31 &lt; $S$44, "NA", N31*L31)</f>
        <v>NA</v>
      </c>
      <c r="P31" s="17" t="str">
        <f t="shared" ref="P31:P39" si="50">IF(M31 &lt; $S$45, "NA", N31*M31)</f>
        <v>NA</v>
      </c>
      <c r="R31" s="23">
        <f t="shared" si="48"/>
        <v>4.6180555509636179E-3</v>
      </c>
      <c r="S31" s="8">
        <f t="shared" si="48"/>
        <v>0</v>
      </c>
      <c r="T31" s="8" t="b">
        <f t="shared" si="48"/>
        <v>0</v>
      </c>
      <c r="U31" s="8" t="str">
        <f t="shared" si="48"/>
        <v>005CALS.d</v>
      </c>
      <c r="V31" s="11">
        <f t="shared" si="48"/>
        <v>45246.484803240739</v>
      </c>
      <c r="W31" s="8" t="str">
        <f t="shared" si="48"/>
        <v>CalStd</v>
      </c>
      <c r="X31" s="8">
        <f t="shared" si="48"/>
        <v>2</v>
      </c>
      <c r="Y31" s="8" t="str">
        <f t="shared" si="48"/>
        <v>0.5 ppb m16 + Al</v>
      </c>
      <c r="Z31" s="8">
        <f t="shared" si="48"/>
        <v>1315.4</v>
      </c>
      <c r="AA31" s="8">
        <f t="shared" si="48"/>
        <v>5.6</v>
      </c>
      <c r="AB31" s="8">
        <f>'Calibration Std'!E$5</f>
        <v>0.5</v>
      </c>
      <c r="AN31" t="s">
        <v>286</v>
      </c>
      <c r="AO31" s="17">
        <v>0.78791623014884915</v>
      </c>
      <c r="AP31" s="17">
        <v>295.11833963491398</v>
      </c>
      <c r="AQ31" t="s">
        <v>282</v>
      </c>
    </row>
    <row r="32" spans="1:67" x14ac:dyDescent="0.25">
      <c r="A32" s="23">
        <f>Alex_ITSD_count_data!A32</f>
        <v>4.5763888883811887E-2</v>
      </c>
      <c r="B32" s="8" t="str">
        <f>Alex_ITSD_count_data!B32</f>
        <v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v>
      </c>
      <c r="C32" s="8" t="b">
        <f>Alex_ITSD_count_data!C32</f>
        <v>0</v>
      </c>
      <c r="D32" s="8" t="str">
        <f>Alex_ITSD_count_data!D32</f>
        <v>030SMPL.d</v>
      </c>
      <c r="E32" s="11">
        <f>Alex_ITSD_count_data!E32</f>
        <v>45246.525949074072</v>
      </c>
      <c r="F32" s="8" t="str">
        <f>Alex_ITSD_count_data!F32</f>
        <v>Sample</v>
      </c>
      <c r="G32" s="8">
        <f>Alex_ITSD_count_data!G32</f>
        <v>0</v>
      </c>
      <c r="H32" s="8" t="str">
        <f>Alex_ITSD_count_data!H32</f>
        <v>0-100-B</v>
      </c>
      <c r="I32" s="17">
        <f>Alex_ITSD_count_data!Q32</f>
        <v>1733.11</v>
      </c>
      <c r="J32" s="17">
        <f>Alex_ITSD_count_data!R32</f>
        <v>1.4</v>
      </c>
      <c r="K32" s="47">
        <f t="shared" si="18"/>
        <v>-7034.870796351971</v>
      </c>
      <c r="L32" s="17">
        <f t="shared" si="20"/>
        <v>0.48528828639091537</v>
      </c>
      <c r="M32" s="17">
        <f>'[1]Alex-Mn_As_data'!P34</f>
        <v>0.66100000000000003</v>
      </c>
      <c r="N32" s="8">
        <v>5</v>
      </c>
      <c r="O32" s="17" t="str">
        <f t="shared" si="49"/>
        <v>NA</v>
      </c>
      <c r="P32" s="17" t="str">
        <f t="shared" si="50"/>
        <v>NA</v>
      </c>
      <c r="R32" s="23">
        <f t="shared" si="48"/>
        <v>5.7870370364980772E-3</v>
      </c>
      <c r="S32" s="8" t="str">
        <f t="shared" si="48"/>
        <v>45  Sc ( ISTD )  [ He ] :  ISTD Recovery Percent value = 135.23 is outside the allowed range [80.00, 120.00]103  Rh ( ISTD )  [ He ] :  ISTD Recovery Percent value = 137.11 is outside the allowed range [80.00, 120.00]</v>
      </c>
      <c r="T32" s="8" t="b">
        <f t="shared" si="48"/>
        <v>0</v>
      </c>
      <c r="U32" s="8" t="str">
        <f t="shared" si="48"/>
        <v>006CALS.d</v>
      </c>
      <c r="V32" s="11">
        <f t="shared" si="48"/>
        <v>45246.485972222225</v>
      </c>
      <c r="W32" s="8" t="str">
        <f t="shared" si="48"/>
        <v>CalStd</v>
      </c>
      <c r="X32" s="8">
        <f t="shared" si="48"/>
        <v>3</v>
      </c>
      <c r="Y32" s="8" t="str">
        <f t="shared" si="48"/>
        <v>1 ppb m16 + Al</v>
      </c>
      <c r="Z32" s="8">
        <f t="shared" si="48"/>
        <v>2604.2399999999998</v>
      </c>
      <c r="AA32" s="8">
        <f t="shared" si="48"/>
        <v>3.4</v>
      </c>
      <c r="AB32" s="8">
        <f>'Calibration Std'!F$5</f>
        <v>1</v>
      </c>
      <c r="AN32" t="s">
        <v>277</v>
      </c>
      <c r="AO32" s="44">
        <v>0.99999934399685542</v>
      </c>
      <c r="AP32" s="17">
        <v>769.59937093246583</v>
      </c>
      <c r="AQ32" t="s">
        <v>285</v>
      </c>
    </row>
    <row r="33" spans="1:43" x14ac:dyDescent="0.25">
      <c r="A33" s="23">
        <f>Alex_ITSD_count_data!A33</f>
        <v>4.6944444438850041E-2</v>
      </c>
      <c r="B33" s="8" t="str">
        <f>Alex_ITSD_count_data!B33</f>
        <v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v>
      </c>
      <c r="C33" s="8" t="b">
        <f>Alex_ITSD_count_data!C33</f>
        <v>0</v>
      </c>
      <c r="D33" s="8" t="str">
        <f>Alex_ITSD_count_data!D33</f>
        <v>031SMPL.d</v>
      </c>
      <c r="E33" s="11">
        <f>Alex_ITSD_count_data!E33</f>
        <v>45246.527129629627</v>
      </c>
      <c r="F33" s="8" t="str">
        <f>Alex_ITSD_count_data!F33</f>
        <v>Sample</v>
      </c>
      <c r="G33" s="8">
        <f>Alex_ITSD_count_data!G33</f>
        <v>0</v>
      </c>
      <c r="H33" s="8" t="str">
        <f>Alex_ITSD_count_data!H33</f>
        <v>0-70-B</v>
      </c>
      <c r="I33" s="17">
        <f>Alex_ITSD_count_data!Q33</f>
        <v>679.35</v>
      </c>
      <c r="J33" s="17">
        <f>Alex_ITSD_count_data!R33</f>
        <v>4.0999999999999996</v>
      </c>
      <c r="K33" s="47">
        <f t="shared" si="18"/>
        <v>-8314.8154298712307</v>
      </c>
      <c r="L33" s="17">
        <f t="shared" si="20"/>
        <v>7.5871405293914229E-2</v>
      </c>
      <c r="M33" s="17">
        <f>'[1]Alex-Mn_As_data'!P35</f>
        <v>0.251</v>
      </c>
      <c r="N33" s="8">
        <v>10</v>
      </c>
      <c r="O33" s="17" t="str">
        <f t="shared" si="49"/>
        <v>NA</v>
      </c>
      <c r="P33" s="17" t="str">
        <f t="shared" si="50"/>
        <v>NA</v>
      </c>
      <c r="R33" s="23">
        <f t="shared" si="48"/>
        <v>7.0023148145992309E-3</v>
      </c>
      <c r="S33" s="8" t="str">
        <f t="shared" si="48"/>
        <v>45  Sc ( ISTD )  [ He ] :  ISTD Recovery Percent value = 158.50 is outside the allowed range [80.00, 120.00]103  Rh ( ISTD )  [ He ] :  ISTD Recovery Percent value = 166.42 is outside the allowed range [80.00, 120.00]</v>
      </c>
      <c r="T33" s="8" t="b">
        <f t="shared" si="48"/>
        <v>0</v>
      </c>
      <c r="U33" s="8" t="str">
        <f t="shared" si="48"/>
        <v>007CALS.d</v>
      </c>
      <c r="V33" s="11">
        <f t="shared" si="48"/>
        <v>45246.487187500003</v>
      </c>
      <c r="W33" s="8" t="str">
        <f t="shared" si="48"/>
        <v>CalStd</v>
      </c>
      <c r="X33" s="8">
        <f t="shared" si="48"/>
        <v>4</v>
      </c>
      <c r="Y33" s="8" t="str">
        <f t="shared" si="48"/>
        <v>5 ppb m16 + Al</v>
      </c>
      <c r="Z33" s="8">
        <f t="shared" si="48"/>
        <v>13001.57</v>
      </c>
      <c r="AA33" s="8">
        <f t="shared" si="48"/>
        <v>0.9</v>
      </c>
      <c r="AB33" s="8">
        <f>'Calibration Std'!G$5</f>
        <v>5</v>
      </c>
      <c r="AN33" t="s">
        <v>278</v>
      </c>
      <c r="AO33" s="17">
        <v>10670673.556421785</v>
      </c>
      <c r="AP33" s="17">
        <v>7</v>
      </c>
      <c r="AQ33" t="s">
        <v>283</v>
      </c>
    </row>
    <row r="34" spans="1:43" x14ac:dyDescent="0.25">
      <c r="A34" s="23">
        <f>Alex_ITSD_count_data!A34</f>
        <v>4.8078703701321501E-2</v>
      </c>
      <c r="B34" s="8" t="str">
        <f>Alex_ITSD_count_data!B34</f>
        <v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v>
      </c>
      <c r="C34" s="8" t="b">
        <f>Alex_ITSD_count_data!C34</f>
        <v>0</v>
      </c>
      <c r="D34" s="8" t="str">
        <f>Alex_ITSD_count_data!D34</f>
        <v>032SMPL.d</v>
      </c>
      <c r="E34" s="11">
        <f>Alex_ITSD_count_data!E34</f>
        <v>45246.528263888889</v>
      </c>
      <c r="F34" s="8" t="str">
        <f>Alex_ITSD_count_data!F34</f>
        <v>Sample</v>
      </c>
      <c r="G34" s="8">
        <f>Alex_ITSD_count_data!G34</f>
        <v>0</v>
      </c>
      <c r="H34" s="8" t="str">
        <f>Alex_ITSD_count_data!H34</f>
        <v>20-100-T</v>
      </c>
      <c r="I34" s="17">
        <f>Alex_ITSD_count_data!Q34</f>
        <v>5747.16</v>
      </c>
      <c r="J34" s="17">
        <f>Alex_ITSD_count_data!R34</f>
        <v>0.7</v>
      </c>
      <c r="K34" s="47">
        <f t="shared" si="18"/>
        <v>-3464.3200784729597</v>
      </c>
      <c r="L34" s="17">
        <f t="shared" si="20"/>
        <v>2.0448652598643986</v>
      </c>
      <c r="M34" s="17">
        <f>'[1]Alex-Mn_As_data'!P36</f>
        <v>2.2200000000000002</v>
      </c>
      <c r="N34" s="8">
        <v>5</v>
      </c>
      <c r="O34" s="17" t="str">
        <f t="shared" si="49"/>
        <v>NA</v>
      </c>
      <c r="P34" s="17" t="str">
        <f t="shared" si="50"/>
        <v>NA</v>
      </c>
      <c r="R34" s="23">
        <f t="shared" si="48"/>
        <v>8.182870369637385E-3</v>
      </c>
      <c r="S34" s="8" t="str">
        <f t="shared" si="48"/>
        <v>45  Sc ( ISTD )  [ He ] :  ISTD Recovery Percent value = 191.39 is outside the allowed range [80.00, 120.00]103  Rh ( ISTD )  [ He ] :  ISTD Recovery Percent value = 202.01 is outside the allowed range [80.00, 120.00]</v>
      </c>
      <c r="T34" s="8" t="b">
        <f t="shared" si="48"/>
        <v>0</v>
      </c>
      <c r="U34" s="8" t="str">
        <f t="shared" si="48"/>
        <v>008CALS.d</v>
      </c>
      <c r="V34" s="11">
        <f t="shared" si="48"/>
        <v>45246.488368055558</v>
      </c>
      <c r="W34" s="8" t="str">
        <f t="shared" si="48"/>
        <v>CalStd</v>
      </c>
      <c r="X34" s="8">
        <f t="shared" si="48"/>
        <v>5</v>
      </c>
      <c r="Y34" s="8" t="str">
        <f t="shared" si="48"/>
        <v>10 ppb m16 + Al</v>
      </c>
      <c r="Z34" s="8">
        <f t="shared" si="48"/>
        <v>25914.34</v>
      </c>
      <c r="AA34" s="8">
        <f t="shared" si="48"/>
        <v>2</v>
      </c>
      <c r="AB34" s="8">
        <f>'Calibration Std'!H$5</f>
        <v>10</v>
      </c>
      <c r="AN34" t="s">
        <v>279</v>
      </c>
      <c r="AO34" s="17">
        <v>6320060592009.3457</v>
      </c>
      <c r="AP34" s="17">
        <v>4145982.3421775298</v>
      </c>
      <c r="AQ34" t="s">
        <v>284</v>
      </c>
    </row>
    <row r="35" spans="1:43" x14ac:dyDescent="0.25">
      <c r="A35" s="23">
        <f>Alex_ITSD_count_data!A35</f>
        <v>4.9201388887013309E-2</v>
      </c>
      <c r="B35" s="8" t="str">
        <f>Alex_ITSD_count_data!B35</f>
        <v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v>
      </c>
      <c r="C35" s="8" t="b">
        <f>Alex_ITSD_count_data!C35</f>
        <v>0</v>
      </c>
      <c r="D35" s="8" t="str">
        <f>Alex_ITSD_count_data!D35</f>
        <v>033SMPL.d</v>
      </c>
      <c r="E35" s="11">
        <f>Alex_ITSD_count_data!E35</f>
        <v>45246.529386574075</v>
      </c>
      <c r="F35" s="8" t="str">
        <f>Alex_ITSD_count_data!F35</f>
        <v>Sample</v>
      </c>
      <c r="G35" s="8">
        <f>Alex_ITSD_count_data!G35</f>
        <v>0</v>
      </c>
      <c r="H35" s="8" t="str">
        <f>Alex_ITSD_count_data!H35</f>
        <v>20-80-T</v>
      </c>
      <c r="I35" s="17">
        <f>Alex_ITSD_count_data!Q35</f>
        <v>5426.04</v>
      </c>
      <c r="J35" s="17">
        <f>Alex_ITSD_count_data!R35</f>
        <v>0.4</v>
      </c>
      <c r="K35" s="47">
        <f t="shared" si="18"/>
        <v>-4000.5372301482976</v>
      </c>
      <c r="L35" s="17">
        <f t="shared" si="20"/>
        <v>1.9201006561046534</v>
      </c>
      <c r="M35" s="17">
        <f>'[1]Alex-Mn_As_data'!P37</f>
        <v>2.0950000000000002</v>
      </c>
      <c r="N35" s="8">
        <v>5</v>
      </c>
      <c r="O35" s="17" t="str">
        <f t="shared" si="49"/>
        <v>NA</v>
      </c>
      <c r="P35" s="17" t="str">
        <f t="shared" si="50"/>
        <v>NA</v>
      </c>
      <c r="Q35" s="2"/>
      <c r="R35" s="23">
        <f t="shared" si="48"/>
        <v>9.3287037016125396E-3</v>
      </c>
      <c r="S35" s="8" t="str">
        <f t="shared" si="48"/>
        <v>45  Sc ( ISTD )  [ He ] :  ISTD Recovery Percent value = 226.75 is outside the allowed range [80.00, 120.00]103  Rh ( ISTD )  [ He ] :  ISTD Recovery Percent value = 246.55 is outside the allowed range [80.00, 120.00]</v>
      </c>
      <c r="T35" s="8" t="b">
        <f t="shared" si="48"/>
        <v>0</v>
      </c>
      <c r="U35" s="8" t="str">
        <f t="shared" si="48"/>
        <v>009CALS.d</v>
      </c>
      <c r="V35" s="11">
        <f t="shared" si="48"/>
        <v>45246.48951388889</v>
      </c>
      <c r="W35" s="8" t="str">
        <f t="shared" si="48"/>
        <v>CalStd</v>
      </c>
      <c r="X35" s="8">
        <f t="shared" si="48"/>
        <v>6</v>
      </c>
      <c r="Y35" s="8" t="str">
        <f t="shared" si="48"/>
        <v>50 ppb m16 + Al</v>
      </c>
      <c r="Z35" s="8">
        <f t="shared" si="48"/>
        <v>129814.73</v>
      </c>
      <c r="AA35" s="8">
        <f t="shared" si="48"/>
        <v>1.4</v>
      </c>
      <c r="AB35" s="8">
        <f>'Calibration Std'!I$5</f>
        <v>50</v>
      </c>
    </row>
    <row r="36" spans="1:43" x14ac:dyDescent="0.25">
      <c r="A36" s="23">
        <f>Alex_ITSD_count_data!A36</f>
        <v>5.0324074072705116E-2</v>
      </c>
      <c r="B36" s="8" t="str">
        <f>Alex_ITSD_count_data!B36</f>
        <v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v>
      </c>
      <c r="C36" s="8" t="b">
        <f>Alex_ITSD_count_data!C36</f>
        <v>0</v>
      </c>
      <c r="D36" s="8" t="str">
        <f>Alex_ITSD_count_data!D36</f>
        <v>034SMPL.d</v>
      </c>
      <c r="E36" s="11">
        <f>Alex_ITSD_count_data!E36</f>
        <v>45246.530509259261</v>
      </c>
      <c r="F36" s="8" t="str">
        <f>Alex_ITSD_count_data!F36</f>
        <v>Sample</v>
      </c>
      <c r="G36" s="8">
        <f>Alex_ITSD_count_data!G36</f>
        <v>0</v>
      </c>
      <c r="H36" s="8" t="str">
        <f>Alex_ITSD_count_data!H36</f>
        <v>20-30-B</v>
      </c>
      <c r="I36" s="17">
        <f>Alex_ITSD_count_data!Q36</f>
        <v>12727.99</v>
      </c>
      <c r="J36" s="17">
        <f>Alex_ITSD_count_data!R36</f>
        <v>1.4</v>
      </c>
      <c r="K36" s="47">
        <f t="shared" si="18"/>
        <v>3086.3156181763643</v>
      </c>
      <c r="L36" s="17">
        <f t="shared" si="20"/>
        <v>4.7571238823860149</v>
      </c>
      <c r="M36" s="17">
        <f>'[1]Alex-Mn_As_data'!P38</f>
        <v>4.931</v>
      </c>
      <c r="N36" s="8">
        <v>5</v>
      </c>
      <c r="O36" s="17" t="str">
        <f t="shared" si="49"/>
        <v>NA</v>
      </c>
      <c r="P36" s="17" t="str">
        <f t="shared" si="50"/>
        <v>NA</v>
      </c>
      <c r="R36" s="23">
        <f t="shared" si="48"/>
        <v>1.0532407402934041E-2</v>
      </c>
      <c r="S36" s="8" t="str">
        <f t="shared" si="48"/>
        <v>45  Sc ( ISTD )  [ He ] :  ISTD Recovery Percent value = 294.14 is outside the allowed range [80.00, 120.00]103  Rh ( ISTD )  [ He ] :  ISTD Recovery Percent value = 306.45 is outside the allowed range [80.00, 120.00]</v>
      </c>
      <c r="T36" s="8" t="b">
        <f t="shared" si="48"/>
        <v>0</v>
      </c>
      <c r="U36" s="8" t="str">
        <f t="shared" si="48"/>
        <v>010CALS.d</v>
      </c>
      <c r="V36" s="11">
        <f t="shared" si="48"/>
        <v>45246.490717592591</v>
      </c>
      <c r="W36" s="8" t="str">
        <f t="shared" si="48"/>
        <v>CalStd</v>
      </c>
      <c r="X36" s="8">
        <f t="shared" si="48"/>
        <v>7</v>
      </c>
      <c r="Y36" s="8" t="str">
        <f t="shared" si="48"/>
        <v>100 ppb m16 + Al</v>
      </c>
      <c r="Z36" s="8">
        <f t="shared" si="48"/>
        <v>259551.1</v>
      </c>
      <c r="AA36" s="8">
        <f t="shared" si="48"/>
        <v>1.4</v>
      </c>
      <c r="AB36" s="8">
        <f>'Calibration Std'!J$5</f>
        <v>100</v>
      </c>
    </row>
    <row r="37" spans="1:43" x14ac:dyDescent="0.25">
      <c r="A37" s="23">
        <f>Alex_ITSD_count_data!A37</f>
        <v>5.1493055550963618E-2</v>
      </c>
      <c r="B37" s="8" t="str">
        <f>Alex_ITSD_count_data!B37</f>
        <v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v>
      </c>
      <c r="C37" s="8" t="b">
        <f>Alex_ITSD_count_data!C37</f>
        <v>0</v>
      </c>
      <c r="D37" s="8" t="str">
        <f>Alex_ITSD_count_data!D37</f>
        <v>035SMPL.d</v>
      </c>
      <c r="E37" s="11">
        <f>Alex_ITSD_count_data!E37</f>
        <v>45246.531678240739</v>
      </c>
      <c r="F37" s="8" t="str">
        <f>Alex_ITSD_count_data!F37</f>
        <v>Sample</v>
      </c>
      <c r="G37" s="8">
        <f>Alex_ITSD_count_data!G37</f>
        <v>0</v>
      </c>
      <c r="H37" s="8" t="str">
        <f>Alex_ITSD_count_data!H37</f>
        <v>20-70-T</v>
      </c>
      <c r="I37" s="17">
        <f>Alex_ITSD_count_data!Q37</f>
        <v>3822.18</v>
      </c>
      <c r="J37" s="17">
        <f>Alex_ITSD_count_data!R37</f>
        <v>1.3</v>
      </c>
      <c r="K37" s="47">
        <f t="shared" si="18"/>
        <v>-6043.4615184165068</v>
      </c>
      <c r="L37" s="17">
        <f t="shared" si="20"/>
        <v>1.296953678694013</v>
      </c>
      <c r="M37" s="17">
        <f>'[1]Alex-Mn_As_data'!P39</f>
        <v>1.472</v>
      </c>
      <c r="N37" s="8">
        <v>5</v>
      </c>
      <c r="O37" s="17" t="str">
        <f t="shared" si="49"/>
        <v>NA</v>
      </c>
      <c r="P37" s="17" t="str">
        <f t="shared" si="50"/>
        <v>NA</v>
      </c>
      <c r="R37" s="23">
        <f t="shared" si="48"/>
        <v>1.1689814811688848E-2</v>
      </c>
      <c r="S37" s="8" t="str">
        <f t="shared" si="48"/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T37" s="8" t="b">
        <f t="shared" si="48"/>
        <v>0</v>
      </c>
      <c r="U37" s="8" t="str">
        <f t="shared" si="48"/>
        <v>011CALS.d</v>
      </c>
      <c r="V37" s="11">
        <f t="shared" si="48"/>
        <v>45246.491875</v>
      </c>
      <c r="W37" s="8" t="str">
        <f t="shared" si="48"/>
        <v>CalStd</v>
      </c>
      <c r="X37" s="8">
        <f t="shared" si="48"/>
        <v>8</v>
      </c>
      <c r="Y37" s="8" t="str">
        <f t="shared" si="48"/>
        <v>500 ppb m16 + Al</v>
      </c>
      <c r="Z37" s="8">
        <f t="shared" si="48"/>
        <v>1287165.08</v>
      </c>
      <c r="AA37" s="8">
        <f t="shared" si="48"/>
        <v>0.9</v>
      </c>
      <c r="AB37" s="8">
        <f>'Calibration Std'!K$5</f>
        <v>500</v>
      </c>
    </row>
    <row r="38" spans="1:43" x14ac:dyDescent="0.25">
      <c r="A38" s="23">
        <f>Alex_ITSD_count_data!A38</f>
        <v>5.2627314813435078E-2</v>
      </c>
      <c r="B38" s="8" t="str">
        <f>Alex_ITSD_count_data!B38</f>
        <v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v>
      </c>
      <c r="C38" s="8" t="b">
        <f>Alex_ITSD_count_data!C38</f>
        <v>0</v>
      </c>
      <c r="D38" s="8" t="str">
        <f>Alex_ITSD_count_data!D38</f>
        <v>036SMPL.d</v>
      </c>
      <c r="E38" s="11">
        <f>Alex_ITSD_count_data!E38</f>
        <v>45246.532812500001</v>
      </c>
      <c r="F38" s="8" t="str">
        <f>Alex_ITSD_count_data!F38</f>
        <v>Sample</v>
      </c>
      <c r="G38" s="8">
        <f>Alex_ITSD_count_data!G38</f>
        <v>0</v>
      </c>
      <c r="H38" s="8" t="str">
        <f>Alex_ITSD_count_data!H38</f>
        <v>20-60-T</v>
      </c>
      <c r="I38" s="17">
        <f>Alex_ITSD_count_data!Q38</f>
        <v>9102.23</v>
      </c>
      <c r="J38" s="17">
        <f>Alex_ITSD_count_data!R38</f>
        <v>0.6</v>
      </c>
      <c r="K38" s="47">
        <f t="shared" si="18"/>
        <v>-980.72616701823608</v>
      </c>
      <c r="L38" s="17">
        <f t="shared" si="20"/>
        <v>3.3484090414295702</v>
      </c>
      <c r="M38" s="17">
        <f>'[1]Alex-Mn_As_data'!P40</f>
        <v>3.5230000000000001</v>
      </c>
      <c r="N38" s="8">
        <v>5</v>
      </c>
      <c r="O38" s="17" t="str">
        <f t="shared" si="49"/>
        <v>NA</v>
      </c>
      <c r="P38" s="17" t="str">
        <f t="shared" si="50"/>
        <v>NA</v>
      </c>
      <c r="R38" s="23">
        <f t="shared" si="48"/>
        <v>1.2847222220443655E-2</v>
      </c>
      <c r="S38" s="8" t="str">
        <f t="shared" si="48"/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T38" s="8" t="b">
        <f t="shared" si="48"/>
        <v>0</v>
      </c>
      <c r="U38" s="8" t="str">
        <f t="shared" si="48"/>
        <v>012CALS.d</v>
      </c>
      <c r="V38" s="11">
        <f t="shared" si="48"/>
        <v>45246.493032407408</v>
      </c>
      <c r="W38" s="8" t="str">
        <f t="shared" si="48"/>
        <v>CalStd</v>
      </c>
      <c r="X38" s="8">
        <f t="shared" si="48"/>
        <v>9</v>
      </c>
      <c r="Y38" s="8" t="str">
        <f t="shared" si="48"/>
        <v>1000 ppb m16 + Al</v>
      </c>
      <c r="Z38" s="8">
        <f t="shared" si="48"/>
        <v>2574207.08</v>
      </c>
      <c r="AA38" s="8">
        <f t="shared" si="48"/>
        <v>1.8</v>
      </c>
      <c r="AB38" s="8">
        <f>'Calibration Std'!L$5</f>
        <v>1000</v>
      </c>
    </row>
    <row r="39" spans="1:43" x14ac:dyDescent="0.25">
      <c r="A39" s="23">
        <f>Alex_ITSD_count_data!A39</f>
        <v>6.2395833330811001E-2</v>
      </c>
      <c r="B39" s="8" t="str">
        <f>Alex_ITSD_count_data!B39</f>
        <v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v>
      </c>
      <c r="C39" s="8" t="b">
        <f>Alex_ITSD_count_data!C39</f>
        <v>0</v>
      </c>
      <c r="D39" s="8" t="str">
        <f>Alex_ITSD_count_data!D39</f>
        <v>037SMPL.d</v>
      </c>
      <c r="E39" s="11">
        <f>Alex_ITSD_count_data!E39</f>
        <v>45246.542581018519</v>
      </c>
      <c r="F39" s="8" t="str">
        <f>Alex_ITSD_count_data!F39</f>
        <v>Sample</v>
      </c>
      <c r="G39" s="8">
        <f>Alex_ITSD_count_data!G39</f>
        <v>0</v>
      </c>
      <c r="H39" s="8" t="str">
        <f>Alex_ITSD_count_data!H39</f>
        <v>20-90-B</v>
      </c>
      <c r="I39" s="17">
        <f>Alex_ITSD_count_data!Q39</f>
        <v>3088.67</v>
      </c>
      <c r="J39" s="17">
        <f>Alex_ITSD_count_data!R39</f>
        <v>2.2999999999999998</v>
      </c>
      <c r="K39" s="47">
        <f t="shared" si="18"/>
        <v>-8865.8531351711063</v>
      </c>
      <c r="L39" s="17">
        <f t="shared" si="20"/>
        <v>1.0119633806627144</v>
      </c>
      <c r="M39" s="17">
        <f>'[1]Alex-Mn_As_data'!P41</f>
        <v>1.1870000000000001</v>
      </c>
      <c r="N39" s="8">
        <v>5</v>
      </c>
      <c r="O39" s="17" t="str">
        <f t="shared" si="49"/>
        <v>NA</v>
      </c>
      <c r="P39" s="17" t="str">
        <f t="shared" si="50"/>
        <v>NA</v>
      </c>
      <c r="R39"/>
      <c r="V39"/>
    </row>
    <row r="40" spans="1:43" x14ac:dyDescent="0.25">
      <c r="A40" s="23">
        <f>Alex_ITSD_count_data!A40</f>
        <v>6.3530092593282461E-2</v>
      </c>
      <c r="B40" s="8" t="str">
        <f>Alex_ITSD_count_data!B40</f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C40" s="8" t="b">
        <f>Alex_ITSD_count_data!C40</f>
        <v>0</v>
      </c>
      <c r="D40" s="8" t="str">
        <f>Alex_ITSD_count_data!D40</f>
        <v>038SMPL.d</v>
      </c>
      <c r="E40" s="11">
        <f>Alex_ITSD_count_data!E40</f>
        <v>45246.543715277781</v>
      </c>
      <c r="F40" s="8" t="str">
        <f>Alex_ITSD_count_data!F40</f>
        <v>Sample</v>
      </c>
      <c r="G40" s="8">
        <f>Alex_ITSD_count_data!G40</f>
        <v>0</v>
      </c>
      <c r="H40" s="40" t="str">
        <f>Alex_ITSD_count_data!H40</f>
        <v xml:space="preserve">blk </v>
      </c>
      <c r="I40" s="43">
        <f>Alex_ITSD_count_data!Q40</f>
        <v>26</v>
      </c>
      <c r="J40" s="43">
        <f>Alex_ITSD_count_data!R40</f>
        <v>3.8</v>
      </c>
      <c r="K40" s="48">
        <f t="shared" si="18"/>
        <v>-12145.837783772835</v>
      </c>
      <c r="L40" s="43">
        <f t="shared" si="20"/>
        <v>-0.17797436534145408</v>
      </c>
      <c r="M40" s="43" t="str">
        <f>'[1]Alex-Mn_As_data'!P42</f>
        <v>&lt;0.000</v>
      </c>
      <c r="N40" s="8"/>
      <c r="O40" s="17"/>
      <c r="P40" s="17"/>
      <c r="R40"/>
      <c r="V40"/>
    </row>
    <row r="41" spans="1:43" x14ac:dyDescent="0.25">
      <c r="A41" s="23">
        <f>Alex_ITSD_count_data!A41</f>
        <v>6.4664351848477963E-2</v>
      </c>
      <c r="B41" s="8" t="str">
        <f>Alex_ITSD_count_data!B41</f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C41" s="8" t="b">
        <f>Alex_ITSD_count_data!C41</f>
        <v>0</v>
      </c>
      <c r="D41" s="8" t="str">
        <f>Alex_ITSD_count_data!D41</f>
        <v>039SMPL.d</v>
      </c>
      <c r="E41" s="11">
        <f>Alex_ITSD_count_data!E41</f>
        <v>45246.544849537036</v>
      </c>
      <c r="F41" s="8" t="str">
        <f>Alex_ITSD_count_data!F41</f>
        <v>Sample</v>
      </c>
      <c r="G41" s="8">
        <f>Alex_ITSD_count_data!G41</f>
        <v>0</v>
      </c>
      <c r="H41" s="8" t="str">
        <f>Alex_ITSD_count_data!H41</f>
        <v>100 ppb check</v>
      </c>
      <c r="I41" s="17">
        <f>Alex_ITSD_count_data!Q41</f>
        <v>269436.15999999997</v>
      </c>
      <c r="J41" s="17">
        <f>Alex_ITSD_count_data!R41</f>
        <v>2.1</v>
      </c>
      <c r="K41" s="47">
        <f t="shared" si="18"/>
        <v>257047.00756901942</v>
      </c>
      <c r="L41" s="17">
        <f t="shared" si="20"/>
        <v>104.49582938792689</v>
      </c>
      <c r="M41" s="17">
        <f>'[1]Alex-Mn_As_data'!P43</f>
        <v>104.64700000000001</v>
      </c>
      <c r="N41" s="8"/>
      <c r="O41" s="17"/>
      <c r="P41" s="17"/>
      <c r="R41"/>
      <c r="V41"/>
    </row>
    <row r="42" spans="1:43" x14ac:dyDescent="0.25">
      <c r="A42" s="23">
        <f>Alex_ITSD_count_data!A42</f>
        <v>6.5787037034169771E-2</v>
      </c>
      <c r="B42" s="8" t="str">
        <f>Alex_ITSD_count_data!B42</f>
        <v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v>
      </c>
      <c r="C42" s="8" t="b">
        <f>Alex_ITSD_count_data!C42</f>
        <v>0</v>
      </c>
      <c r="D42" s="8" t="str">
        <f>Alex_ITSD_count_data!D42</f>
        <v>040SMPL.d</v>
      </c>
      <c r="E42" s="11">
        <f>Alex_ITSD_count_data!E42</f>
        <v>45246.545972222222</v>
      </c>
      <c r="F42" s="8" t="str">
        <f>Alex_ITSD_count_data!F42</f>
        <v>Sample</v>
      </c>
      <c r="G42" s="8">
        <f>Alex_ITSD_count_data!G42</f>
        <v>0</v>
      </c>
      <c r="H42" s="8" t="str">
        <f>Alex_ITSD_count_data!H42</f>
        <v>0-50-B</v>
      </c>
      <c r="I42" s="17">
        <f>Alex_ITSD_count_data!Q42</f>
        <v>962.04</v>
      </c>
      <c r="J42" s="17">
        <f>Alex_ITSD_count_data!R42</f>
        <v>2.8</v>
      </c>
      <c r="K42" s="47">
        <f t="shared" si="18"/>
        <v>-11642.209582655887</v>
      </c>
      <c r="L42" s="17">
        <f t="shared" si="20"/>
        <v>0.18570481908577502</v>
      </c>
      <c r="M42" s="17">
        <f>'[1]Alex-Mn_As_data'!P44</f>
        <v>0.36099999999999999</v>
      </c>
      <c r="N42" s="8">
        <v>5</v>
      </c>
      <c r="O42" s="17" t="str">
        <f t="shared" ref="O42:O51" si="51">IF(L42 &lt; $S$44, "NA", N42*L42)</f>
        <v>NA</v>
      </c>
      <c r="P42" s="17" t="str">
        <f t="shared" ref="P42:P51" si="52">IF(M42 &lt; $S$45, "NA", N42*M42)</f>
        <v>NA</v>
      </c>
      <c r="Q42" s="2" t="s">
        <v>322</v>
      </c>
      <c r="R42" s="3"/>
      <c r="S42" s="50" t="s">
        <v>323</v>
      </c>
      <c r="T42" s="51" t="s">
        <v>324</v>
      </c>
      <c r="V42"/>
    </row>
    <row r="43" spans="1:43" x14ac:dyDescent="0.25">
      <c r="A43" s="23">
        <f>Alex_ITSD_count_data!A43</f>
        <v>6.6979166665987577E-2</v>
      </c>
      <c r="B43" s="8" t="str">
        <f>Alex_ITSD_count_data!B43</f>
        <v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v>
      </c>
      <c r="C43" s="8" t="b">
        <f>Alex_ITSD_count_data!C43</f>
        <v>0</v>
      </c>
      <c r="D43" s="8" t="str">
        <f>Alex_ITSD_count_data!D43</f>
        <v>041SMPL.d</v>
      </c>
      <c r="E43" s="11">
        <f>Alex_ITSD_count_data!E43</f>
        <v>45246.547164351854</v>
      </c>
      <c r="F43" s="8" t="str">
        <f>Alex_ITSD_count_data!F43</f>
        <v>Sample</v>
      </c>
      <c r="G43" s="8">
        <f>Alex_ITSD_count_data!G43</f>
        <v>0</v>
      </c>
      <c r="H43" s="8" t="str">
        <f>Alex_ITSD_count_data!H43</f>
        <v>0-90-B</v>
      </c>
      <c r="I43" s="17">
        <f>Alex_ITSD_count_data!Q43</f>
        <v>79350.570000000007</v>
      </c>
      <c r="J43" s="17">
        <f>Alex_ITSD_count_data!R43</f>
        <v>3.4</v>
      </c>
      <c r="K43" s="47">
        <f t="shared" si="18"/>
        <v>66517.918286898464</v>
      </c>
      <c r="L43" s="17">
        <f t="shared" si="20"/>
        <v>30.641963802515317</v>
      </c>
      <c r="M43" s="17">
        <f>'[1]Alex-Mn_As_data'!P45</f>
        <v>30.81</v>
      </c>
      <c r="N43" s="8">
        <v>5</v>
      </c>
      <c r="O43" s="17">
        <f t="shared" si="51"/>
        <v>153.20981901257659</v>
      </c>
      <c r="P43" s="17">
        <f t="shared" si="52"/>
        <v>154.04999999999998</v>
      </c>
      <c r="R43" s="58" t="s">
        <v>15</v>
      </c>
      <c r="S43" s="8">
        <f xml:space="preserve"> AVERAGE($Z$15:$Z$24)+3*STDEV($Z$15:$Z$24)</f>
        <v>29230.359627885991</v>
      </c>
      <c r="T43" s="17">
        <f xml:space="preserve"> AVERAGE($Z$15:$Z$24)+10*STDEV($Z$15:$Z$24)</f>
        <v>87531.949426286621</v>
      </c>
    </row>
    <row r="44" spans="1:43" x14ac:dyDescent="0.25">
      <c r="A44" s="23">
        <f>Alex_ITSD_count_data!A44</f>
        <v>6.8229166667151731E-2</v>
      </c>
      <c r="B44" s="8" t="str">
        <f>Alex_ITSD_count_data!B44</f>
        <v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v>
      </c>
      <c r="C44" s="8" t="b">
        <f>Alex_ITSD_count_data!C44</f>
        <v>0</v>
      </c>
      <c r="D44" s="8" t="str">
        <f>Alex_ITSD_count_data!D44</f>
        <v>042SMPL.d</v>
      </c>
      <c r="E44" s="11">
        <f>Alex_ITSD_count_data!E44</f>
        <v>45246.548414351855</v>
      </c>
      <c r="F44" s="8" t="str">
        <f>Alex_ITSD_count_data!F44</f>
        <v>Sample</v>
      </c>
      <c r="G44" s="8">
        <f>Alex_ITSD_count_data!G44</f>
        <v>0</v>
      </c>
      <c r="H44" s="8" t="str">
        <f>Alex_ITSD_count_data!H44</f>
        <v>20-40-T</v>
      </c>
      <c r="I44" s="17">
        <f>Alex_ITSD_count_data!Q44</f>
        <v>8579.91</v>
      </c>
      <c r="J44" s="17">
        <f>Alex_ITSD_count_data!R44</f>
        <v>2</v>
      </c>
      <c r="K44" s="47">
        <f t="shared" si="18"/>
        <v>-4492.2313253911125</v>
      </c>
      <c r="L44" s="17">
        <f t="shared" si="20"/>
        <v>3.1454722955532937</v>
      </c>
      <c r="M44" s="17">
        <f>'[1]Alex-Mn_As_data'!P46</f>
        <v>3.32</v>
      </c>
      <c r="N44" s="8">
        <v>5</v>
      </c>
      <c r="O44" s="17" t="str">
        <f t="shared" si="51"/>
        <v>NA</v>
      </c>
      <c r="P44" s="17" t="str">
        <f t="shared" si="52"/>
        <v>NA</v>
      </c>
      <c r="R44" s="58" t="s">
        <v>326</v>
      </c>
      <c r="S44" s="17">
        <f xml:space="preserve"> AVERAGE($L$15,$L$17,$L$28,$L$40,$L$52,$L$64,$L$80,$L$84:$L$86)+3*STDEV($L$15,$L$17,$L$28,$L$40,$L$52,$L$64,$L$80,$L$84:$L$86)</f>
        <v>11.168781853611874</v>
      </c>
      <c r="T44" s="17">
        <f xml:space="preserve"> AVERAGE($L$15,$L$17,$L$28,$L$40,$L$52,$L$64,$L$80,$L$84:$L$86)+10*STDEV($L$15,$L$17,$L$28,$L$40,$L$52,$L$64,$L$80,$L$84:$L$86)</f>
        <v>33.820671333434532</v>
      </c>
    </row>
    <row r="45" spans="1:43" x14ac:dyDescent="0.25">
      <c r="A45" s="23">
        <f>Alex_ITSD_count_data!A45</f>
        <v>6.9363425922347233E-2</v>
      </c>
      <c r="B45" s="8" t="str">
        <f>Alex_ITSD_count_data!B45</f>
        <v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v>
      </c>
      <c r="C45" s="8" t="b">
        <f>Alex_ITSD_count_data!C45</f>
        <v>0</v>
      </c>
      <c r="D45" s="8" t="str">
        <f>Alex_ITSD_count_data!D45</f>
        <v>043SMPL.d</v>
      </c>
      <c r="E45" s="11">
        <f>Alex_ITSD_count_data!E45</f>
        <v>45246.54954861111</v>
      </c>
      <c r="F45" s="8" t="str">
        <f>Alex_ITSD_count_data!F45</f>
        <v>Sample</v>
      </c>
      <c r="G45" s="8">
        <f>Alex_ITSD_count_data!G45</f>
        <v>0</v>
      </c>
      <c r="H45" s="8" t="str">
        <f>Alex_ITSD_count_data!H45</f>
        <v>20-20-T</v>
      </c>
      <c r="I45" s="17">
        <f>Alex_ITSD_count_data!Q45</f>
        <v>11757.64</v>
      </c>
      <c r="J45" s="17">
        <f>Alex_ITSD_count_data!R45</f>
        <v>19.600000000000001</v>
      </c>
      <c r="K45" s="47">
        <f t="shared" si="18"/>
        <v>-1531.815972598828</v>
      </c>
      <c r="L45" s="17">
        <f t="shared" si="20"/>
        <v>4.3801142496684369</v>
      </c>
      <c r="M45" s="17">
        <f>'[1]Alex-Mn_As_data'!P47</f>
        <v>4.5549999999999997</v>
      </c>
      <c r="N45" s="8">
        <v>5</v>
      </c>
      <c r="O45" s="17" t="str">
        <f t="shared" si="51"/>
        <v>NA</v>
      </c>
      <c r="P45" s="17" t="str">
        <f t="shared" si="52"/>
        <v>NA</v>
      </c>
      <c r="R45" s="58" t="s">
        <v>328</v>
      </c>
      <c r="S45" s="17">
        <f xml:space="preserve"> AVERAGE($M$15,$M$17,$M$28,$M$40,$M$52,$M$64,$M$80,$M$84:$M$86)+3*STDEV($M$15,$M$17,$M$28,$M$40,$M$52,$M$64,$M$80,$M$84:$M$86)</f>
        <v>12.651080728960256</v>
      </c>
      <c r="T45" s="17">
        <f xml:space="preserve"> AVERAGE($M$15,$M$17,$M$28,$M$40,$M$52,$M$64,$M$80,$M$84:$M$86)+10*STDEV($M$15,$M$17,$M$28,$M$40,$M$52,$M$64,$M$80,$M$84:$M$86)</f>
        <v>37.396560763200853</v>
      </c>
    </row>
    <row r="46" spans="1:43" x14ac:dyDescent="0.25">
      <c r="A46" s="23">
        <f>Alex_ITSD_count_data!A46</f>
        <v>7.0555555554165039E-2</v>
      </c>
      <c r="B46" s="8" t="str">
        <f>Alex_ITSD_count_data!B46</f>
        <v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v>
      </c>
      <c r="C46" s="8" t="b">
        <f>Alex_ITSD_count_data!C46</f>
        <v>0</v>
      </c>
      <c r="D46" s="8" t="str">
        <f>Alex_ITSD_count_data!D46</f>
        <v>044SMPL.d</v>
      </c>
      <c r="E46" s="11">
        <f>Alex_ITSD_count_data!E46</f>
        <v>45246.550740740742</v>
      </c>
      <c r="F46" s="8" t="str">
        <f>Alex_ITSD_count_data!F46</f>
        <v>Sample</v>
      </c>
      <c r="G46" s="8">
        <f>Alex_ITSD_count_data!G46</f>
        <v>0</v>
      </c>
      <c r="H46" s="8" t="str">
        <f>Alex_ITSD_count_data!H46</f>
        <v>20-100-B</v>
      </c>
      <c r="I46" s="17">
        <f>Alex_ITSD_count_data!Q46</f>
        <v>9841.39</v>
      </c>
      <c r="J46" s="17">
        <f>Alex_ITSD_count_data!R46</f>
        <v>1.6</v>
      </c>
      <c r="K46" s="47">
        <f t="shared" si="18"/>
        <v>-3676.468103044479</v>
      </c>
      <c r="L46" s="17">
        <f t="shared" si="20"/>
        <v>3.6355945313244793</v>
      </c>
      <c r="M46" s="17">
        <f>'[1]Alex-Mn_As_data'!P48</f>
        <v>3.81</v>
      </c>
      <c r="N46" s="8">
        <v>5</v>
      </c>
      <c r="O46" s="17" t="str">
        <f t="shared" si="51"/>
        <v>NA</v>
      </c>
      <c r="P46" s="17" t="str">
        <f t="shared" si="52"/>
        <v>NA</v>
      </c>
    </row>
    <row r="47" spans="1:43" x14ac:dyDescent="0.25">
      <c r="A47" s="23">
        <f>Alex_ITSD_count_data!A47</f>
        <v>7.1689814809360541E-2</v>
      </c>
      <c r="B47" s="8" t="str">
        <f>Alex_ITSD_count_data!B47</f>
        <v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v>
      </c>
      <c r="C47" s="8" t="b">
        <f>Alex_ITSD_count_data!C47</f>
        <v>0</v>
      </c>
      <c r="D47" s="8" t="str">
        <f>Alex_ITSD_count_data!D47</f>
        <v>045SMPL.d</v>
      </c>
      <c r="E47" s="11">
        <f>Alex_ITSD_count_data!E47</f>
        <v>45246.551874999997</v>
      </c>
      <c r="F47" s="8" t="str">
        <f>Alex_ITSD_count_data!F47</f>
        <v>Sample</v>
      </c>
      <c r="G47" s="8">
        <f>Alex_ITSD_count_data!G47</f>
        <v>0</v>
      </c>
      <c r="H47" s="8" t="str">
        <f>Alex_ITSD_count_data!H47</f>
        <v>20-10-B</v>
      </c>
      <c r="I47" s="17">
        <f>Alex_ITSD_count_data!Q47</f>
        <v>10004.5</v>
      </c>
      <c r="J47" s="17">
        <f>Alex_ITSD_count_data!R47</f>
        <v>0.8</v>
      </c>
      <c r="K47" s="47">
        <f t="shared" si="18"/>
        <v>-3730.6727502521935</v>
      </c>
      <c r="L47" s="17">
        <f t="shared" si="20"/>
        <v>3.6989675835144773</v>
      </c>
      <c r="M47" s="17">
        <f>'[1]Alex-Mn_As_data'!P49</f>
        <v>3.8740000000000001</v>
      </c>
      <c r="N47" s="8">
        <v>5</v>
      </c>
      <c r="O47" s="17" t="str">
        <f t="shared" si="51"/>
        <v>NA</v>
      </c>
      <c r="P47" s="17" t="str">
        <f t="shared" si="52"/>
        <v>NA</v>
      </c>
    </row>
    <row r="48" spans="1:43" x14ac:dyDescent="0.25">
      <c r="A48" s="23">
        <f>Alex_ITSD_count_data!A48</f>
        <v>7.2789351848769002E-2</v>
      </c>
      <c r="B48" s="8" t="str">
        <f>Alex_ITSD_count_data!B48</f>
        <v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v>
      </c>
      <c r="C48" s="8" t="b">
        <f>Alex_ITSD_count_data!C48</f>
        <v>0</v>
      </c>
      <c r="D48" s="8" t="str">
        <f>Alex_ITSD_count_data!D48</f>
        <v>046SMPL.d</v>
      </c>
      <c r="E48" s="11">
        <f>Alex_ITSD_count_data!E48</f>
        <v>45246.552974537037</v>
      </c>
      <c r="F48" s="8" t="str">
        <f>Alex_ITSD_count_data!F48</f>
        <v>Sample</v>
      </c>
      <c r="G48" s="8">
        <f>Alex_ITSD_count_data!G48</f>
        <v>0</v>
      </c>
      <c r="H48" s="8" t="str">
        <f>Alex_ITSD_count_data!H48</f>
        <v>20-30-T</v>
      </c>
      <c r="I48" s="17">
        <f>Alex_ITSD_count_data!Q48</f>
        <v>14344.51</v>
      </c>
      <c r="J48" s="17">
        <f>Alex_ITSD_count_data!R48</f>
        <v>0.4</v>
      </c>
      <c r="K48" s="47">
        <f t="shared" si="18"/>
        <v>398.67509053123467</v>
      </c>
      <c r="L48" s="17">
        <f t="shared" si="20"/>
        <v>5.3851896436892766</v>
      </c>
      <c r="M48" s="17">
        <f>'[1]Alex-Mn_As_data'!P50</f>
        <v>5.5590000000000002</v>
      </c>
      <c r="N48" s="8">
        <v>5</v>
      </c>
      <c r="O48" s="17" t="str">
        <f t="shared" si="51"/>
        <v>NA</v>
      </c>
      <c r="P48" s="17" t="str">
        <f t="shared" si="52"/>
        <v>NA</v>
      </c>
    </row>
    <row r="49" spans="1:28" x14ac:dyDescent="0.25">
      <c r="A49" s="23">
        <f>Alex_ITSD_count_data!A49</f>
        <v>7.3923611111240461E-2</v>
      </c>
      <c r="B49" s="8" t="str">
        <f>Alex_ITSD_count_data!B49</f>
        <v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v>
      </c>
      <c r="C49" s="8" t="b">
        <f>Alex_ITSD_count_data!C49</f>
        <v>0</v>
      </c>
      <c r="D49" s="8" t="str">
        <f>Alex_ITSD_count_data!D49</f>
        <v>047SMPL.d</v>
      </c>
      <c r="E49" s="11">
        <f>Alex_ITSD_count_data!E49</f>
        <v>45246.554108796299</v>
      </c>
      <c r="F49" s="8" t="str">
        <f>Alex_ITSD_count_data!F49</f>
        <v>Sample</v>
      </c>
      <c r="G49" s="8">
        <f>Alex_ITSD_count_data!G49</f>
        <v>0</v>
      </c>
      <c r="H49" s="8" t="str">
        <f>Alex_ITSD_count_data!H49</f>
        <v>10-0-T</v>
      </c>
      <c r="I49" s="17">
        <f>Alex_ITSD_count_data!Q49</f>
        <v>15652.21</v>
      </c>
      <c r="J49" s="17">
        <f>Alex_ITSD_count_data!R49</f>
        <v>1.7</v>
      </c>
      <c r="K49" s="47">
        <f t="shared" si="18"/>
        <v>1489.060441929505</v>
      </c>
      <c r="L49" s="17">
        <f t="shared" si="20"/>
        <v>5.8932697144933952</v>
      </c>
      <c r="M49" s="17">
        <f>'[1]Alex-Mn_As_data'!P51</f>
        <v>6.0670000000000002</v>
      </c>
      <c r="N49" s="8">
        <v>5</v>
      </c>
      <c r="O49" s="17" t="str">
        <f t="shared" si="51"/>
        <v>NA</v>
      </c>
      <c r="P49" s="17" t="str">
        <f t="shared" si="52"/>
        <v>NA</v>
      </c>
      <c r="Q49" s="2" t="s">
        <v>329</v>
      </c>
      <c r="R49" s="10"/>
      <c r="S49" s="7" t="s">
        <v>256</v>
      </c>
      <c r="T49" s="7" t="s">
        <v>339</v>
      </c>
      <c r="U49" s="7" t="s">
        <v>257</v>
      </c>
      <c r="V49" s="7" t="s">
        <v>260</v>
      </c>
      <c r="W49" s="10" t="s">
        <v>345</v>
      </c>
      <c r="X49" s="7" t="s">
        <v>340</v>
      </c>
      <c r="Y49" s="7" t="s">
        <v>341</v>
      </c>
      <c r="Z49" s="7" t="s">
        <v>261</v>
      </c>
      <c r="AA49" s="7" t="s">
        <v>252</v>
      </c>
      <c r="AB49" s="7" t="s">
        <v>346</v>
      </c>
    </row>
    <row r="50" spans="1:28" x14ac:dyDescent="0.25">
      <c r="A50" s="23">
        <f>Alex_ITSD_count_data!A50</f>
        <v>7.5104166666278616E-2</v>
      </c>
      <c r="B50" s="8" t="str">
        <f>Alex_ITSD_count_data!B50</f>
        <v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v>
      </c>
      <c r="C50" s="8" t="b">
        <f>Alex_ITSD_count_data!C50</f>
        <v>0</v>
      </c>
      <c r="D50" s="8" t="str">
        <f>Alex_ITSD_count_data!D50</f>
        <v>048SMPL.d</v>
      </c>
      <c r="E50" s="11">
        <f>Alex_ITSD_count_data!E50</f>
        <v>45246.555289351854</v>
      </c>
      <c r="F50" s="8" t="str">
        <f>Alex_ITSD_count_data!F50</f>
        <v>Sample</v>
      </c>
      <c r="G50" s="8">
        <f>Alex_ITSD_count_data!G50</f>
        <v>0</v>
      </c>
      <c r="H50" s="8" t="str">
        <f>Alex_ITSD_count_data!H50</f>
        <v>10-10-T</v>
      </c>
      <c r="I50" s="17">
        <f>Alex_ITSD_count_data!Q50</f>
        <v>37412.18</v>
      </c>
      <c r="J50" s="17">
        <f>Alex_ITSD_count_data!R50</f>
        <v>1.6</v>
      </c>
      <c r="K50" s="47">
        <f t="shared" si="18"/>
        <v>23022.845808410246</v>
      </c>
      <c r="L50" s="17">
        <f t="shared" si="20"/>
        <v>14.347660705007661</v>
      </c>
      <c r="M50" s="17">
        <f>'[1]Alex-Mn_As_data'!P52</f>
        <v>14.52</v>
      </c>
      <c r="N50" s="8">
        <v>5</v>
      </c>
      <c r="O50" s="17">
        <f t="shared" si="51"/>
        <v>71.738303525038305</v>
      </c>
      <c r="P50" s="17">
        <f t="shared" si="52"/>
        <v>72.599999999999994</v>
      </c>
      <c r="R50" s="58" t="s">
        <v>330</v>
      </c>
      <c r="S50" s="17">
        <f>AVERAGE(Z3:Z8)</f>
        <v>270573.73166666663</v>
      </c>
      <c r="T50" s="17">
        <f>MEDIAN(Z3:Z8)</f>
        <v>271564.70999999996</v>
      </c>
      <c r="U50" s="17">
        <f>STDEV(Z3:Z8)</f>
        <v>8359.0755044069665</v>
      </c>
      <c r="V50" s="17">
        <f t="shared" ref="V50:V55" si="53">U50/S50*100</f>
        <v>3.0893891483541838</v>
      </c>
      <c r="W50" s="17">
        <f>VAR(Z3:Z8)</f>
        <v>69874143.28837657</v>
      </c>
      <c r="X50" s="17">
        <f>MAX(Z3:Z8)</f>
        <v>279209.90999999997</v>
      </c>
      <c r="Y50" s="17">
        <f>MIN(Z3:Z8)</f>
        <v>259551.1</v>
      </c>
      <c r="Z50" s="17">
        <f t="shared" ref="Z50:Z55" si="54">X50-Y50</f>
        <v>19658.809999999969</v>
      </c>
      <c r="AA50" s="17">
        <f>COUNT(Z3:Z8)</f>
        <v>6</v>
      </c>
      <c r="AB50" s="17">
        <f t="shared" ref="AB50:AB55" si="55">U50/SQRT(AA50)</f>
        <v>3412.5782845324979</v>
      </c>
    </row>
    <row r="51" spans="1:28" x14ac:dyDescent="0.25">
      <c r="A51" s="23">
        <f>Alex_ITSD_count_data!A51</f>
        <v>7.6238425921474118E-2</v>
      </c>
      <c r="B51" s="8" t="str">
        <f>Alex_ITSD_count_data!B51</f>
        <v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v>
      </c>
      <c r="C51" s="8" t="b">
        <f>Alex_ITSD_count_data!C51</f>
        <v>0</v>
      </c>
      <c r="D51" s="8" t="str">
        <f>Alex_ITSD_count_data!D51</f>
        <v>049SMPL.d</v>
      </c>
      <c r="E51" s="11">
        <f>Alex_ITSD_count_data!E51</f>
        <v>45246.556423611109</v>
      </c>
      <c r="F51" s="8" t="str">
        <f>Alex_ITSD_count_data!F51</f>
        <v>Sample</v>
      </c>
      <c r="G51" s="8">
        <f>Alex_ITSD_count_data!G51</f>
        <v>0</v>
      </c>
      <c r="H51" s="8" t="str">
        <f>Alex_ITSD_count_data!H51</f>
        <v>10-20-T</v>
      </c>
      <c r="I51" s="17">
        <f>Alex_ITSD_count_data!Q51</f>
        <v>1759.11</v>
      </c>
      <c r="J51" s="17">
        <f>Alex_ITSD_count_data!R51</f>
        <v>0.9</v>
      </c>
      <c r="K51" s="47">
        <f t="shared" si="18"/>
        <v>-12847.538838797469</v>
      </c>
      <c r="L51" s="17">
        <f t="shared" si="20"/>
        <v>0.49539005425885685</v>
      </c>
      <c r="M51" s="17">
        <f>'[1]Alex-Mn_As_data'!P53</f>
        <v>0.67100000000000004</v>
      </c>
      <c r="N51" s="8">
        <v>5</v>
      </c>
      <c r="O51" s="17" t="str">
        <f t="shared" si="51"/>
        <v>NA</v>
      </c>
      <c r="P51" s="17" t="str">
        <f t="shared" si="52"/>
        <v>NA</v>
      </c>
      <c r="R51" s="58" t="s">
        <v>331</v>
      </c>
      <c r="S51" s="17">
        <f>AVERAGE($L$12,$L$29,$L$41,$L$53,$L$65,$L$81)</f>
        <v>104.9378095767659</v>
      </c>
      <c r="T51" s="17">
        <f>MEDIAN($L$12,$L$29,$L$41,$L$53,$L$65,$L$81)</f>
        <v>105.32283392620792</v>
      </c>
      <c r="U51" s="17">
        <f>STDEV($L$12,$L$29,$L$41,$L$53,$L$65,$L$81)</f>
        <v>3.2477477052352</v>
      </c>
      <c r="V51" s="17">
        <f t="shared" si="53"/>
        <v>3.0949261456228054</v>
      </c>
      <c r="W51" s="17">
        <f>VAR($L$12,$L$29,$L$41,$L$53,$L$65,$L$81)</f>
        <v>10.547865156860508</v>
      </c>
      <c r="X51" s="17">
        <f>MAX($L$12,$L$29,$L$41,$L$53,$L$65,$L$81)</f>
        <v>108.29321991482279</v>
      </c>
      <c r="Y51" s="17">
        <f>MIN($L$12,$L$29,$L$41,$L$53,$L$65,$L$81)</f>
        <v>100.65519163867022</v>
      </c>
      <c r="Z51" s="17">
        <f t="shared" si="54"/>
        <v>7.6380282761525677</v>
      </c>
      <c r="AA51" s="17">
        <f>COUNT($L$12,$L$29,$L$41,$L$53,$L$65,$L$81)</f>
        <v>6</v>
      </c>
      <c r="AB51" s="17">
        <f t="shared" si="55"/>
        <v>1.3258874485202046</v>
      </c>
    </row>
    <row r="52" spans="1:28" x14ac:dyDescent="0.25">
      <c r="A52" s="23">
        <f>Alex_ITSD_count_data!A52</f>
        <v>8.0856481479713693E-2</v>
      </c>
      <c r="B52" s="8" t="str">
        <f>Alex_ITSD_count_data!B52</f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C52" s="8" t="b">
        <f>Alex_ITSD_count_data!C52</f>
        <v>0</v>
      </c>
      <c r="D52" s="8" t="str">
        <f>Alex_ITSD_count_data!D52</f>
        <v>050SMPL.d</v>
      </c>
      <c r="E52" s="11">
        <f>Alex_ITSD_count_data!E52</f>
        <v>45246.561041666668</v>
      </c>
      <c r="F52" s="8" t="str">
        <f>Alex_ITSD_count_data!F52</f>
        <v>Sample</v>
      </c>
      <c r="G52" s="8">
        <f>Alex_ITSD_count_data!G52</f>
        <v>0</v>
      </c>
      <c r="H52" s="40" t="str">
        <f>Alex_ITSD_count_data!H52</f>
        <v xml:space="preserve">blk </v>
      </c>
      <c r="I52" s="43">
        <f>Alex_ITSD_count_data!Q52</f>
        <v>35</v>
      </c>
      <c r="J52" s="43">
        <f>Alex_ITSD_count_data!R52</f>
        <v>20.6</v>
      </c>
      <c r="K52" s="48">
        <f t="shared" si="18"/>
        <v>-15456.429906113059</v>
      </c>
      <c r="L52" s="43">
        <f>(I52-$AP$30)*(1/$AO$30)</f>
        <v>-0.1744775995410128</v>
      </c>
      <c r="M52" s="43">
        <f>'[1]Alex-Mn_As_data'!P54</f>
        <v>1E-3</v>
      </c>
      <c r="N52" s="8"/>
      <c r="O52" s="17"/>
      <c r="P52" s="17"/>
      <c r="R52" s="58" t="s">
        <v>332</v>
      </c>
      <c r="S52" s="17">
        <f>AVERAGE($M$12,$M$29,$M$41,$M$53,$M$65,$M$81)</f>
        <v>105.08900000000001</v>
      </c>
      <c r="T52" s="17">
        <f>MEDIAN($M$12,$M$29,$M$41,$M$53,$M$65,$M$81)</f>
        <v>105.474</v>
      </c>
      <c r="U52" s="17">
        <f>STDEV($M$12,$M$29,$M$41,$M$53,$M$65,$M$81)</f>
        <v>3.2473368165313561</v>
      </c>
      <c r="V52" s="17">
        <f t="shared" si="53"/>
        <v>3.0900825172295443</v>
      </c>
      <c r="W52" s="17">
        <f>VAR($M$12,$M$29,$M$41,$M$53,$M$65,$M$81)</f>
        <v>10.545196400000002</v>
      </c>
      <c r="X52" s="17">
        <f>MAX($M$12,$M$29,$M$41,$M$53,$M$65,$M$81)</f>
        <v>108.444</v>
      </c>
      <c r="Y52" s="17">
        <f>MIN($M$12,$M$29,$M$41,$M$53,$M$65,$M$81)</f>
        <v>100.807</v>
      </c>
      <c r="Z52" s="17">
        <f t="shared" si="54"/>
        <v>7.6370000000000005</v>
      </c>
      <c r="AA52" s="17">
        <f>COUNT($M$12,$M$29,$M$41,$M$53,$M$65,$M$81)</f>
        <v>6</v>
      </c>
      <c r="AB52" s="17">
        <f t="shared" si="55"/>
        <v>1.3257197039092894</v>
      </c>
    </row>
    <row r="53" spans="1:28" x14ac:dyDescent="0.25">
      <c r="A53" s="23">
        <f>Alex_ITSD_count_data!A53</f>
        <v>8.2002314811688848E-2</v>
      </c>
      <c r="B53" s="8" t="str">
        <f>Alex_ITSD_count_data!B53</f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C53" s="8" t="b">
        <f>Alex_ITSD_count_data!C53</f>
        <v>0</v>
      </c>
      <c r="D53" s="8" t="str">
        <f>Alex_ITSD_count_data!D53</f>
        <v>051SMPL.d</v>
      </c>
      <c r="E53" s="11">
        <f>Alex_ITSD_count_data!E53</f>
        <v>45246.5621875</v>
      </c>
      <c r="F53" s="8" t="str">
        <f>Alex_ITSD_count_data!F53</f>
        <v>Sample</v>
      </c>
      <c r="G53" s="8">
        <f>Alex_ITSD_count_data!G53</f>
        <v>0</v>
      </c>
      <c r="H53" s="8" t="str">
        <f>Alex_ITSD_count_data!H53</f>
        <v>100 ppb check</v>
      </c>
      <c r="I53" s="17">
        <f>Alex_ITSD_count_data!Q53</f>
        <v>279209.90999999997</v>
      </c>
      <c r="J53" s="17">
        <f>Alex_ITSD_count_data!R53</f>
        <v>1.3</v>
      </c>
      <c r="K53" s="47">
        <f t="shared" si="18"/>
        <v>263498.94794975279</v>
      </c>
      <c r="L53" s="17">
        <f t="shared" si="20"/>
        <v>108.29321991482279</v>
      </c>
      <c r="M53" s="17">
        <f>'[1]Alex-Mn_As_data'!P55</f>
        <v>108.444</v>
      </c>
      <c r="N53" s="8"/>
      <c r="O53" s="17"/>
      <c r="P53" s="17"/>
      <c r="R53" s="58" t="s">
        <v>333</v>
      </c>
      <c r="S53" s="17">
        <f>AVERAGE(Z15:Z24)</f>
        <v>4243.9639999999999</v>
      </c>
      <c r="T53" s="17">
        <f>MEDIAN(Z15:Z24)</f>
        <v>121.83500000000001</v>
      </c>
      <c r="U53" s="17">
        <f>STDEV(Z15:Z24)</f>
        <v>8328.7985426286632</v>
      </c>
      <c r="V53" s="17">
        <f t="shared" si="53"/>
        <v>196.2504522335407</v>
      </c>
      <c r="W53" s="17">
        <f>VAR(Z15:Z24)</f>
        <v>69368885.163693339</v>
      </c>
      <c r="X53" s="17">
        <f>MAX(Z15:Z24)</f>
        <v>26000.47</v>
      </c>
      <c r="Y53" s="17">
        <f>MIN(Z15:Z24)</f>
        <v>16.670000000000002</v>
      </c>
      <c r="Z53" s="17">
        <f t="shared" si="54"/>
        <v>25983.800000000003</v>
      </c>
      <c r="AA53" s="17">
        <f>COUNT(Z15:Z24)</f>
        <v>10</v>
      </c>
      <c r="AB53" s="17">
        <f t="shared" si="55"/>
        <v>2633.7973567397576</v>
      </c>
    </row>
    <row r="54" spans="1:28" x14ac:dyDescent="0.25">
      <c r="A54" s="23">
        <f>Alex_ITSD_count_data!A54</f>
        <v>8.3136574074160308E-2</v>
      </c>
      <c r="B54" s="8" t="str">
        <f>Alex_ITSD_count_data!B54</f>
        <v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v>
      </c>
      <c r="C54" s="8" t="b">
        <f>Alex_ITSD_count_data!C54</f>
        <v>0</v>
      </c>
      <c r="D54" s="8" t="str">
        <f>Alex_ITSD_count_data!D54</f>
        <v>052SMPL.d</v>
      </c>
      <c r="E54" s="11">
        <f>Alex_ITSD_count_data!E54</f>
        <v>45246.563321759262</v>
      </c>
      <c r="F54" s="8" t="str">
        <f>Alex_ITSD_count_data!F54</f>
        <v>Sample</v>
      </c>
      <c r="G54" s="8">
        <f>Alex_ITSD_count_data!G54</f>
        <v>0</v>
      </c>
      <c r="H54" s="8" t="str">
        <f>Alex_ITSD_count_data!H54</f>
        <v>10-30-T</v>
      </c>
      <c r="I54" s="17">
        <f>Alex_ITSD_count_data!Q54</f>
        <v>8672.6299999999992</v>
      </c>
      <c r="J54" s="17">
        <f>Alex_ITSD_count_data!R54</f>
        <v>1</v>
      </c>
      <c r="K54" s="47">
        <f t="shared" si="18"/>
        <v>-7255.6466988488919</v>
      </c>
      <c r="L54" s="17">
        <f t="shared" si="20"/>
        <v>3.1814967538885059</v>
      </c>
      <c r="M54" s="17">
        <f>'[1]Alex-Mn_As_data'!P56</f>
        <v>3.3559999999999999</v>
      </c>
      <c r="N54" s="8">
        <v>5</v>
      </c>
      <c r="O54" s="17" t="str">
        <f t="shared" ref="O54:O63" si="56">IF(L54 &lt; $S$44, "NA", N54*L54)</f>
        <v>NA</v>
      </c>
      <c r="P54" s="17" t="str">
        <f t="shared" ref="P54:P63" si="57">IF(M54 &lt; $S$45, "NA", N54*M54)</f>
        <v>NA</v>
      </c>
      <c r="R54" s="58" t="s">
        <v>334</v>
      </c>
      <c r="S54" s="17">
        <f>AVERAGE($L$15,$L$17,$L$28,$L$40,$L$52,$L$64,$L$80,$L$84,$L$85,$L$86)</f>
        <v>1.4608292194021608</v>
      </c>
      <c r="T54" s="17">
        <f>MEDIAN($L$15,$L$17,$L$28,$L$40,$L$52,$L$64,$L$80,$L$84,$L$85,$L$86)</f>
        <v>-0.14073963750975513</v>
      </c>
      <c r="U54" s="17">
        <f>STDEV($L$15,$L$17,$L$28,$L$40,$L$52,$L$64,$L$80,$L$84,$L$85,$L$86)</f>
        <v>3.2359842114032378</v>
      </c>
      <c r="V54" s="17">
        <f t="shared" si="53"/>
        <v>221.51694177691442</v>
      </c>
      <c r="W54" s="17">
        <f>VAR($L$15,$L$17,$L$28,$L$40,$L$52,$L$64,$L$80,$L$84,$L$85,$L$86)</f>
        <v>10.471593816451035</v>
      </c>
      <c r="X54" s="17">
        <f>MAX($L$15,$L$17,$L$28,$L$40,$L$52,$L$64,$L$80,$L$84,$L$85,$L$86)</f>
        <v>9.9138743436127896</v>
      </c>
      <c r="Y54" s="17">
        <f>MIN($L$15,$L$17,$L$28,$L$40,$L$52,$L$64,$L$80,$L$84,$L$85,$L$86)</f>
        <v>-0.18159934588791155</v>
      </c>
      <c r="Z54" s="17">
        <f t="shared" si="54"/>
        <v>10.095473689500702</v>
      </c>
      <c r="AA54" s="17">
        <f>COUNT($L$15,$L$17,$L$28,$L$40,$L$52,$L$64,$L$80,$L$84,$L$85,$L$86)</f>
        <v>10</v>
      </c>
      <c r="AB54" s="17">
        <f t="shared" si="55"/>
        <v>1.0233080580378049</v>
      </c>
    </row>
    <row r="55" spans="1:28" x14ac:dyDescent="0.25">
      <c r="A55" s="23">
        <f>Alex_ITSD_count_data!A55</f>
        <v>8.427083332935581E-2</v>
      </c>
      <c r="B55" s="8" t="str">
        <f>Alex_ITSD_count_data!B55</f>
        <v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v>
      </c>
      <c r="C55" s="8" t="b">
        <f>Alex_ITSD_count_data!C55</f>
        <v>0</v>
      </c>
      <c r="D55" s="8" t="str">
        <f>Alex_ITSD_count_data!D55</f>
        <v>053SMPL.d</v>
      </c>
      <c r="E55" s="11">
        <f>Alex_ITSD_count_data!E55</f>
        <v>45246.564456018517</v>
      </c>
      <c r="F55" s="8" t="str">
        <f>Alex_ITSD_count_data!F55</f>
        <v>Sample</v>
      </c>
      <c r="G55" s="8">
        <f>Alex_ITSD_count_data!G55</f>
        <v>0</v>
      </c>
      <c r="H55" s="8" t="str">
        <f>Alex_ITSD_count_data!H55</f>
        <v>10-40-T</v>
      </c>
      <c r="I55" s="17">
        <f>Alex_ITSD_count_data!Q55</f>
        <v>45186.41</v>
      </c>
      <c r="J55" s="17">
        <f>Alex_ITSD_count_data!R55</f>
        <v>0.8</v>
      </c>
      <c r="K55" s="47">
        <f t="shared" si="18"/>
        <v>29040.818653943395</v>
      </c>
      <c r="L55" s="17">
        <f t="shared" si="20"/>
        <v>17.368178659314847</v>
      </c>
      <c r="M55" s="17">
        <f>'[1]Alex-Mn_As_data'!P57</f>
        <v>17.54</v>
      </c>
      <c r="N55" s="8">
        <v>5</v>
      </c>
      <c r="O55" s="17">
        <f t="shared" si="56"/>
        <v>86.840893296574237</v>
      </c>
      <c r="P55" s="17">
        <f t="shared" si="57"/>
        <v>87.699999999999989</v>
      </c>
      <c r="R55" s="58" t="s">
        <v>335</v>
      </c>
      <c r="S55" s="17">
        <f>AVERAGE($M$15,$M$17,$M$28,$M$40,$M$52,$M$64,$M$80,$M$84,$M$85,$M$86)</f>
        <v>2.0458750000000001</v>
      </c>
      <c r="T55" s="17">
        <f>MEDIAN($M$15,$M$17,$M$28,$M$40,$M$52,$M$64,$M$80,$M$84,$M$85,$M$86)</f>
        <v>0.13650000000000001</v>
      </c>
      <c r="U55" s="17">
        <f>STDEV($M$15,$M$17,$M$28,$M$40,$M$52,$M$64,$M$80,$M$84,$M$85,$M$86)</f>
        <v>3.5350685763200853</v>
      </c>
      <c r="V55" s="17">
        <f t="shared" si="53"/>
        <v>172.79005688617758</v>
      </c>
      <c r="W55" s="17">
        <f>VAR($M$15,$M$17,$M$28,$M$40,$M$52,$M$64,$M$80,$M$84,$M$85,$M$86)</f>
        <v>12.496709839285714</v>
      </c>
      <c r="X55" s="17">
        <f>MAX($M$15,$M$17,$M$28,$M$40,$M$52,$M$64,$M$80,$M$84,$M$85,$M$86)</f>
        <v>10.087</v>
      </c>
      <c r="Y55" s="17">
        <f>MIN($M$15,$M$17,$M$28,$M$40,$M$52,$M$64,$M$80,$M$84,$M$85,$M$86)</f>
        <v>1E-3</v>
      </c>
      <c r="Z55" s="17">
        <f t="shared" si="54"/>
        <v>10.086</v>
      </c>
      <c r="AA55" s="17">
        <f>COUNT($M$15,$M$17,$M$28,$M$40,$M$52,$M$64,$M$80,$M$84,$M$85,$M$86)</f>
        <v>8</v>
      </c>
      <c r="AB55" s="17">
        <f t="shared" si="55"/>
        <v>1.2498354811377033</v>
      </c>
    </row>
    <row r="56" spans="1:28" x14ac:dyDescent="0.25">
      <c r="A56" s="23">
        <f>Alex_ITSD_count_data!A56</f>
        <v>8.5451388884393964E-2</v>
      </c>
      <c r="B56" s="8" t="str">
        <f>Alex_ITSD_count_data!B56</f>
        <v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v>
      </c>
      <c r="C56" s="8" t="b">
        <f>Alex_ITSD_count_data!C56</f>
        <v>0</v>
      </c>
      <c r="D56" s="8" t="str">
        <f>Alex_ITSD_count_data!D56</f>
        <v>054SMPL.d</v>
      </c>
      <c r="E56" s="11">
        <f>Alex_ITSD_count_data!E56</f>
        <v>45246.565636574072</v>
      </c>
      <c r="F56" s="8" t="str">
        <f>Alex_ITSD_count_data!F56</f>
        <v>Sample</v>
      </c>
      <c r="G56" s="8">
        <f>Alex_ITSD_count_data!G56</f>
        <v>0</v>
      </c>
      <c r="H56" s="8" t="str">
        <f>Alex_ITSD_count_data!H56</f>
        <v>10-50-T</v>
      </c>
      <c r="I56" s="17">
        <f>Alex_ITSD_count_data!Q56</f>
        <v>40350.76</v>
      </c>
      <c r="J56" s="17">
        <f>Alex_ITSD_count_data!R56</f>
        <v>0.2</v>
      </c>
      <c r="K56" s="47">
        <f t="shared" si="18"/>
        <v>23978.984020424134</v>
      </c>
      <c r="L56" s="17">
        <f t="shared" si="20"/>
        <v>15.489385821214412</v>
      </c>
      <c r="M56" s="17">
        <f>'[1]Alex-Mn_As_data'!P58</f>
        <v>15.661</v>
      </c>
      <c r="N56" s="8">
        <v>5</v>
      </c>
      <c r="O56" s="17">
        <f t="shared" si="56"/>
        <v>77.446929106072062</v>
      </c>
      <c r="P56" s="17">
        <f t="shared" si="57"/>
        <v>78.304999999999993</v>
      </c>
      <c r="V56"/>
    </row>
    <row r="57" spans="1:28" x14ac:dyDescent="0.25">
      <c r="A57" s="23">
        <f>Alex_ITSD_count_data!A57</f>
        <v>8.6585648146865424E-2</v>
      </c>
      <c r="B57" s="8" t="str">
        <f>Alex_ITSD_count_data!B57</f>
        <v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v>
      </c>
      <c r="C57" s="8" t="b">
        <f>Alex_ITSD_count_data!C57</f>
        <v>0</v>
      </c>
      <c r="D57" s="8" t="str">
        <f>Alex_ITSD_count_data!D57</f>
        <v>055SMPL.d</v>
      </c>
      <c r="E57" s="11">
        <f>Alex_ITSD_count_data!E57</f>
        <v>45246.566770833335</v>
      </c>
      <c r="F57" s="8" t="str">
        <f>Alex_ITSD_count_data!F57</f>
        <v>Sample</v>
      </c>
      <c r="G57" s="8">
        <f>Alex_ITSD_count_data!G57</f>
        <v>0</v>
      </c>
      <c r="H57" s="8" t="str">
        <f>Alex_ITSD_count_data!H57</f>
        <v>10-80-T</v>
      </c>
      <c r="I57" s="17">
        <f>Alex_ITSD_count_data!Q57</f>
        <v>12307.29</v>
      </c>
      <c r="J57" s="17">
        <f>Alex_ITSD_count_data!R57</f>
        <v>1.3</v>
      </c>
      <c r="K57" s="47">
        <f t="shared" si="18"/>
        <v>-4281.8006281775924</v>
      </c>
      <c r="L57" s="17">
        <f t="shared" si="20"/>
        <v>4.593669507692054</v>
      </c>
      <c r="M57" s="17">
        <f>'[1]Alex-Mn_As_data'!P59</f>
        <v>4.7679999999999998</v>
      </c>
      <c r="N57" s="8">
        <v>5</v>
      </c>
      <c r="O57" s="17" t="str">
        <f t="shared" si="56"/>
        <v>NA</v>
      </c>
      <c r="P57" s="17" t="str">
        <f t="shared" si="57"/>
        <v>NA</v>
      </c>
      <c r="R57" s="11"/>
      <c r="S57" s="7" t="s">
        <v>325</v>
      </c>
      <c r="T57" s="7" t="s">
        <v>338</v>
      </c>
      <c r="U57" s="7" t="s">
        <v>336</v>
      </c>
      <c r="V57" s="7" t="s">
        <v>343</v>
      </c>
      <c r="W57" s="7" t="s">
        <v>344</v>
      </c>
      <c r="X57" s="7" t="s">
        <v>347</v>
      </c>
      <c r="Y57" s="7" t="s">
        <v>348</v>
      </c>
    </row>
    <row r="58" spans="1:28" x14ac:dyDescent="0.25">
      <c r="A58" s="23">
        <f>Alex_ITSD_count_data!A58</f>
        <v>8.7719907402060926E-2</v>
      </c>
      <c r="B58" s="8" t="str">
        <f>Alex_ITSD_count_data!B58</f>
        <v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v>
      </c>
      <c r="C58" s="8" t="b">
        <f>Alex_ITSD_count_data!C58</f>
        <v>0</v>
      </c>
      <c r="D58" s="8" t="str">
        <f>Alex_ITSD_count_data!D58</f>
        <v>056SMPL.d</v>
      </c>
      <c r="E58" s="11">
        <f>Alex_ITSD_count_data!E58</f>
        <v>45246.56790509259</v>
      </c>
      <c r="F58" s="8" t="str">
        <f>Alex_ITSD_count_data!F58</f>
        <v>Sample</v>
      </c>
      <c r="G58" s="8">
        <f>Alex_ITSD_count_data!G58</f>
        <v>0</v>
      </c>
      <c r="H58" s="8" t="str">
        <f>Alex_ITSD_count_data!H58</f>
        <v>10-100-T</v>
      </c>
      <c r="I58" s="17">
        <f>Alex_ITSD_count_data!Q58</f>
        <v>7992.58</v>
      </c>
      <c r="J58" s="17">
        <f>Alex_ITSD_count_data!R58</f>
        <v>1.6</v>
      </c>
      <c r="K58" s="47">
        <f t="shared" si="18"/>
        <v>-8813.8252753853103</v>
      </c>
      <c r="L58" s="17">
        <f t="shared" si="20"/>
        <v>2.9172772447118289</v>
      </c>
      <c r="M58" s="17">
        <f>'[1]Alex-Mn_As_data'!P60</f>
        <v>3.0920000000000001</v>
      </c>
      <c r="N58" s="8">
        <v>5</v>
      </c>
      <c r="O58" s="17" t="str">
        <f t="shared" si="56"/>
        <v>NA</v>
      </c>
      <c r="P58" s="17" t="str">
        <f t="shared" si="57"/>
        <v>NA</v>
      </c>
      <c r="R58" s="58" t="s">
        <v>337</v>
      </c>
      <c r="S58" s="17">
        <f>L16</f>
        <v>9.8264280015344223</v>
      </c>
      <c r="T58" s="17">
        <f>M16</f>
        <v>10</v>
      </c>
      <c r="U58" s="52">
        <v>97000</v>
      </c>
      <c r="V58" s="52">
        <v>5000</v>
      </c>
      <c r="W58" s="17">
        <f>U58/(100*100)</f>
        <v>9.6999999999999993</v>
      </c>
      <c r="X58" s="17">
        <f>T58/W58 *100</f>
        <v>103.09278350515466</v>
      </c>
      <c r="Y58" s="17">
        <f>S58/W58 *100</f>
        <v>101.30338145911777</v>
      </c>
    </row>
    <row r="59" spans="1:28" x14ac:dyDescent="0.25">
      <c r="A59" s="23">
        <f>Alex_ITSD_count_data!A59</f>
        <v>8.8854166664532386E-2</v>
      </c>
      <c r="B59" s="8" t="str">
        <f>Alex_ITSD_count_data!B59</f>
        <v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v>
      </c>
      <c r="C59" s="8" t="b">
        <f>Alex_ITSD_count_data!C59</f>
        <v>0</v>
      </c>
      <c r="D59" s="8" t="str">
        <f>Alex_ITSD_count_data!D59</f>
        <v>057SMPL.d</v>
      </c>
      <c r="E59" s="11">
        <f>Alex_ITSD_count_data!E59</f>
        <v>45246.569039351853</v>
      </c>
      <c r="F59" s="8" t="str">
        <f>Alex_ITSD_count_data!F59</f>
        <v>Sample</v>
      </c>
      <c r="G59" s="8">
        <f>Alex_ITSD_count_data!G59</f>
        <v>0</v>
      </c>
      <c r="H59" s="8" t="str">
        <f>Alex_ITSD_count_data!H59</f>
        <v>10-90-T</v>
      </c>
      <c r="I59" s="17">
        <f>Alex_ITSD_count_data!Q59</f>
        <v>409.01</v>
      </c>
      <c r="J59" s="17">
        <f>Alex_ITSD_count_data!R59</f>
        <v>2.6</v>
      </c>
      <c r="K59" s="47">
        <f t="shared" si="18"/>
        <v>-16614.70992398704</v>
      </c>
      <c r="L59" s="17">
        <f t="shared" si="20"/>
        <v>-2.9163668760674399E-2</v>
      </c>
      <c r="M59" s="17">
        <f>'[1]Alex-Mn_As_data'!P61</f>
        <v>0.14599999999999999</v>
      </c>
      <c r="N59" s="8">
        <v>5</v>
      </c>
      <c r="O59" s="17" t="str">
        <f t="shared" si="56"/>
        <v>NA</v>
      </c>
      <c r="P59" s="17" t="str">
        <f t="shared" si="57"/>
        <v>NA</v>
      </c>
      <c r="R59" s="58" t="s">
        <v>342</v>
      </c>
      <c r="S59" s="17">
        <f>S51</f>
        <v>104.9378095767659</v>
      </c>
      <c r="T59" s="17">
        <f>S52</f>
        <v>105.08900000000001</v>
      </c>
      <c r="U59" s="52">
        <v>98000</v>
      </c>
      <c r="V59" s="52">
        <v>3000</v>
      </c>
      <c r="W59" s="17">
        <f>U59/(100*10)</f>
        <v>98</v>
      </c>
      <c r="X59" s="17">
        <f>T59/W59 *100</f>
        <v>107.23367346938777</v>
      </c>
      <c r="Y59" s="17">
        <f>S59/W59 *100</f>
        <v>107.07939752731215</v>
      </c>
    </row>
    <row r="60" spans="1:28" x14ac:dyDescent="0.25">
      <c r="A60" s="23">
        <f>Alex_ITSD_count_data!A60</f>
        <v>9.0046296296350192E-2</v>
      </c>
      <c r="B60" s="8" t="str">
        <f>Alex_ITSD_count_data!B60</f>
        <v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v>
      </c>
      <c r="C60" s="8" t="b">
        <f>Alex_ITSD_count_data!C60</f>
        <v>0</v>
      </c>
      <c r="D60" s="8" t="str">
        <f>Alex_ITSD_count_data!D60</f>
        <v>058SMPL.d</v>
      </c>
      <c r="E60" s="11">
        <f>Alex_ITSD_count_data!E60</f>
        <v>45246.570231481484</v>
      </c>
      <c r="F60" s="8" t="str">
        <f>Alex_ITSD_count_data!F60</f>
        <v>Sample</v>
      </c>
      <c r="G60" s="8">
        <f>Alex_ITSD_count_data!G60</f>
        <v>0</v>
      </c>
      <c r="H60" s="8" t="str">
        <f>Alex_ITSD_count_data!H60</f>
        <v>10-60-T</v>
      </c>
      <c r="I60" s="17">
        <f>Alex_ITSD_count_data!Q60</f>
        <v>14564.4</v>
      </c>
      <c r="J60" s="17">
        <f>Alex_ITSD_count_data!R60</f>
        <v>1.4</v>
      </c>
      <c r="K60" s="47">
        <f t="shared" si="18"/>
        <v>-2687.7220544326901</v>
      </c>
      <c r="L60" s="17">
        <f t="shared" si="20"/>
        <v>5.4706234027847245</v>
      </c>
      <c r="M60" s="17">
        <f>'[1]Alex-Mn_As_data'!P62</f>
        <v>5.6449999999999996</v>
      </c>
      <c r="N60" s="8">
        <v>5</v>
      </c>
      <c r="O60" s="17" t="str">
        <f t="shared" si="56"/>
        <v>NA</v>
      </c>
      <c r="P60" s="17" t="str">
        <f t="shared" si="57"/>
        <v>NA</v>
      </c>
    </row>
    <row r="61" spans="1:28" x14ac:dyDescent="0.25">
      <c r="A61" s="23">
        <f>Alex_ITSD_count_data!A61</f>
        <v>9.1180555551545694E-2</v>
      </c>
      <c r="B61" s="8" t="str">
        <f>Alex_ITSD_count_data!B61</f>
        <v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v>
      </c>
      <c r="C61" s="8" t="b">
        <f>Alex_ITSD_count_data!C61</f>
        <v>0</v>
      </c>
      <c r="D61" s="8" t="str">
        <f>Alex_ITSD_count_data!D61</f>
        <v>059SMPL.d</v>
      </c>
      <c r="E61" s="11">
        <f>Alex_ITSD_count_data!E61</f>
        <v>45246.57136574074</v>
      </c>
      <c r="F61" s="8" t="str">
        <f>Alex_ITSD_count_data!F61</f>
        <v>Sample</v>
      </c>
      <c r="G61" s="8">
        <f>Alex_ITSD_count_data!G61</f>
        <v>0</v>
      </c>
      <c r="H61" s="8" t="str">
        <f>Alex_ITSD_count_data!H61</f>
        <v>10-70-T</v>
      </c>
      <c r="I61" s="17">
        <f>Alex_ITSD_count_data!Q61</f>
        <v>37522.51</v>
      </c>
      <c r="J61" s="17">
        <f>Alex_ITSD_count_data!R61</f>
        <v>2.4</v>
      </c>
      <c r="K61" s="47">
        <f t="shared" si="18"/>
        <v>20053.073298359599</v>
      </c>
      <c r="L61" s="17">
        <f t="shared" si="20"/>
        <v>14.390527168425738</v>
      </c>
      <c r="M61" s="17">
        <f>'[1]Alex-Mn_As_data'!P63</f>
        <v>14.563000000000001</v>
      </c>
      <c r="N61" s="8">
        <v>5</v>
      </c>
      <c r="O61" s="17">
        <f t="shared" si="56"/>
        <v>71.952635842128686</v>
      </c>
      <c r="P61" s="17">
        <f t="shared" si="57"/>
        <v>72.814999999999998</v>
      </c>
    </row>
    <row r="62" spans="1:28" x14ac:dyDescent="0.25">
      <c r="A62" s="23">
        <f>Alex_ITSD_count_data!A62</f>
        <v>9.2303240737237502E-2</v>
      </c>
      <c r="B62" s="8" t="str">
        <f>Alex_ITSD_count_data!B62</f>
        <v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v>
      </c>
      <c r="C62" s="8" t="b">
        <f>Alex_ITSD_count_data!C62</f>
        <v>0</v>
      </c>
      <c r="D62" s="8" t="str">
        <f>Alex_ITSD_count_data!D62</f>
        <v>060SMPL.d</v>
      </c>
      <c r="E62" s="11">
        <f>Alex_ITSD_count_data!E62</f>
        <v>45246.572488425925</v>
      </c>
      <c r="F62" s="8" t="str">
        <f>Alex_ITSD_count_data!F62</f>
        <v>Sample</v>
      </c>
      <c r="G62" s="8">
        <f>Alex_ITSD_count_data!G62</f>
        <v>0</v>
      </c>
      <c r="H62" s="8" t="str">
        <f>Alex_ITSD_count_data!H62</f>
        <v>10-0-B</v>
      </c>
      <c r="I62" s="17">
        <f>Alex_ITSD_count_data!Q62</f>
        <v>7019.4</v>
      </c>
      <c r="J62" s="17">
        <f>Alex_ITSD_count_data!R62</f>
        <v>0.9</v>
      </c>
      <c r="K62" s="47">
        <f t="shared" si="18"/>
        <v>-10665.133853315741</v>
      </c>
      <c r="L62" s="17">
        <f t="shared" si="20"/>
        <v>2.5391680734147788</v>
      </c>
      <c r="M62" s="17">
        <f>'[1]Alex-Mn_As_data'!P64</f>
        <v>2.714</v>
      </c>
      <c r="N62" s="8">
        <v>5</v>
      </c>
      <c r="O62" s="17" t="str">
        <f t="shared" si="56"/>
        <v>NA</v>
      </c>
      <c r="P62" s="17" t="str">
        <f t="shared" si="57"/>
        <v>NA</v>
      </c>
    </row>
    <row r="63" spans="1:28" x14ac:dyDescent="0.25">
      <c r="A63" s="23">
        <f>Alex_ITSD_count_data!A63</f>
        <v>9.3425925922929309E-2</v>
      </c>
      <c r="B63" s="8" t="str">
        <f>Alex_ITSD_count_data!B63</f>
        <v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v>
      </c>
      <c r="C63" s="8" t="b">
        <f>Alex_ITSD_count_data!C63</f>
        <v>0</v>
      </c>
      <c r="D63" s="8" t="str">
        <f>Alex_ITSD_count_data!D63</f>
        <v>061SMPL.d</v>
      </c>
      <c r="E63" s="11">
        <f>Alex_ITSD_count_data!E63</f>
        <v>45246.573611111111</v>
      </c>
      <c r="F63" s="8" t="str">
        <f>Alex_ITSD_count_data!F63</f>
        <v>Sample</v>
      </c>
      <c r="G63" s="8">
        <f>Alex_ITSD_count_data!G63</f>
        <v>0</v>
      </c>
      <c r="H63" s="8" t="str">
        <f>Alex_ITSD_count_data!H63</f>
        <v>10-20-B</v>
      </c>
      <c r="I63" s="17">
        <f>Alex_ITSD_count_data!Q63</f>
        <v>8171.34</v>
      </c>
      <c r="J63" s="17">
        <f>Alex_ITSD_count_data!R63</f>
        <v>1.5</v>
      </c>
      <c r="K63" s="47">
        <f t="shared" si="18"/>
        <v>-9728.2910049910788</v>
      </c>
      <c r="L63" s="17">
        <f t="shared" si="20"/>
        <v>2.9867307840992607</v>
      </c>
      <c r="M63" s="17">
        <f>'[1]Alex-Mn_As_data'!P65</f>
        <v>3.1619999999999999</v>
      </c>
      <c r="N63" s="8">
        <v>5</v>
      </c>
      <c r="O63" s="17" t="str">
        <f t="shared" si="56"/>
        <v>NA</v>
      </c>
      <c r="P63" s="17" t="str">
        <f t="shared" si="57"/>
        <v>NA</v>
      </c>
    </row>
    <row r="64" spans="1:28" x14ac:dyDescent="0.25">
      <c r="A64" s="23">
        <f>Alex_ITSD_count_data!A64</f>
        <v>9.4606481477967463E-2</v>
      </c>
      <c r="B64" s="8" t="str">
        <f>Alex_ITSD_count_data!B64</f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C64" s="8" t="b">
        <f>Alex_ITSD_count_data!C64</f>
        <v>0</v>
      </c>
      <c r="D64" s="8" t="str">
        <f>Alex_ITSD_count_data!D64</f>
        <v>062SMPL.d</v>
      </c>
      <c r="E64" s="11">
        <f>Alex_ITSD_count_data!E64</f>
        <v>45246.574791666666</v>
      </c>
      <c r="F64" s="8" t="str">
        <f>Alex_ITSD_count_data!F64</f>
        <v>Sample</v>
      </c>
      <c r="G64" s="8">
        <f>Alex_ITSD_count_data!G64</f>
        <v>0</v>
      </c>
      <c r="H64" s="40" t="str">
        <f>Alex_ITSD_count_data!H64</f>
        <v xml:space="preserve">blk </v>
      </c>
      <c r="I64" s="43">
        <f>Alex_ITSD_count_data!Q64</f>
        <v>76.67</v>
      </c>
      <c r="J64" s="43">
        <f>Alex_ITSD_count_data!R64</f>
        <v>7.6</v>
      </c>
      <c r="K64" s="48">
        <f t="shared" si="18"/>
        <v>-18049.145638510345</v>
      </c>
      <c r="L64" s="43">
        <f t="shared" si="20"/>
        <v>-0.15828757388496964</v>
      </c>
      <c r="M64" s="43">
        <f>'[1]Alex-Mn_As_data'!P66</f>
        <v>1.7000000000000001E-2</v>
      </c>
      <c r="N64" s="8"/>
      <c r="O64" s="17"/>
      <c r="P64" s="17"/>
    </row>
    <row r="65" spans="1:16" x14ac:dyDescent="0.25">
      <c r="A65" s="23">
        <f>Alex_ITSD_count_data!A65</f>
        <v>9.5740740740438923E-2</v>
      </c>
      <c r="B65" s="8" t="str">
        <f>Alex_ITSD_count_data!B65</f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C65" s="8" t="b">
        <f>Alex_ITSD_count_data!C65</f>
        <v>0</v>
      </c>
      <c r="D65" s="8" t="str">
        <f>Alex_ITSD_count_data!D65</f>
        <v>063SMPL.d</v>
      </c>
      <c r="E65" s="11">
        <f>Alex_ITSD_count_data!E65</f>
        <v>45246.575925925928</v>
      </c>
      <c r="F65" s="8" t="str">
        <f>Alex_ITSD_count_data!F65</f>
        <v>Sample</v>
      </c>
      <c r="G65" s="8">
        <f>Alex_ITSD_count_data!G65</f>
        <v>0</v>
      </c>
      <c r="H65" s="8" t="str">
        <f>Alex_ITSD_count_data!H65</f>
        <v>100 ppb check</v>
      </c>
      <c r="I65" s="17">
        <f>Alex_ITSD_count_data!Q65</f>
        <v>279207.51</v>
      </c>
      <c r="J65" s="17">
        <f>Alex_ITSD_count_data!R65</f>
        <v>4.5</v>
      </c>
      <c r="K65" s="47">
        <f t="shared" si="18"/>
        <v>260864.37971288792</v>
      </c>
      <c r="L65" s="17">
        <f t="shared" si="20"/>
        <v>108.29228744394268</v>
      </c>
      <c r="M65" s="17">
        <f>'[1]Alex-Mn_As_data'!P67</f>
        <v>108.443</v>
      </c>
      <c r="N65" s="8"/>
      <c r="O65" s="17"/>
      <c r="P65" s="17"/>
    </row>
    <row r="66" spans="1:16" x14ac:dyDescent="0.25">
      <c r="A66" s="23">
        <f>Alex_ITSD_count_data!A66</f>
        <v>9.6874999995634425E-2</v>
      </c>
      <c r="B66" s="8" t="str">
        <f>Alex_ITSD_count_data!B66</f>
        <v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v>
      </c>
      <c r="C66" s="8" t="b">
        <f>Alex_ITSD_count_data!C66</f>
        <v>0</v>
      </c>
      <c r="D66" s="8" t="str">
        <f>Alex_ITSD_count_data!D66</f>
        <v>064SMPL.d</v>
      </c>
      <c r="E66" s="11">
        <f>Alex_ITSD_count_data!E66</f>
        <v>45246.577060185184</v>
      </c>
      <c r="F66" s="8" t="str">
        <f>Alex_ITSD_count_data!F66</f>
        <v>Sample</v>
      </c>
      <c r="G66" s="8">
        <f>Alex_ITSD_count_data!G66</f>
        <v>0</v>
      </c>
      <c r="H66" s="8" t="str">
        <f>Alex_ITSD_count_data!H66</f>
        <v>10-80-B</v>
      </c>
      <c r="I66" s="17">
        <f>Alex_ITSD_count_data!Q66</f>
        <v>36935.300000000003</v>
      </c>
      <c r="J66" s="17">
        <f>Alex_ITSD_count_data!R66</f>
        <v>1.5</v>
      </c>
      <c r="K66" s="47">
        <f t="shared" si="18"/>
        <v>18374.855065680218</v>
      </c>
      <c r="L66" s="17">
        <f t="shared" si="20"/>
        <v>14.162378741128279</v>
      </c>
      <c r="M66" s="17">
        <f>'[1]Alex-Mn_As_data'!P68</f>
        <v>14.335000000000001</v>
      </c>
      <c r="N66" s="8">
        <v>5</v>
      </c>
      <c r="O66" s="17">
        <f t="shared" ref="O66:O75" si="58">IF(L66 &lt; $S$44, "NA", N66*L66)</f>
        <v>70.811893705641396</v>
      </c>
      <c r="P66" s="17">
        <f t="shared" ref="P66:P75" si="59">IF(M66 &lt; $S$45, "NA", N66*M66)</f>
        <v>71.675000000000011</v>
      </c>
    </row>
    <row r="67" spans="1:16" x14ac:dyDescent="0.25">
      <c r="A67" s="23">
        <f>Alex_ITSD_count_data!A67</f>
        <v>9.7997685181326233E-2</v>
      </c>
      <c r="B67" s="8" t="str">
        <f>Alex_ITSD_count_data!B67</f>
        <v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v>
      </c>
      <c r="C67" s="8" t="b">
        <f>Alex_ITSD_count_data!C67</f>
        <v>0</v>
      </c>
      <c r="D67" s="8" t="str">
        <f>Alex_ITSD_count_data!D67</f>
        <v>065SMPL.d</v>
      </c>
      <c r="E67" s="11">
        <f>Alex_ITSD_count_data!E67</f>
        <v>45246.578182870369</v>
      </c>
      <c r="F67" s="8" t="str">
        <f>Alex_ITSD_count_data!F67</f>
        <v>Sample</v>
      </c>
      <c r="G67" s="8">
        <f>Alex_ITSD_count_data!G67</f>
        <v>0</v>
      </c>
      <c r="H67" s="8" t="str">
        <f>Alex_ITSD_count_data!H67</f>
        <v>10-90-B</v>
      </c>
      <c r="I67" s="17">
        <f>Alex_ITSD_count_data!Q67</f>
        <v>828.36</v>
      </c>
      <c r="J67" s="17">
        <f>Alex_ITSD_count_data!R67</f>
        <v>1.5</v>
      </c>
      <c r="K67" s="47">
        <f t="shared" si="18"/>
        <v>-17947.182085995122</v>
      </c>
      <c r="L67" s="17">
        <f t="shared" si="20"/>
        <v>0.13376619106322046</v>
      </c>
      <c r="M67" s="17">
        <f>'[1]Alex-Mn_As_data'!P69</f>
        <v>0.309</v>
      </c>
      <c r="N67" s="8">
        <v>5</v>
      </c>
      <c r="O67" s="17" t="str">
        <f t="shared" si="58"/>
        <v>NA</v>
      </c>
      <c r="P67" s="17" t="str">
        <f t="shared" si="59"/>
        <v>NA</v>
      </c>
    </row>
    <row r="68" spans="1:16" x14ac:dyDescent="0.25">
      <c r="A68" s="23">
        <f>Alex_ITSD_count_data!A68</f>
        <v>9.9178240736364387E-2</v>
      </c>
      <c r="B68" s="8" t="str">
        <f>Alex_ITSD_count_data!B68</f>
        <v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v>
      </c>
      <c r="C68" s="8" t="b">
        <f>Alex_ITSD_count_data!C68</f>
        <v>0</v>
      </c>
      <c r="D68" s="8" t="str">
        <f>Alex_ITSD_count_data!D68</f>
        <v>066SMPL.d</v>
      </c>
      <c r="E68" s="11">
        <f>Alex_ITSD_count_data!E68</f>
        <v>45246.579363425924</v>
      </c>
      <c r="F68" s="8" t="str">
        <f>Alex_ITSD_count_data!F68</f>
        <v>Sample</v>
      </c>
      <c r="G68" s="8">
        <f>Alex_ITSD_count_data!G68</f>
        <v>0</v>
      </c>
      <c r="H68" s="8" t="str">
        <f>Alex_ITSD_count_data!H68</f>
        <v>10-10-B</v>
      </c>
      <c r="I68" s="17">
        <f>Alex_ITSD_count_data!Q68</f>
        <v>30868.39</v>
      </c>
      <c r="J68" s="17">
        <f>Alex_ITSD_count_data!R68</f>
        <v>0.7</v>
      </c>
      <c r="K68" s="47">
        <f t="shared" si="18"/>
        <v>11866.663280485616</v>
      </c>
      <c r="L68" s="17">
        <f t="shared" si="20"/>
        <v>11.805205029755474</v>
      </c>
      <c r="M68" s="17">
        <f>'[1]Alex-Mn_As_data'!P70</f>
        <v>11.978</v>
      </c>
      <c r="N68" s="8">
        <v>5</v>
      </c>
      <c r="O68" s="17">
        <f t="shared" si="58"/>
        <v>59.026025148777364</v>
      </c>
      <c r="P68" s="17" t="str">
        <f t="shared" si="59"/>
        <v>NA</v>
      </c>
    </row>
    <row r="69" spans="1:16" x14ac:dyDescent="0.25">
      <c r="A69" s="23">
        <f>Alex_ITSD_count_data!A69</f>
        <v>0.10030092592205619</v>
      </c>
      <c r="B69" s="8" t="str">
        <f>Alex_ITSD_count_data!B69</f>
        <v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v>
      </c>
      <c r="C69" s="8" t="b">
        <f>Alex_ITSD_count_data!C69</f>
        <v>0</v>
      </c>
      <c r="D69" s="8" t="str">
        <f>Alex_ITSD_count_data!D69</f>
        <v>067SMPL.d</v>
      </c>
      <c r="E69" s="11">
        <f>Alex_ITSD_count_data!E69</f>
        <v>45246.58048611111</v>
      </c>
      <c r="F69" s="8" t="str">
        <f>Alex_ITSD_count_data!F69</f>
        <v>Sample</v>
      </c>
      <c r="G69" s="8">
        <f>Alex_ITSD_count_data!G69</f>
        <v>0</v>
      </c>
      <c r="H69" s="8" t="str">
        <f>Alex_ITSD_count_data!H69</f>
        <v>10-50-B</v>
      </c>
      <c r="I69" s="17">
        <f>Alex_ITSD_count_data!Q69</f>
        <v>56806.76</v>
      </c>
      <c r="J69" s="17">
        <f>Alex_ITSD_count_data!R69</f>
        <v>1.1000000000000001</v>
      </c>
      <c r="K69" s="47">
        <f t="shared" si="18"/>
        <v>37589.936128810281</v>
      </c>
      <c r="L69" s="17">
        <f t="shared" si="20"/>
        <v>21.883027822554613</v>
      </c>
      <c r="M69" s="17">
        <f>'[1]Alex-Mn_As_data'!P71</f>
        <v>22.053000000000001</v>
      </c>
      <c r="N69" s="8">
        <v>5</v>
      </c>
      <c r="O69" s="17">
        <f t="shared" si="58"/>
        <v>109.41513911277306</v>
      </c>
      <c r="P69" s="17">
        <f t="shared" si="59"/>
        <v>110.265</v>
      </c>
    </row>
    <row r="70" spans="1:16" x14ac:dyDescent="0.25">
      <c r="A70" s="23">
        <f>Alex_ITSD_count_data!A70</f>
        <v>0.10144675925403135</v>
      </c>
      <c r="B70" s="8" t="str">
        <f>Alex_ITSD_count_data!B70</f>
        <v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v>
      </c>
      <c r="C70" s="8" t="b">
        <f>Alex_ITSD_count_data!C70</f>
        <v>0</v>
      </c>
      <c r="D70" s="8" t="str">
        <f>Alex_ITSD_count_data!D70</f>
        <v>068SMPL.d</v>
      </c>
      <c r="E70" s="11">
        <f>Alex_ITSD_count_data!E70</f>
        <v>45246.581631944442</v>
      </c>
      <c r="F70" s="8" t="str">
        <f>Alex_ITSD_count_data!F70</f>
        <v>Sample</v>
      </c>
      <c r="G70" s="8">
        <f>Alex_ITSD_count_data!G70</f>
        <v>0</v>
      </c>
      <c r="H70" s="8" t="str">
        <f>Alex_ITSD_count_data!H70</f>
        <v>10-60-B</v>
      </c>
      <c r="I70" s="17">
        <f>Alex_ITSD_count_data!Q70</f>
        <v>117241.79</v>
      </c>
      <c r="J70" s="17">
        <f>Alex_ITSD_count_data!R70</f>
        <v>0.9</v>
      </c>
      <c r="K70" s="47">
        <f t="shared" si="18"/>
        <v>97805.433984676172</v>
      </c>
      <c r="L70" s="17">
        <f t="shared" si="20"/>
        <v>45.363821828403857</v>
      </c>
      <c r="M70" s="17">
        <f>'[1]Alex-Mn_As_data'!P72</f>
        <v>45.529000000000003</v>
      </c>
      <c r="N70" s="8">
        <v>5</v>
      </c>
      <c r="O70" s="17">
        <f t="shared" si="58"/>
        <v>226.81910914201927</v>
      </c>
      <c r="P70" s="17">
        <f t="shared" si="59"/>
        <v>227.64500000000001</v>
      </c>
    </row>
    <row r="71" spans="1:16" x14ac:dyDescent="0.25">
      <c r="A71" s="23">
        <f>Alex_ITSD_count_data!A71</f>
        <v>0.10255787037021946</v>
      </c>
      <c r="B71" s="8" t="str">
        <f>Alex_ITSD_count_data!B71</f>
        <v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v>
      </c>
      <c r="C71" s="8" t="b">
        <f>Alex_ITSD_count_data!C71</f>
        <v>0</v>
      </c>
      <c r="D71" s="8" t="str">
        <f>Alex_ITSD_count_data!D71</f>
        <v>069SMPL.d</v>
      </c>
      <c r="E71" s="11">
        <f>Alex_ITSD_count_data!E71</f>
        <v>45246.582743055558</v>
      </c>
      <c r="F71" s="8" t="str">
        <f>Alex_ITSD_count_data!F71</f>
        <v>Sample</v>
      </c>
      <c r="G71" s="8">
        <f>Alex_ITSD_count_data!G71</f>
        <v>0</v>
      </c>
      <c r="H71" s="8" t="str">
        <f>Alex_ITSD_count_data!H71</f>
        <v>10-70-B</v>
      </c>
      <c r="I71" s="17">
        <f>Alex_ITSD_count_data!Q71</f>
        <v>12412.71</v>
      </c>
      <c r="J71" s="17">
        <f>Alex_ITSD_count_data!R71</f>
        <v>2</v>
      </c>
      <c r="K71" s="47">
        <f t="shared" ref="K71:K86" si="60">I71-($AO$3*A71)</f>
        <v>-7236.5256714667885</v>
      </c>
      <c r="L71" s="17">
        <f t="shared" si="20"/>
        <v>4.6346282911012224</v>
      </c>
      <c r="M71" s="17">
        <f>'[1]Alex-Mn_As_data'!P73</f>
        <v>4.8090000000000002</v>
      </c>
      <c r="N71" s="8">
        <v>5</v>
      </c>
      <c r="O71" s="17" t="str">
        <f t="shared" si="58"/>
        <v>NA</v>
      </c>
      <c r="P71" s="17" t="str">
        <f t="shared" si="59"/>
        <v>NA</v>
      </c>
    </row>
    <row r="72" spans="1:16" x14ac:dyDescent="0.25">
      <c r="A72" s="23">
        <f>Alex_ITSD_count_data!A72</f>
        <v>0.10373842592525762</v>
      </c>
      <c r="B72" s="8" t="str">
        <f>Alex_ITSD_count_data!B72</f>
        <v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v>
      </c>
      <c r="C72" s="8" t="b">
        <f>Alex_ITSD_count_data!C72</f>
        <v>0</v>
      </c>
      <c r="D72" s="8" t="str">
        <f>Alex_ITSD_count_data!D72</f>
        <v>070SMPL.d</v>
      </c>
      <c r="E72" s="11">
        <f>Alex_ITSD_count_data!E72</f>
        <v>45246.583923611113</v>
      </c>
      <c r="F72" s="8" t="str">
        <f>Alex_ITSD_count_data!F72</f>
        <v>Sample</v>
      </c>
      <c r="G72" s="8">
        <f>Alex_ITSD_count_data!G72</f>
        <v>0</v>
      </c>
      <c r="H72" s="8" t="str">
        <f>Alex_ITSD_count_data!H72</f>
        <v>10-100-B</v>
      </c>
      <c r="I72" s="17">
        <f>Alex_ITSD_count_data!Q72</f>
        <v>6778.29</v>
      </c>
      <c r="J72" s="17">
        <f>Alex_ITSD_count_data!R72</f>
        <v>2.7</v>
      </c>
      <c r="K72" s="47">
        <f t="shared" si="60"/>
        <v>-13097.130304986051</v>
      </c>
      <c r="L72" s="17">
        <f t="shared" ref="L72:L86" si="61">(I72-$AP$30)*(1/$AO$30)</f>
        <v>2.4454897176209567</v>
      </c>
      <c r="M72" s="17">
        <f>'[1]Alex-Mn_As_data'!P74</f>
        <v>2.62</v>
      </c>
      <c r="N72" s="8">
        <v>5</v>
      </c>
      <c r="O72" s="17" t="str">
        <f t="shared" si="58"/>
        <v>NA</v>
      </c>
      <c r="P72" s="17" t="str">
        <f t="shared" si="59"/>
        <v>NA</v>
      </c>
    </row>
    <row r="73" spans="1:16" x14ac:dyDescent="0.25">
      <c r="A73" s="23">
        <f>Alex_ITSD_count_data!A73</f>
        <v>0.10488425925723277</v>
      </c>
      <c r="B73" s="8" t="str">
        <f>Alex_ITSD_count_data!B73</f>
        <v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v>
      </c>
      <c r="C73" s="8" t="b">
        <f>Alex_ITSD_count_data!C73</f>
        <v>0</v>
      </c>
      <c r="D73" s="8" t="str">
        <f>Alex_ITSD_count_data!D73</f>
        <v>071SMPL.d</v>
      </c>
      <c r="E73" s="11">
        <f>Alex_ITSD_count_data!E73</f>
        <v>45246.585069444445</v>
      </c>
      <c r="F73" s="8" t="str">
        <f>Alex_ITSD_count_data!F73</f>
        <v>Sample</v>
      </c>
      <c r="G73" s="8">
        <f>Alex_ITSD_count_data!G73</f>
        <v>0</v>
      </c>
      <c r="H73" s="8" t="str">
        <f>Alex_ITSD_count_data!H73</f>
        <v>20-10-T</v>
      </c>
      <c r="I73" s="17">
        <f>Alex_ITSD_count_data!Q73</f>
        <v>4724.46</v>
      </c>
      <c r="J73" s="17">
        <f>Alex_ITSD_count_data!R73</f>
        <v>2.2999999999999998</v>
      </c>
      <c r="K73" s="47">
        <f t="shared" si="60"/>
        <v>-15370.492449120156</v>
      </c>
      <c r="L73" s="17">
        <f t="shared" si="61"/>
        <v>1.6475161060742536</v>
      </c>
      <c r="M73" s="17">
        <f>'[1]Alex-Mn_As_data'!P75</f>
        <v>1.823</v>
      </c>
      <c r="N73" s="8">
        <v>5</v>
      </c>
      <c r="O73" s="17" t="str">
        <f t="shared" si="58"/>
        <v>NA</v>
      </c>
      <c r="P73" s="17" t="str">
        <f t="shared" si="59"/>
        <v>NA</v>
      </c>
    </row>
    <row r="74" spans="1:16" x14ac:dyDescent="0.25">
      <c r="A74" s="23">
        <f>Alex_ITSD_count_data!A74</f>
        <v>0.10601851851242827</v>
      </c>
      <c r="B74" s="8" t="str">
        <f>Alex_ITSD_count_data!B74</f>
        <v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v>
      </c>
      <c r="C74" s="8" t="b">
        <f>Alex_ITSD_count_data!C74</f>
        <v>0</v>
      </c>
      <c r="D74" s="8" t="str">
        <f>Alex_ITSD_count_data!D74</f>
        <v>072SMPL.d</v>
      </c>
      <c r="E74" s="11">
        <f>Alex_ITSD_count_data!E74</f>
        <v>45246.5862037037</v>
      </c>
      <c r="F74" s="8" t="str">
        <f>Alex_ITSD_count_data!F74</f>
        <v>Sample</v>
      </c>
      <c r="G74" s="8">
        <f>Alex_ITSD_count_data!G74</f>
        <v>0</v>
      </c>
      <c r="H74" s="8" t="str">
        <f>Alex_ITSD_count_data!H74</f>
        <v>20-50-T</v>
      </c>
      <c r="I74" s="17">
        <f>Alex_ITSD_count_data!Q74</f>
        <v>18196.86</v>
      </c>
      <c r="J74" s="17">
        <f>Alex_ITSD_count_data!R74</f>
        <v>2.7</v>
      </c>
      <c r="K74" s="47">
        <f t="shared" si="60"/>
        <v>-2115.4070963278682</v>
      </c>
      <c r="L74" s="17">
        <f t="shared" si="61"/>
        <v>6.8819413916148306</v>
      </c>
      <c r="M74" s="17">
        <f>'[1]Alex-Mn_As_data'!P76</f>
        <v>7.056</v>
      </c>
      <c r="N74" s="8">
        <v>5</v>
      </c>
      <c r="O74" s="17" t="str">
        <f t="shared" si="58"/>
        <v>NA</v>
      </c>
      <c r="P74" s="17" t="str">
        <f t="shared" si="59"/>
        <v>NA</v>
      </c>
    </row>
    <row r="75" spans="1:16" x14ac:dyDescent="0.25">
      <c r="A75" s="23">
        <f>Alex_ITSD_count_data!A75</f>
        <v>0.10715277777489973</v>
      </c>
      <c r="B75" s="8" t="str">
        <f>Alex_ITSD_count_data!B75</f>
        <v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v>
      </c>
      <c r="C75" s="8" t="b">
        <f>Alex_ITSD_count_data!C75</f>
        <v>0</v>
      </c>
      <c r="D75" s="8" t="str">
        <f>Alex_ITSD_count_data!D75</f>
        <v>073SMPL.d</v>
      </c>
      <c r="E75" s="11">
        <f>Alex_ITSD_count_data!E75</f>
        <v>45246.587337962963</v>
      </c>
      <c r="F75" s="8" t="str">
        <f>Alex_ITSD_count_data!F75</f>
        <v>Sample</v>
      </c>
      <c r="G75" s="8">
        <f>Alex_ITSD_count_data!G75</f>
        <v>0</v>
      </c>
      <c r="H75" s="8" t="str">
        <f>Alex_ITSD_count_data!H75</f>
        <v>20-70-B</v>
      </c>
      <c r="I75" s="17">
        <f>Alex_ITSD_count_data!Q75</f>
        <v>2474.89</v>
      </c>
      <c r="J75" s="17">
        <f>Alex_ITSD_count_data!R75</f>
        <v>1.1000000000000001</v>
      </c>
      <c r="K75" s="47">
        <f t="shared" si="60"/>
        <v>-18054.691744929598</v>
      </c>
      <c r="L75" s="17">
        <f t="shared" si="61"/>
        <v>0.77349172366328622</v>
      </c>
      <c r="M75" s="17">
        <f>'[1]Alex-Mn_As_data'!P77</f>
        <v>0.94899999999999995</v>
      </c>
      <c r="N75" s="8">
        <v>10</v>
      </c>
      <c r="O75" s="17" t="str">
        <f t="shared" si="58"/>
        <v>NA</v>
      </c>
      <c r="P75" s="17" t="str">
        <f t="shared" si="59"/>
        <v>NA</v>
      </c>
    </row>
    <row r="76" spans="1:16" x14ac:dyDescent="0.25">
      <c r="A76" s="23">
        <f>Alex_ITSD_count_data!A76</f>
        <v>0.10834490740671754</v>
      </c>
      <c r="B76" s="8" t="str">
        <f>Alex_ITSD_count_data!B76</f>
        <v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v>
      </c>
      <c r="C76" s="8" t="b">
        <f>Alex_ITSD_count_data!C76</f>
        <v>0</v>
      </c>
      <c r="D76" s="8" t="str">
        <f>Alex_ITSD_count_data!D76</f>
        <v>074SMPL.d</v>
      </c>
      <c r="E76" s="11">
        <f>Alex_ITSD_count_data!E76</f>
        <v>45246.588530092595</v>
      </c>
      <c r="F76" s="8" t="str">
        <f>Alex_ITSD_count_data!F76</f>
        <v>Sample</v>
      </c>
      <c r="G76" s="8">
        <f>Alex_ITSD_count_data!G76</f>
        <v>0</v>
      </c>
      <c r="H76" s="8" t="str">
        <f>Alex_ITSD_count_data!H76</f>
        <v>20-60-B</v>
      </c>
      <c r="I76" s="17">
        <f>Alex_ITSD_count_data!Q76</f>
        <v>12646.25</v>
      </c>
      <c r="J76" s="17">
        <f>Alex_ITSD_count_data!R76</f>
        <v>0.8</v>
      </c>
      <c r="K76" s="47">
        <f t="shared" si="60"/>
        <v>-8111.7338753752483</v>
      </c>
      <c r="L76" s="17">
        <f t="shared" si="61"/>
        <v>4.7253654783273404</v>
      </c>
      <c r="M76" s="17">
        <f>'[1]Alex-Mn_As_data'!P78</f>
        <v>4.9000000000000004</v>
      </c>
      <c r="N76" s="8">
        <v>10</v>
      </c>
      <c r="O76" s="17" t="str">
        <f t="shared" ref="O76:O78" si="62">IF(L76 &lt; $S$44, "NA", N76*L76)</f>
        <v>NA</v>
      </c>
      <c r="P76" s="17" t="str">
        <f t="shared" ref="P76:P78" si="63">IF(M76 &lt; $S$45, "NA", N76*M76)</f>
        <v>NA</v>
      </c>
    </row>
    <row r="77" spans="1:16" x14ac:dyDescent="0.25">
      <c r="A77" s="23">
        <f>Alex_ITSD_count_data!A77</f>
        <v>0.10947916666191304</v>
      </c>
      <c r="B77" s="8" t="str">
        <f>Alex_ITSD_count_data!B77</f>
        <v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v>
      </c>
      <c r="C77" s="8" t="b">
        <f>Alex_ITSD_count_data!C77</f>
        <v>0</v>
      </c>
      <c r="D77" s="8" t="str">
        <f>Alex_ITSD_count_data!D77</f>
        <v>075SMPL.d</v>
      </c>
      <c r="E77" s="11">
        <f>Alex_ITSD_count_data!E77</f>
        <v>45246.58966435185</v>
      </c>
      <c r="F77" s="8" t="str">
        <f>Alex_ITSD_count_data!F77</f>
        <v>Sample</v>
      </c>
      <c r="G77" s="8">
        <f>Alex_ITSD_count_data!G77</f>
        <v>0</v>
      </c>
      <c r="H77" s="8" t="str">
        <f>Alex_ITSD_count_data!H77</f>
        <v>20-80-B</v>
      </c>
      <c r="I77" s="17">
        <f>Alex_ITSD_count_data!Q77</f>
        <v>895.03</v>
      </c>
      <c r="J77" s="17">
        <f>Alex_ITSD_count_data!R77</f>
        <v>1.8</v>
      </c>
      <c r="K77" s="47">
        <f t="shared" si="60"/>
        <v>-20080.268522582966</v>
      </c>
      <c r="L77" s="17">
        <f t="shared" si="61"/>
        <v>0.15966945505382274</v>
      </c>
      <c r="M77" s="17">
        <f>'[1]Alex-Mn_As_data'!P79</f>
        <v>0.33500000000000002</v>
      </c>
      <c r="N77" s="8">
        <v>10</v>
      </c>
      <c r="O77" s="17" t="str">
        <f t="shared" si="62"/>
        <v>NA</v>
      </c>
      <c r="P77" s="17" t="str">
        <f t="shared" si="63"/>
        <v>NA</v>
      </c>
    </row>
    <row r="78" spans="1:16" x14ac:dyDescent="0.25">
      <c r="A78" s="23">
        <f>Alex_ITSD_count_data!A78</f>
        <v>0.1106134259243845</v>
      </c>
      <c r="B78" s="8" t="str">
        <f>Alex_ITSD_count_data!B78</f>
        <v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v>
      </c>
      <c r="C78" s="8" t="b">
        <f>Alex_ITSD_count_data!C78</f>
        <v>0</v>
      </c>
      <c r="D78" s="8" t="str">
        <f>Alex_ITSD_count_data!D78</f>
        <v>076SMPL.d</v>
      </c>
      <c r="E78" s="11">
        <f>Alex_ITSD_count_data!E78</f>
        <v>45246.590798611112</v>
      </c>
      <c r="F78" s="8" t="str">
        <f>Alex_ITSD_count_data!F78</f>
        <v>Sample</v>
      </c>
      <c r="G78" s="8">
        <f>Alex_ITSD_count_data!G78</f>
        <v>0</v>
      </c>
      <c r="H78" s="8" t="str">
        <f>Alex_ITSD_count_data!H78</f>
        <v>20-90-T</v>
      </c>
      <c r="I78" s="17">
        <f>Alex_ITSD_count_data!Q78</f>
        <v>2422.88</v>
      </c>
      <c r="J78" s="17">
        <f>Alex_ITSD_count_data!R78</f>
        <v>1.8</v>
      </c>
      <c r="K78" s="47">
        <f t="shared" si="60"/>
        <v>-18769.733171184689</v>
      </c>
      <c r="L78" s="17">
        <f t="shared" si="61"/>
        <v>0.75328430263206947</v>
      </c>
      <c r="M78" s="17">
        <f>'[1]Alex-Mn_As_data'!P80</f>
        <v>0.92900000000000005</v>
      </c>
      <c r="N78" s="8">
        <v>10</v>
      </c>
      <c r="O78" s="17" t="str">
        <f t="shared" si="62"/>
        <v>NA</v>
      </c>
      <c r="P78" s="17" t="str">
        <f t="shared" si="63"/>
        <v>NA</v>
      </c>
    </row>
    <row r="79" spans="1:16" x14ac:dyDescent="0.25">
      <c r="A79" s="23">
        <f>Alex_ITSD_count_data!A79</f>
        <v>0.11174768517958</v>
      </c>
      <c r="B79" s="8" t="str">
        <f>Alex_ITSD_count_data!B79</f>
        <v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v>
      </c>
      <c r="C79" s="8" t="b">
        <f>Alex_ITSD_count_data!C79</f>
        <v>0</v>
      </c>
      <c r="D79" s="8" t="str">
        <f>Alex_ITSD_count_data!D79</f>
        <v>077SMPL.d</v>
      </c>
      <c r="E79" s="11">
        <f>Alex_ITSD_count_data!E79</f>
        <v>45246.591932870368</v>
      </c>
      <c r="F79" s="8" t="str">
        <f>Alex_ITSD_count_data!F79</f>
        <v>Sample</v>
      </c>
      <c r="G79" s="8">
        <f>Alex_ITSD_count_data!G79</f>
        <v>0</v>
      </c>
      <c r="H79" s="8" t="str">
        <f>Alex_ITSD_count_data!H79</f>
        <v>DI H2O</v>
      </c>
      <c r="I79" s="17">
        <f>Alex_ITSD_count_data!Q79</f>
        <v>79</v>
      </c>
      <c r="J79" s="17">
        <f>Alex_ITSD_count_data!R79</f>
        <v>8.8000000000000007</v>
      </c>
      <c r="K79" s="47">
        <f t="shared" si="60"/>
        <v>-21330.927818392407</v>
      </c>
      <c r="L79" s="17">
        <f t="shared" si="61"/>
        <v>-0.15738230007218873</v>
      </c>
      <c r="M79" s="17">
        <f>'[1]Alex-Mn_As_data'!P81</f>
        <v>1.7999999999999999E-2</v>
      </c>
      <c r="N79" s="8"/>
      <c r="O79" s="17"/>
      <c r="P79" s="17"/>
    </row>
    <row r="80" spans="1:16" x14ac:dyDescent="0.25">
      <c r="A80" s="23">
        <f>Alex_ITSD_count_data!A80</f>
        <v>0.11293981481139781</v>
      </c>
      <c r="B80" s="8" t="str">
        <f>Alex_ITSD_count_data!B80</f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C80" s="8" t="b">
        <f>Alex_ITSD_count_data!C80</f>
        <v>0</v>
      </c>
      <c r="D80" s="8" t="str">
        <f>Alex_ITSD_count_data!D80</f>
        <v>078SMPL.d</v>
      </c>
      <c r="E80" s="11">
        <f>Alex_ITSD_count_data!E80</f>
        <v>45246.593124999999</v>
      </c>
      <c r="F80" s="8" t="str">
        <f>Alex_ITSD_count_data!F80</f>
        <v>Sample</v>
      </c>
      <c r="G80" s="8">
        <f>Alex_ITSD_count_data!G80</f>
        <v>0</v>
      </c>
      <c r="H80" s="40" t="str">
        <f>Alex_ITSD_count_data!H80</f>
        <v>blk</v>
      </c>
      <c r="I80" s="43">
        <f>Alex_ITSD_count_data!Q80</f>
        <v>602.35</v>
      </c>
      <c r="J80" s="43">
        <f>Alex_ITSD_count_data!R80</f>
        <v>5.2</v>
      </c>
      <c r="K80" s="48">
        <f t="shared" si="60"/>
        <v>-21035.979948838059</v>
      </c>
      <c r="L80" s="43">
        <f t="shared" si="61"/>
        <v>4.5954631223472105E-2</v>
      </c>
      <c r="M80" s="43">
        <f>'[1]Alex-Mn_As_data'!P82</f>
        <v>0.221</v>
      </c>
      <c r="N80" s="8"/>
      <c r="O80" s="17"/>
      <c r="P80" s="17"/>
    </row>
    <row r="81" spans="1:16" x14ac:dyDescent="0.25">
      <c r="A81" s="23">
        <f>Alex_ITSD_count_data!A81</f>
        <v>0.11407407407386927</v>
      </c>
      <c r="B81" s="8" t="str">
        <f>Alex_ITSD_count_data!B81</f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C81" s="8" t="b">
        <f>Alex_ITSD_count_data!C81</f>
        <v>0</v>
      </c>
      <c r="D81" s="8" t="str">
        <f>Alex_ITSD_count_data!D81</f>
        <v>079SMPL.d</v>
      </c>
      <c r="E81" s="11">
        <f>Alex_ITSD_count_data!E81</f>
        <v>45246.594259259262</v>
      </c>
      <c r="F81" s="8" t="str">
        <f>Alex_ITSD_count_data!F81</f>
        <v>Sample</v>
      </c>
      <c r="G81" s="8">
        <f>Alex_ITSD_count_data!G81</f>
        <v>0</v>
      </c>
      <c r="H81" s="8" t="str">
        <f>Alex_ITSD_count_data!H81</f>
        <v>100 ppb check</v>
      </c>
      <c r="I81" s="17">
        <f>Alex_ITSD_count_data!Q81</f>
        <v>273693.26</v>
      </c>
      <c r="J81" s="17">
        <f>Alex_ITSD_count_data!R81</f>
        <v>2.2000000000000002</v>
      </c>
      <c r="K81" s="47">
        <f t="shared" si="60"/>
        <v>251837.61540256022</v>
      </c>
      <c r="L81" s="17">
        <f t="shared" si="61"/>
        <v>106.14983846448897</v>
      </c>
      <c r="M81" s="17">
        <f>'[1]Alex-Mn_As_data'!P83</f>
        <v>106.301</v>
      </c>
      <c r="N81" s="8"/>
      <c r="O81" s="17"/>
      <c r="P81" s="17"/>
    </row>
    <row r="82" spans="1:16" x14ac:dyDescent="0.25">
      <c r="A82" s="23">
        <f>Alex_ITSD_count_data!A82</f>
        <v>0.11520833332906477</v>
      </c>
      <c r="B82" s="8" t="str">
        <f>Alex_ITSD_count_data!B82</f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C82" s="8" t="b">
        <f>Alex_ITSD_count_data!C82</f>
        <v>0</v>
      </c>
      <c r="D82" s="8" t="str">
        <f>Alex_ITSD_count_data!D82</f>
        <v>080SMPL.d</v>
      </c>
      <c r="E82" s="11">
        <f>Alex_ITSD_count_data!E82</f>
        <v>45246.595393518517</v>
      </c>
      <c r="F82" s="8" t="str">
        <f>Alex_ITSD_count_data!F82</f>
        <v>CalStd</v>
      </c>
      <c r="G82" s="8">
        <f>Alex_ITSD_count_data!G82</f>
        <v>10</v>
      </c>
      <c r="H82" s="8" t="str">
        <f>Alex_ITSD_count_data!H82</f>
        <v>level 10 m6</v>
      </c>
      <c r="I82" s="17">
        <f>Alex_ITSD_count_data!Q82</f>
        <v>27317422.670000002</v>
      </c>
      <c r="J82" s="17">
        <f>Alex_ITSD_count_data!R82</f>
        <v>1.1000000000000001</v>
      </c>
      <c r="K82" s="47">
        <f t="shared" si="60"/>
        <v>27295349.710755356</v>
      </c>
      <c r="L82" s="17">
        <f t="shared" si="61"/>
        <v>10613.437407050737</v>
      </c>
      <c r="M82" s="17">
        <f>'[1]Alex-Mn_As_data'!P15</f>
        <v>10611.155000000001</v>
      </c>
      <c r="N82" s="8"/>
      <c r="O82" s="17"/>
      <c r="P82" s="17"/>
    </row>
    <row r="83" spans="1:16" x14ac:dyDescent="0.25">
      <c r="A83" s="23">
        <f>Alex_ITSD_count_data!A83</f>
        <v>0.11633101851475658</v>
      </c>
      <c r="B83" s="8" t="str">
        <f>Alex_ITSD_count_data!B83</f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C83" s="8" t="b">
        <f>Alex_ITSD_count_data!C83</f>
        <v>0</v>
      </c>
      <c r="D83" s="8" t="str">
        <f>Alex_ITSD_count_data!D83</f>
        <v>081SMPL.d</v>
      </c>
      <c r="E83" s="11">
        <f>Alex_ITSD_count_data!E83</f>
        <v>45246.596516203703</v>
      </c>
      <c r="F83" s="8" t="str">
        <f>Alex_ITSD_count_data!F83</f>
        <v>CalStd</v>
      </c>
      <c r="G83" s="8">
        <f>Alex_ITSD_count_data!G83</f>
        <v>11</v>
      </c>
      <c r="H83" s="8" t="str">
        <f>Alex_ITSD_count_data!H83</f>
        <v>level 11 m6</v>
      </c>
      <c r="I83" s="17">
        <f>Alex_ITSD_count_data!Q83</f>
        <v>249936965.33000001</v>
      </c>
      <c r="J83" s="17">
        <f>Alex_ITSD_count_data!R83</f>
        <v>0.7</v>
      </c>
      <c r="K83" s="47">
        <f t="shared" si="60"/>
        <v>249914677.27360368</v>
      </c>
      <c r="L83" s="17">
        <f t="shared" si="61"/>
        <v>97107.704438536093</v>
      </c>
      <c r="M83" s="17">
        <f>'[1]Alex-Mn_As_data'!P16</f>
        <v>0</v>
      </c>
      <c r="N83" s="8"/>
      <c r="O83" s="17"/>
      <c r="P83" s="17"/>
    </row>
    <row r="84" spans="1:16" x14ac:dyDescent="0.25">
      <c r="A84" s="23">
        <f>Alex_ITSD_count_data!A84</f>
        <v>0.11753472221607808</v>
      </c>
      <c r="B84" s="8" t="str">
        <f>Alex_ITSD_count_data!B84</f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C84" s="8" t="b">
        <f>Alex_ITSD_count_data!C84</f>
        <v>0</v>
      </c>
      <c r="D84" s="8" t="str">
        <f>Alex_ITSD_count_data!D84</f>
        <v>082SMPL.d</v>
      </c>
      <c r="E84" s="11">
        <f>Alex_ITSD_count_data!E84</f>
        <v>45246.597719907404</v>
      </c>
      <c r="F84" s="8" t="str">
        <f>Alex_ITSD_count_data!F84</f>
        <v>Sample</v>
      </c>
      <c r="G84" s="8">
        <f>Alex_ITSD_count_data!G84</f>
        <v>0</v>
      </c>
      <c r="H84" s="40" t="str">
        <f>Alex_ITSD_count_data!H84</f>
        <v>blk</v>
      </c>
      <c r="I84" s="43">
        <f>Alex_ITSD_count_data!Q84</f>
        <v>26000.47</v>
      </c>
      <c r="J84" s="43">
        <f>Alex_ITSD_count_data!R84</f>
        <v>2.2000000000000002</v>
      </c>
      <c r="K84" s="48">
        <f t="shared" si="60"/>
        <v>3481.7939776991334</v>
      </c>
      <c r="L84" s="43">
        <f>(I84-$AP$30)*(1/$AO$30)</f>
        <v>9.9138743436127896</v>
      </c>
      <c r="M84" s="43">
        <f>'[1]Alex-Mn_As_data'!P84</f>
        <v>10.087</v>
      </c>
      <c r="N84" s="8"/>
      <c r="O84" s="8"/>
      <c r="P84" s="8"/>
    </row>
    <row r="85" spans="1:16" x14ac:dyDescent="0.25">
      <c r="A85" s="23">
        <f>Alex_ITSD_count_data!A85</f>
        <v>0.11868055555532919</v>
      </c>
      <c r="B85" s="8" t="str">
        <f>Alex_ITSD_count_data!B85</f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C85" s="8" t="b">
        <f>Alex_ITSD_count_data!C85</f>
        <v>0</v>
      </c>
      <c r="D85" s="8" t="str">
        <f>Alex_ITSD_count_data!D85</f>
        <v>083SMPL.d</v>
      </c>
      <c r="E85" s="11">
        <f>Alex_ITSD_count_data!E85</f>
        <v>45246.598865740743</v>
      </c>
      <c r="F85" s="8" t="str">
        <f>Alex_ITSD_count_data!F85</f>
        <v>Sample</v>
      </c>
      <c r="G85" s="8">
        <f>Alex_ITSD_count_data!G85</f>
        <v>0</v>
      </c>
      <c r="H85" s="40" t="str">
        <f>Alex_ITSD_count_data!H85</f>
        <v>blk</v>
      </c>
      <c r="I85" s="43">
        <f>Alex_ITSD_count_data!Q85</f>
        <v>9767</v>
      </c>
      <c r="J85" s="43">
        <f>Alex_ITSD_count_data!R85</f>
        <v>1.2</v>
      </c>
      <c r="K85" s="48">
        <f t="shared" si="60"/>
        <v>-12971.208167828983</v>
      </c>
      <c r="L85" s="43">
        <f t="shared" si="61"/>
        <v>3.6066918193361657</v>
      </c>
      <c r="M85" s="43">
        <f>'[1]Alex-Mn_As_data'!P85</f>
        <v>3.7810000000000001</v>
      </c>
      <c r="N85" s="8"/>
      <c r="O85" s="8"/>
      <c r="P85" s="8"/>
    </row>
    <row r="86" spans="1:16" x14ac:dyDescent="0.25">
      <c r="A86" s="23">
        <f>Alex_ITSD_count_data!A86</f>
        <v>0.119803240741021</v>
      </c>
      <c r="B86" s="8" t="str">
        <f>Alex_ITSD_count_data!B86</f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C86" s="8" t="b">
        <f>Alex_ITSD_count_data!C86</f>
        <v>0</v>
      </c>
      <c r="D86" s="8" t="str">
        <f>Alex_ITSD_count_data!D86</f>
        <v>084SMPL.d</v>
      </c>
      <c r="E86" s="11">
        <f>Alex_ITSD_count_data!E86</f>
        <v>45246.599988425929</v>
      </c>
      <c r="F86" s="8" t="str">
        <f>Alex_ITSD_count_data!F86</f>
        <v>Sample</v>
      </c>
      <c r="G86" s="8">
        <f>Alex_ITSD_count_data!G86</f>
        <v>0</v>
      </c>
      <c r="H86" s="40" t="str">
        <f>Alex_ITSD_count_data!H86</f>
        <v>blk</v>
      </c>
      <c r="I86" s="43">
        <f>Alex_ITSD_count_data!Q86</f>
        <v>5710.81</v>
      </c>
      <c r="J86" s="43">
        <f>Alex_ITSD_count_data!R86</f>
        <v>0.8</v>
      </c>
      <c r="K86" s="48">
        <f t="shared" si="60"/>
        <v>-17242.49531950432</v>
      </c>
      <c r="L86" s="43">
        <f t="shared" si="61"/>
        <v>2.0307422113259497</v>
      </c>
      <c r="M86" s="43">
        <f>'[1]Alex-Mn_As_data'!P86</f>
        <v>2.206</v>
      </c>
      <c r="N86" s="8"/>
      <c r="O86" s="8"/>
      <c r="P86" s="8"/>
    </row>
  </sheetData>
  <autoFilter ref="A1:J86" xr:uid="{831C3614-7E82-469C-9EC7-2C530BF5CE48}"/>
  <conditionalFormatting sqref="I1:I86">
    <cfRule type="cellIs" dxfId="47" priority="14" operator="lessThan">
      <formula>$S$43</formula>
    </cfRule>
  </conditionalFormatting>
  <conditionalFormatting sqref="I3:I86">
    <cfRule type="cellIs" dxfId="46" priority="17" operator="lessThan">
      <formula>$T$43</formula>
    </cfRule>
  </conditionalFormatting>
  <conditionalFormatting sqref="L1:L86">
    <cfRule type="cellIs" dxfId="45" priority="15" operator="lessThan">
      <formula>$S$44</formula>
    </cfRule>
    <cfRule type="cellIs" dxfId="44" priority="16" operator="lessThan">
      <formula>$T$44</formula>
    </cfRule>
  </conditionalFormatting>
  <conditionalFormatting sqref="M1:M86">
    <cfRule type="cellIs" dxfId="43" priority="11" operator="equal">
      <formula>$M$17</formula>
    </cfRule>
    <cfRule type="cellIs" dxfId="42" priority="12" operator="lessThan">
      <formula>$S$45</formula>
    </cfRule>
    <cfRule type="cellIs" dxfId="41" priority="13" operator="lessThan">
      <formula>$T$45</formula>
    </cfRule>
  </conditionalFormatting>
  <conditionalFormatting sqref="O1:O2">
    <cfRule type="cellIs" dxfId="40" priority="4" operator="lessThan">
      <formula>$S$44</formula>
    </cfRule>
    <cfRule type="cellIs" dxfId="39" priority="5" operator="lessThan">
      <formula>$T$44</formula>
    </cfRule>
  </conditionalFormatting>
  <conditionalFormatting sqref="P1:P2">
    <cfRule type="cellIs" dxfId="38" priority="1" operator="equal">
      <formula>$M$28</formula>
    </cfRule>
    <cfRule type="cellIs" dxfId="37" priority="2" operator="lessThan">
      <formula>$S$45</formula>
    </cfRule>
    <cfRule type="cellIs" dxfId="36" priority="3" operator="lessThan">
      <formula>$T$45</formula>
    </cfRule>
  </conditionalFormatting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4067-47BC-4D00-8870-8B8CCB0BEB32}">
  <dimension ref="A1:BU86"/>
  <sheetViews>
    <sheetView topLeftCell="I46" zoomScaleNormal="100" workbookViewId="0">
      <selection activeCell="A74" sqref="A74:XFD74"/>
    </sheetView>
  </sheetViews>
  <sheetFormatPr defaultRowHeight="15" x14ac:dyDescent="0.25"/>
  <cols>
    <col min="1" max="1" width="9.140625" style="24"/>
    <col min="5" max="5" width="9.140625" style="1"/>
    <col min="8" max="8" width="17.42578125" customWidth="1"/>
    <col min="9" max="9" width="13.42578125" bestFit="1" customWidth="1"/>
    <col min="10" max="10" width="9.28515625" bestFit="1" customWidth="1"/>
    <col min="11" max="11" width="13.28515625" style="55" customWidth="1"/>
    <col min="17" max="17" width="27.85546875" customWidth="1"/>
    <col min="18" max="18" width="20.140625" style="1" customWidth="1"/>
    <col min="19" max="19" width="13.28515625" customWidth="1"/>
    <col min="20" max="20" width="12.140625" customWidth="1"/>
    <col min="22" max="22" width="11.7109375" style="1" customWidth="1"/>
    <col min="23" max="23" width="12.42578125" customWidth="1"/>
    <col min="24" max="24" width="11.5703125" customWidth="1"/>
    <col min="25" max="25" width="11.85546875" customWidth="1"/>
    <col min="26" max="26" width="14.140625" customWidth="1"/>
    <col min="29" max="29" width="13.42578125" bestFit="1" customWidth="1"/>
    <col min="31" max="31" width="13.42578125" bestFit="1" customWidth="1"/>
    <col min="40" max="40" width="13.85546875" customWidth="1"/>
    <col min="41" max="41" width="16.85546875" customWidth="1"/>
    <col min="42" max="42" width="18.28515625" customWidth="1"/>
    <col min="43" max="43" width="27.85546875" customWidth="1"/>
    <col min="45" max="45" width="22.140625" customWidth="1"/>
    <col min="46" max="46" width="14" style="1" customWidth="1"/>
    <col min="50" max="50" width="9.140625" style="1"/>
    <col min="52" max="52" width="15" customWidth="1"/>
    <col min="54" max="54" width="35.85546875" customWidth="1"/>
    <col min="55" max="55" width="13" customWidth="1"/>
    <col min="56" max="56" width="13.28515625" style="20" customWidth="1"/>
    <col min="57" max="57" width="11.7109375" style="20" bestFit="1" customWidth="1"/>
    <col min="58" max="58" width="11.42578125" style="20" bestFit="1" customWidth="1"/>
    <col min="59" max="59" width="12.5703125" style="20" bestFit="1" customWidth="1"/>
    <col min="60" max="60" width="11.7109375" style="20" bestFit="1" customWidth="1"/>
    <col min="61" max="61" width="10.5703125" style="20" bestFit="1" customWidth="1"/>
    <col min="62" max="62" width="9.28515625" style="20" bestFit="1" customWidth="1"/>
    <col min="63" max="63" width="11.5703125" style="20" customWidth="1"/>
    <col min="64" max="66" width="9.28515625" style="20" bestFit="1" customWidth="1"/>
    <col min="67" max="67" width="10" style="20" bestFit="1" customWidth="1"/>
    <col min="68" max="68" width="11.85546875" bestFit="1" customWidth="1"/>
    <col min="69" max="69" width="18.140625" bestFit="1" customWidth="1"/>
    <col min="70" max="70" width="15" bestFit="1" customWidth="1"/>
  </cols>
  <sheetData>
    <row r="1" spans="1:73" x14ac:dyDescent="0.25">
      <c r="A1" s="22"/>
      <c r="B1" s="7" t="str">
        <f>Alex_ITSD_count_data!B1</f>
        <v>Sample</v>
      </c>
      <c r="C1" s="7"/>
      <c r="D1" s="7"/>
      <c r="E1" s="10"/>
      <c r="F1" s="7"/>
      <c r="G1" s="7"/>
      <c r="H1" s="7"/>
      <c r="I1" s="12" t="str">
        <f>Alex_ITSD_count_data!I1</f>
        <v xml:space="preserve">27  Al  [ He ] </v>
      </c>
      <c r="J1" s="12">
        <f>Alex_ITSD_count_data!J1</f>
        <v>0</v>
      </c>
      <c r="K1" s="56" t="s">
        <v>352</v>
      </c>
      <c r="L1" s="57" t="s">
        <v>353</v>
      </c>
      <c r="M1" s="57" t="s">
        <v>354</v>
      </c>
      <c r="N1" s="7" t="s">
        <v>362</v>
      </c>
      <c r="O1" s="12" t="s">
        <v>372</v>
      </c>
      <c r="P1" s="12" t="s">
        <v>373</v>
      </c>
      <c r="Q1" s="2" t="s">
        <v>275</v>
      </c>
      <c r="R1" s="10"/>
      <c r="S1" s="7" t="str">
        <f>B1</f>
        <v>Sample</v>
      </c>
      <c r="T1" s="7"/>
      <c r="U1" s="7"/>
      <c r="V1" s="10"/>
      <c r="W1" s="7"/>
      <c r="X1" s="7"/>
      <c r="Y1" s="7"/>
      <c r="Z1" s="12" t="str">
        <f>I1</f>
        <v xml:space="preserve">27  Al  [ He ] </v>
      </c>
      <c r="AA1" s="12"/>
      <c r="AB1" s="34"/>
      <c r="AC1" s="34"/>
      <c r="AD1" s="34"/>
      <c r="AE1" s="34"/>
      <c r="AF1" s="34"/>
      <c r="AG1" s="34"/>
      <c r="AH1" s="34"/>
      <c r="AI1" s="34"/>
      <c r="AJ1" s="34"/>
      <c r="AO1" s="2" t="s">
        <v>288</v>
      </c>
      <c r="AS1" s="2" t="s">
        <v>274</v>
      </c>
      <c r="AT1" s="10"/>
      <c r="AU1" s="7" t="str">
        <f>S1</f>
        <v>Sample</v>
      </c>
      <c r="AV1" s="7"/>
      <c r="AW1" s="7"/>
      <c r="AX1" s="10"/>
      <c r="AY1" s="7"/>
      <c r="AZ1" s="7"/>
      <c r="BA1" s="7"/>
      <c r="BB1" s="12" t="s">
        <v>292</v>
      </c>
      <c r="BC1" s="12"/>
      <c r="BD1" s="34"/>
      <c r="BE1" s="34"/>
      <c r="BF1" s="34"/>
      <c r="BG1" s="34"/>
      <c r="BH1" s="34"/>
      <c r="BI1" s="34"/>
      <c r="BJ1" s="34"/>
      <c r="BK1" s="34"/>
      <c r="BL1" s="34"/>
      <c r="BM1"/>
      <c r="BN1"/>
      <c r="BO1"/>
      <c r="BQ1" s="2" t="s">
        <v>288</v>
      </c>
      <c r="BU1" s="2"/>
    </row>
    <row r="2" spans="1:73" x14ac:dyDescent="0.25">
      <c r="A2" s="22" t="str">
        <f>Alex_ITSD_count_data!A2</f>
        <v>Number</v>
      </c>
      <c r="B2" s="7"/>
      <c r="C2" s="7" t="str">
        <f>Alex_ITSD_count_data!C2</f>
        <v>Rjct</v>
      </c>
      <c r="D2" s="7" t="str">
        <f>Alex_ITSD_count_data!D2</f>
        <v>Data File</v>
      </c>
      <c r="E2" s="10" t="str">
        <f>Alex_ITSD_count_data!E2</f>
        <v>Acq. Date-Time</v>
      </c>
      <c r="F2" s="7" t="str">
        <f>Alex_ITSD_count_data!F2</f>
        <v>Type</v>
      </c>
      <c r="G2" s="7" t="str">
        <f>Alex_ITSD_count_data!G2</f>
        <v>Level</v>
      </c>
      <c r="H2" s="7" t="str">
        <f>Alex_ITSD_count_data!H2</f>
        <v>Sample Name</v>
      </c>
      <c r="I2" s="12" t="str">
        <f>Alex_ITSD_count_data!I2</f>
        <v>CPS</v>
      </c>
      <c r="J2" s="12" t="str">
        <f>Alex_ITSD_count_data!J2</f>
        <v>CPS RSD</v>
      </c>
      <c r="K2" s="56" t="s">
        <v>296</v>
      </c>
      <c r="L2" s="57" t="s">
        <v>326</v>
      </c>
      <c r="M2" s="57" t="s">
        <v>327</v>
      </c>
      <c r="N2" s="28"/>
      <c r="O2" s="57" t="s">
        <v>326</v>
      </c>
      <c r="P2" s="57" t="s">
        <v>327</v>
      </c>
      <c r="R2" s="10" t="str">
        <f>A2</f>
        <v>Number</v>
      </c>
      <c r="S2" s="7"/>
      <c r="T2" s="7" t="str">
        <f t="shared" ref="T2:Y2" si="0">C2</f>
        <v>Rjct</v>
      </c>
      <c r="U2" s="7" t="str">
        <f t="shared" si="0"/>
        <v>Data File</v>
      </c>
      <c r="V2" s="10" t="str">
        <f t="shared" si="0"/>
        <v>Acq. Date-Time</v>
      </c>
      <c r="W2" s="7" t="str">
        <f t="shared" si="0"/>
        <v>Type</v>
      </c>
      <c r="X2" s="7" t="str">
        <f t="shared" si="0"/>
        <v>Level</v>
      </c>
      <c r="Y2" s="7" t="str">
        <f t="shared" si="0"/>
        <v>Sample Name</v>
      </c>
      <c r="Z2" s="12" t="str">
        <f>I2</f>
        <v>CPS</v>
      </c>
      <c r="AA2" s="12" t="str">
        <f>J2</f>
        <v>CPS RSD</v>
      </c>
      <c r="AB2" s="27" t="s">
        <v>256</v>
      </c>
      <c r="AC2" s="27" t="s">
        <v>264</v>
      </c>
      <c r="AD2" s="27" t="s">
        <v>265</v>
      </c>
      <c r="AE2" s="27" t="s">
        <v>266</v>
      </c>
      <c r="AF2" s="27" t="s">
        <v>267</v>
      </c>
      <c r="AG2" s="28" t="s">
        <v>257</v>
      </c>
      <c r="AH2" s="28" t="s">
        <v>260</v>
      </c>
      <c r="AI2" s="28" t="s">
        <v>261</v>
      </c>
      <c r="AJ2" s="28" t="s">
        <v>287</v>
      </c>
      <c r="AO2" s="7" t="s">
        <v>272</v>
      </c>
      <c r="AP2" s="7" t="s">
        <v>273</v>
      </c>
      <c r="AT2" s="10" t="str">
        <f t="shared" ref="AT2:AT8" si="1">R2</f>
        <v>Number</v>
      </c>
      <c r="AU2" s="7"/>
      <c r="AV2" s="7" t="str">
        <f t="shared" ref="AV2:BK2" si="2">T2</f>
        <v>Rjct</v>
      </c>
      <c r="AW2" s="7" t="str">
        <f t="shared" si="2"/>
        <v>Data File</v>
      </c>
      <c r="AX2" s="10" t="str">
        <f t="shared" si="2"/>
        <v>Acq. Date-Time</v>
      </c>
      <c r="AY2" s="7" t="str">
        <f t="shared" si="2"/>
        <v>Type</v>
      </c>
      <c r="AZ2" s="7" t="str">
        <f t="shared" si="2"/>
        <v>Level</v>
      </c>
      <c r="BA2" s="7" t="str">
        <f t="shared" si="2"/>
        <v>Sample Name</v>
      </c>
      <c r="BB2" s="12" t="str">
        <f t="shared" si="2"/>
        <v>CPS</v>
      </c>
      <c r="BC2" s="12" t="str">
        <f t="shared" si="2"/>
        <v>CPS RSD</v>
      </c>
      <c r="BD2" s="27" t="str">
        <f t="shared" si="2"/>
        <v>Mean</v>
      </c>
      <c r="BE2" s="27" t="str">
        <f t="shared" si="2"/>
        <v>120% Mean</v>
      </c>
      <c r="BF2" s="27" t="str">
        <f t="shared" si="2"/>
        <v>80% Mean</v>
      </c>
      <c r="BG2" s="27" t="str">
        <f t="shared" si="2"/>
        <v>110% Mean</v>
      </c>
      <c r="BH2" s="27" t="str">
        <f t="shared" si="2"/>
        <v>90% Mean</v>
      </c>
      <c r="BI2" s="28" t="str">
        <f t="shared" si="2"/>
        <v>Stdev</v>
      </c>
      <c r="BJ2" s="28" t="str">
        <f t="shared" si="2"/>
        <v>RelStdev</v>
      </c>
      <c r="BK2" s="28" t="str">
        <f t="shared" si="2"/>
        <v>Range</v>
      </c>
      <c r="BL2" s="28" t="s">
        <v>287</v>
      </c>
      <c r="BM2"/>
      <c r="BN2"/>
      <c r="BO2"/>
      <c r="BQ2" s="7" t="s">
        <v>272</v>
      </c>
      <c r="BR2" s="7" t="s">
        <v>273</v>
      </c>
      <c r="BU2" s="2"/>
    </row>
    <row r="3" spans="1:73" x14ac:dyDescent="0.25">
      <c r="A3" s="23">
        <f>Alex_ITSD_count_data!A3</f>
        <v>0</v>
      </c>
      <c r="B3" s="8"/>
      <c r="C3" s="8" t="b">
        <f>Alex_ITSD_count_data!C3</f>
        <v>0</v>
      </c>
      <c r="D3" s="8" t="str">
        <f>Alex_ITSD_count_data!D3</f>
        <v>001SMPL.d</v>
      </c>
      <c r="E3" s="11">
        <f>Alex_ITSD_count_data!E3</f>
        <v>45246.480185185188</v>
      </c>
      <c r="F3" s="8" t="str">
        <f>Alex_ITSD_count_data!F3</f>
        <v>Sample</v>
      </c>
      <c r="G3" s="8">
        <f>Alex_ITSD_count_data!G3</f>
        <v>0</v>
      </c>
      <c r="H3" s="8" t="str">
        <f>Alex_ITSD_count_data!H3</f>
        <v>blk</v>
      </c>
      <c r="I3" s="17">
        <f>Alex_ITSD_count_data!I3</f>
        <v>590.48</v>
      </c>
      <c r="J3" s="17">
        <f>Alex_ITSD_count_data!J3</f>
        <v>32.700000000000003</v>
      </c>
      <c r="K3" s="46"/>
      <c r="L3" s="17"/>
      <c r="M3" s="17"/>
      <c r="N3" s="8"/>
      <c r="O3" s="8"/>
      <c r="P3" s="8"/>
      <c r="R3" s="23">
        <f t="shared" ref="R3:AA3" si="3">A12</f>
        <v>1.0532407402934041E-2</v>
      </c>
      <c r="S3" s="8" t="str">
        <f t="shared" si="3"/>
        <v>45  Sc ( ISTD )  [ He ] :  ISTD Recovery Percent value = 294.14 is outside the allowed range [80.00, 120.00]103  Rh ( ISTD )  [ He ] :  ISTD Recovery Percent value = 306.45 is outside the allowed range [80.00, 120.00]</v>
      </c>
      <c r="T3" s="8" t="b">
        <f t="shared" si="3"/>
        <v>0</v>
      </c>
      <c r="U3" s="8" t="str">
        <f t="shared" si="3"/>
        <v>010CALS.d</v>
      </c>
      <c r="V3" s="11">
        <f t="shared" si="3"/>
        <v>45246.490717592591</v>
      </c>
      <c r="W3" s="8" t="str">
        <f t="shared" si="3"/>
        <v>CalStd</v>
      </c>
      <c r="X3" s="8">
        <f t="shared" si="3"/>
        <v>7</v>
      </c>
      <c r="Y3" s="8" t="str">
        <f t="shared" si="3"/>
        <v>100 ppb m16 + Al</v>
      </c>
      <c r="Z3" s="17">
        <f t="shared" si="3"/>
        <v>46356.71</v>
      </c>
      <c r="AA3" s="8">
        <f t="shared" si="3"/>
        <v>1.7</v>
      </c>
      <c r="AB3" s="8">
        <f>AVERAGE(Z3:Z8)</f>
        <v>51377.505000000005</v>
      </c>
      <c r="AC3" s="8">
        <f>1.2*AB3</f>
        <v>61653.006000000001</v>
      </c>
      <c r="AD3" s="8">
        <f>0.8*AB3</f>
        <v>41102.004000000008</v>
      </c>
      <c r="AE3" s="8">
        <f>1.1*AB3</f>
        <v>56515.255500000007</v>
      </c>
      <c r="AF3" s="8">
        <f>0.9*AB3</f>
        <v>46239.754500000003</v>
      </c>
      <c r="AG3" s="8">
        <f>STDEV(Z3:Z8)</f>
        <v>4379.1226466896296</v>
      </c>
      <c r="AH3" s="8">
        <f>AG3/AB3 * 100</f>
        <v>8.5234241068919729</v>
      </c>
      <c r="AI3" s="8">
        <f>MAX(Z3:Z8)-MIN(Z3:Z8)</f>
        <v>9410.989999999998</v>
      </c>
      <c r="AJ3" s="8">
        <f>AG3/SQRT(COUNT(Z3:Z8))</f>
        <v>1787.7693342426287</v>
      </c>
      <c r="AN3" t="s">
        <v>280</v>
      </c>
      <c r="AO3" s="17" cm="1">
        <f t="array" ref="AO3:AP7">LINEST(Z3:Z8,V3:V8, TRUE, TRUE)</f>
        <v>106992.6350970062</v>
      </c>
      <c r="AP3" s="17">
        <v>-4840996067.2163324</v>
      </c>
      <c r="AQ3" s="20" t="s">
        <v>281</v>
      </c>
      <c r="AT3" s="23">
        <f t="shared" si="1"/>
        <v>1.0532407402934041E-2</v>
      </c>
      <c r="AU3" s="8" t="str">
        <f t="shared" ref="AU3:BA8" si="4">S3</f>
        <v>45  Sc ( ISTD )  [ He ] :  ISTD Recovery Percent value = 294.14 is outside the allowed range [80.00, 120.00]103  Rh ( ISTD )  [ He ] :  ISTD Recovery Percent value = 306.45 is outside the allowed range [80.00, 120.00]</v>
      </c>
      <c r="AV3" s="8" t="b">
        <f t="shared" si="4"/>
        <v>0</v>
      </c>
      <c r="AW3" s="8" t="str">
        <f t="shared" si="4"/>
        <v>010CALS.d</v>
      </c>
      <c r="AX3" s="11">
        <f t="shared" si="4"/>
        <v>45246.490717592591</v>
      </c>
      <c r="AY3" s="8" t="str">
        <f t="shared" si="4"/>
        <v>CalStd</v>
      </c>
      <c r="AZ3" s="8">
        <f t="shared" si="4"/>
        <v>7</v>
      </c>
      <c r="BA3" s="8" t="str">
        <f t="shared" si="4"/>
        <v>100 ppb m16 + Al</v>
      </c>
      <c r="BB3" s="8">
        <f t="shared" ref="BB3:BB8" si="5">Z3-($AO$3*AT3)</f>
        <v>45229.81997804487</v>
      </c>
      <c r="BC3" s="8"/>
      <c r="BD3" s="8">
        <f>AVERAGE(BB3:BB8)</f>
        <v>44076.661107678614</v>
      </c>
      <c r="BE3" s="8">
        <f>1.2*BD3</f>
        <v>52891.993329214332</v>
      </c>
      <c r="BF3" s="8">
        <f>0.8*BD3</f>
        <v>35261.328886142895</v>
      </c>
      <c r="BG3" s="8">
        <f>1.1*BD3</f>
        <v>48484.32721844648</v>
      </c>
      <c r="BH3" s="8">
        <f>0.9*BD3</f>
        <v>39668.994996910755</v>
      </c>
      <c r="BI3" s="8">
        <f>STDEV(BB3:BB8)</f>
        <v>1737.9419294717118</v>
      </c>
      <c r="BJ3" s="8">
        <f>BI3/BD3 * 100</f>
        <v>3.942998144133345</v>
      </c>
      <c r="BK3" s="8">
        <f>MAX(BB3:BB8)-MIN(BB3:BB8)</f>
        <v>4389.4556553517687</v>
      </c>
      <c r="BL3" s="8">
        <f>BI3/SQRT(COUNT(BB3:BB8))</f>
        <v>709.51182163229396</v>
      </c>
      <c r="BM3"/>
      <c r="BN3"/>
      <c r="BO3"/>
      <c r="BP3" t="s">
        <v>280</v>
      </c>
      <c r="BQ3" s="17" cm="1">
        <f t="array" ref="BQ3:BR7">LINEST(BB3:BB8,AX3:AX8, TRUE, TRUE)</f>
        <v>-5.1427104521298876E-11</v>
      </c>
      <c r="BR3" s="17">
        <v>44076.661110005516</v>
      </c>
      <c r="BS3" s="20" t="s">
        <v>281</v>
      </c>
      <c r="BU3" s="20"/>
    </row>
    <row r="4" spans="1:73" x14ac:dyDescent="0.25">
      <c r="A4" s="23">
        <f>Alex_ITSD_count_data!A4</f>
        <v>1.1458333319751546E-3</v>
      </c>
      <c r="B4" s="8" t="str">
        <f>Alex_ITSD_count_data!B4</f>
        <v>56  Fe  [ He ] :  CPS RSD value = 5.02 is over the allowed maximum = 5.00</v>
      </c>
      <c r="C4" s="8" t="b">
        <f>Alex_ITSD_count_data!C4</f>
        <v>0</v>
      </c>
      <c r="D4" s="8" t="str">
        <f>Alex_ITSD_count_data!D4</f>
        <v>002SMPL.d</v>
      </c>
      <c r="E4" s="11">
        <f>Alex_ITSD_count_data!E4</f>
        <v>45246.48133101852</v>
      </c>
      <c r="F4" s="8" t="str">
        <f>Alex_ITSD_count_data!F4</f>
        <v>Sample</v>
      </c>
      <c r="G4" s="8">
        <f>Alex_ITSD_count_data!G4</f>
        <v>0</v>
      </c>
      <c r="H4" s="8" t="str">
        <f>Alex_ITSD_count_data!H4</f>
        <v>blk</v>
      </c>
      <c r="I4" s="17">
        <f>Alex_ITSD_count_data!I4</f>
        <v>464.68</v>
      </c>
      <c r="J4" s="17">
        <f>Alex_ITSD_count_data!J4</f>
        <v>2.5</v>
      </c>
      <c r="K4" s="46"/>
      <c r="L4" s="17"/>
      <c r="M4" s="17"/>
      <c r="N4" s="8"/>
      <c r="O4" s="8"/>
      <c r="P4" s="8"/>
      <c r="R4" s="23">
        <f t="shared" ref="R4:AA4" si="6">A29</f>
        <v>4.2407407403516117E-2</v>
      </c>
      <c r="S4" s="8" t="str">
        <f t="shared" si="6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T4" s="8" t="b">
        <f t="shared" si="6"/>
        <v>0</v>
      </c>
      <c r="U4" s="8" t="str">
        <f t="shared" si="6"/>
        <v>027SMPL.d</v>
      </c>
      <c r="V4" s="11">
        <f t="shared" si="6"/>
        <v>45246.522592592592</v>
      </c>
      <c r="W4" s="8" t="str">
        <f t="shared" si="6"/>
        <v>Sample</v>
      </c>
      <c r="X4" s="8">
        <f t="shared" si="6"/>
        <v>0</v>
      </c>
      <c r="Y4" s="8" t="str">
        <f t="shared" si="6"/>
        <v>100 ppb check</v>
      </c>
      <c r="Z4" s="8">
        <f t="shared" si="6"/>
        <v>47533.62</v>
      </c>
      <c r="AA4" s="8">
        <f t="shared" si="6"/>
        <v>1.3</v>
      </c>
      <c r="AB4" s="8">
        <f>$AB$3</f>
        <v>51377.505000000005</v>
      </c>
      <c r="AC4" s="8">
        <f t="shared" ref="AC4:AJ4" si="7">AC$3</f>
        <v>61653.006000000001</v>
      </c>
      <c r="AD4" s="8">
        <f t="shared" si="7"/>
        <v>41102.004000000008</v>
      </c>
      <c r="AE4" s="8">
        <f t="shared" si="7"/>
        <v>56515.255500000007</v>
      </c>
      <c r="AF4" s="8">
        <f t="shared" si="7"/>
        <v>46239.754500000003</v>
      </c>
      <c r="AG4" s="8">
        <f t="shared" si="7"/>
        <v>4379.1226466896296</v>
      </c>
      <c r="AH4" s="8">
        <f t="shared" si="7"/>
        <v>8.5234241068919729</v>
      </c>
      <c r="AI4" s="8">
        <f t="shared" si="7"/>
        <v>9410.989999999998</v>
      </c>
      <c r="AJ4" s="8">
        <f t="shared" si="7"/>
        <v>1787.7693342426287</v>
      </c>
      <c r="AN4" t="s">
        <v>286</v>
      </c>
      <c r="AO4" s="17">
        <v>23130.688373865069</v>
      </c>
      <c r="AP4" s="17">
        <v>1046583811.5441495</v>
      </c>
      <c r="AQ4" t="s">
        <v>282</v>
      </c>
      <c r="AT4" s="23">
        <f t="shared" si="1"/>
        <v>4.2407407403516117E-2</v>
      </c>
      <c r="AU4" s="8" t="str">
        <f t="shared" si="4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AV4" s="8" t="b">
        <f t="shared" si="4"/>
        <v>0</v>
      </c>
      <c r="AW4" s="8" t="str">
        <f t="shared" si="4"/>
        <v>027SMPL.d</v>
      </c>
      <c r="AX4" s="11">
        <f t="shared" si="4"/>
        <v>45246.522592592592</v>
      </c>
      <c r="AY4" s="8" t="str">
        <f t="shared" si="4"/>
        <v>Sample</v>
      </c>
      <c r="AZ4" s="8">
        <f t="shared" si="4"/>
        <v>0</v>
      </c>
      <c r="BA4" s="8" t="str">
        <f t="shared" si="4"/>
        <v>100 ppb check</v>
      </c>
      <c r="BB4" s="8">
        <f t="shared" si="5"/>
        <v>42996.339734265523</v>
      </c>
      <c r="BC4" s="8"/>
      <c r="BD4" s="8">
        <f t="shared" ref="BD4:BL4" si="8">BD$3</f>
        <v>44076.661107678614</v>
      </c>
      <c r="BE4" s="8">
        <f t="shared" si="8"/>
        <v>52891.993329214332</v>
      </c>
      <c r="BF4" s="8">
        <f t="shared" si="8"/>
        <v>35261.328886142895</v>
      </c>
      <c r="BG4" s="8">
        <f t="shared" si="8"/>
        <v>48484.32721844648</v>
      </c>
      <c r="BH4" s="8">
        <f t="shared" si="8"/>
        <v>39668.994996910755</v>
      </c>
      <c r="BI4" s="8">
        <f t="shared" si="8"/>
        <v>1737.9419294717118</v>
      </c>
      <c r="BJ4" s="8">
        <f t="shared" si="8"/>
        <v>3.942998144133345</v>
      </c>
      <c r="BK4" s="8">
        <f t="shared" si="8"/>
        <v>4389.4556553517687</v>
      </c>
      <c r="BL4" s="8">
        <f t="shared" si="8"/>
        <v>709.51182163229396</v>
      </c>
      <c r="BM4"/>
      <c r="BN4"/>
      <c r="BO4"/>
      <c r="BP4" t="s">
        <v>286</v>
      </c>
      <c r="BQ4" s="17">
        <v>23130.688373865087</v>
      </c>
      <c r="BR4" s="17">
        <v>1046583811.5441502</v>
      </c>
      <c r="BS4" t="s">
        <v>282</v>
      </c>
      <c r="BU4" s="20"/>
    </row>
    <row r="5" spans="1:73" x14ac:dyDescent="0.25">
      <c r="A5" s="23">
        <f>Alex_ITSD_count_data!A5</f>
        <v>2.3263888870133087E-3</v>
      </c>
      <c r="B5" s="8"/>
      <c r="C5" s="8" t="b">
        <f>Alex_ITSD_count_data!C5</f>
        <v>0</v>
      </c>
      <c r="D5" s="8" t="str">
        <f>Alex_ITSD_count_data!D5</f>
        <v>003SMPL.d</v>
      </c>
      <c r="E5" s="11">
        <f>Alex_ITSD_count_data!E5</f>
        <v>45246.482511574075</v>
      </c>
      <c r="F5" s="8" t="str">
        <f>Alex_ITSD_count_data!F5</f>
        <v>Sample</v>
      </c>
      <c r="G5" s="8">
        <f>Alex_ITSD_count_data!G5</f>
        <v>0</v>
      </c>
      <c r="H5" s="8" t="str">
        <f>Alex_ITSD_count_data!H5</f>
        <v>blk</v>
      </c>
      <c r="I5" s="17">
        <f>Alex_ITSD_count_data!I5</f>
        <v>396.34</v>
      </c>
      <c r="J5" s="17">
        <f>Alex_ITSD_count_data!J5</f>
        <v>1.7</v>
      </c>
      <c r="K5" s="46"/>
      <c r="L5" s="17"/>
      <c r="M5" s="17"/>
      <c r="N5" s="8"/>
      <c r="O5" s="8"/>
      <c r="P5" s="8"/>
      <c r="R5" s="23">
        <f t="shared" ref="R5:AA5" si="9">A41</f>
        <v>6.4664351848477963E-2</v>
      </c>
      <c r="S5" s="8" t="str">
        <f t="shared" si="9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T5" s="8" t="b">
        <f t="shared" si="9"/>
        <v>0</v>
      </c>
      <c r="U5" s="8" t="str">
        <f t="shared" si="9"/>
        <v>039SMPL.d</v>
      </c>
      <c r="V5" s="11">
        <f t="shared" si="9"/>
        <v>45246.544849537036</v>
      </c>
      <c r="W5" s="8" t="str">
        <f t="shared" si="9"/>
        <v>Sample</v>
      </c>
      <c r="X5" s="8">
        <f t="shared" si="9"/>
        <v>0</v>
      </c>
      <c r="Y5" s="8" t="str">
        <f t="shared" si="9"/>
        <v>100 ppb check</v>
      </c>
      <c r="Z5" s="8">
        <f t="shared" si="9"/>
        <v>48426.69</v>
      </c>
      <c r="AA5" s="8">
        <f t="shared" si="9"/>
        <v>2.6</v>
      </c>
      <c r="AB5" s="8">
        <f t="shared" ref="AB5:AB8" si="10">$AB$3</f>
        <v>51377.505000000005</v>
      </c>
      <c r="AC5" s="8">
        <f t="shared" ref="AC5:AF8" si="11">AC$3</f>
        <v>61653.006000000001</v>
      </c>
      <c r="AD5" s="8">
        <f t="shared" si="11"/>
        <v>41102.004000000008</v>
      </c>
      <c r="AE5" s="8">
        <f t="shared" si="11"/>
        <v>56515.255500000007</v>
      </c>
      <c r="AF5" s="8">
        <f t="shared" si="11"/>
        <v>46239.754500000003</v>
      </c>
      <c r="AG5" s="8">
        <f t="shared" ref="AG5:AI8" si="12">AG$3</f>
        <v>4379.1226466896296</v>
      </c>
      <c r="AH5" s="8">
        <f t="shared" si="12"/>
        <v>8.5234241068919729</v>
      </c>
      <c r="AI5" s="8">
        <f t="shared" si="12"/>
        <v>9410.989999999998</v>
      </c>
      <c r="AJ5" s="8">
        <f t="shared" ref="AJ5:AJ8" si="13">AJ$3</f>
        <v>1787.7693342426287</v>
      </c>
      <c r="AN5" t="s">
        <v>277</v>
      </c>
      <c r="AO5" s="17">
        <v>0.84249428925434588</v>
      </c>
      <c r="AP5" s="17">
        <v>1943.0781476229449</v>
      </c>
      <c r="AQ5" t="s">
        <v>285</v>
      </c>
      <c r="AT5" s="23">
        <f t="shared" si="1"/>
        <v>6.4664351848477963E-2</v>
      </c>
      <c r="AU5" s="8" t="str">
        <f t="shared" si="4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AV5" s="8" t="b">
        <f t="shared" si="4"/>
        <v>0</v>
      </c>
      <c r="AW5" s="8" t="str">
        <f t="shared" si="4"/>
        <v>039SMPL.d</v>
      </c>
      <c r="AX5" s="11">
        <f t="shared" si="4"/>
        <v>45246.544849537036</v>
      </c>
      <c r="AY5" s="8" t="str">
        <f t="shared" si="4"/>
        <v>Sample</v>
      </c>
      <c r="AZ5" s="8">
        <f t="shared" si="4"/>
        <v>0</v>
      </c>
      <c r="BA5" s="8" t="str">
        <f t="shared" si="4"/>
        <v>100 ppb check</v>
      </c>
      <c r="BB5" s="8">
        <f t="shared" si="5"/>
        <v>41508.080598891378</v>
      </c>
      <c r="BC5" s="8"/>
      <c r="BD5" s="8">
        <f t="shared" ref="BD5:BH8" si="14">BD$3</f>
        <v>44076.661107678614</v>
      </c>
      <c r="BE5" s="8">
        <f t="shared" si="14"/>
        <v>52891.993329214332</v>
      </c>
      <c r="BF5" s="8">
        <f t="shared" si="14"/>
        <v>35261.328886142895</v>
      </c>
      <c r="BG5" s="8">
        <f t="shared" si="14"/>
        <v>48484.32721844648</v>
      </c>
      <c r="BH5" s="8">
        <f t="shared" si="14"/>
        <v>39668.994996910755</v>
      </c>
      <c r="BI5" s="8">
        <f t="shared" ref="BI5:BK8" si="15">BI$3</f>
        <v>1737.9419294717118</v>
      </c>
      <c r="BJ5" s="8">
        <f t="shared" si="15"/>
        <v>3.942998144133345</v>
      </c>
      <c r="BK5" s="8">
        <f t="shared" si="15"/>
        <v>4389.4556553517687</v>
      </c>
      <c r="BL5" s="8">
        <f t="shared" ref="BL5:BL8" si="16">BL$3</f>
        <v>709.51182163229396</v>
      </c>
      <c r="BM5"/>
      <c r="BN5"/>
      <c r="BO5"/>
      <c r="BP5" t="s">
        <v>277</v>
      </c>
      <c r="BQ5" s="17">
        <v>-1.2333592610590757E-16</v>
      </c>
      <c r="BR5" s="17">
        <v>1943.0781476229465</v>
      </c>
      <c r="BS5" t="s">
        <v>285</v>
      </c>
      <c r="BU5" s="20"/>
    </row>
    <row r="6" spans="1:73" x14ac:dyDescent="0.25">
      <c r="A6" s="23">
        <f>Alex_ITSD_count_data!A6</f>
        <v>3.4490740727051161E-3</v>
      </c>
      <c r="B6" s="8"/>
      <c r="C6" s="8" t="b">
        <f>Alex_ITSD_count_data!C6</f>
        <v>0</v>
      </c>
      <c r="D6" s="8" t="str">
        <f>Alex_ITSD_count_data!D6</f>
        <v>004CALB.d</v>
      </c>
      <c r="E6" s="11">
        <f>Alex_ITSD_count_data!E6</f>
        <v>45246.483634259261</v>
      </c>
      <c r="F6" s="8" t="str">
        <f>Alex_ITSD_count_data!F6</f>
        <v>CalBlk</v>
      </c>
      <c r="G6" s="8">
        <f>Alex_ITSD_count_data!G6</f>
        <v>1</v>
      </c>
      <c r="H6" s="8" t="str">
        <f>Alex_ITSD_count_data!H6</f>
        <v xml:space="preserve">0 ppb </v>
      </c>
      <c r="I6" s="17">
        <f>Alex_ITSD_count_data!I6</f>
        <v>1582.6</v>
      </c>
      <c r="J6" s="17">
        <f>Alex_ITSD_count_data!J6</f>
        <v>17.100000000000001</v>
      </c>
      <c r="K6" s="47">
        <f>I6-($AO$3*A6)</f>
        <v>1213.5744763165164</v>
      </c>
      <c r="L6" s="17">
        <f>(I6-$AP$30)*(1/$AO$30)</f>
        <v>-27.250166717084202</v>
      </c>
      <c r="M6" s="17">
        <f>[2]Alex_MS_FE_AL_data!H6</f>
        <v>0</v>
      </c>
      <c r="N6" s="8"/>
      <c r="O6" s="8"/>
      <c r="P6" s="8"/>
      <c r="R6" s="23">
        <f t="shared" ref="R6:AA6" si="17">A53</f>
        <v>8.2002314811688848E-2</v>
      </c>
      <c r="S6" s="8" t="str">
        <f t="shared" si="17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T6" s="8" t="b">
        <f t="shared" si="17"/>
        <v>0</v>
      </c>
      <c r="U6" s="8" t="str">
        <f t="shared" si="17"/>
        <v>051SMPL.d</v>
      </c>
      <c r="V6" s="11">
        <f t="shared" si="17"/>
        <v>45246.5621875</v>
      </c>
      <c r="W6" s="8" t="str">
        <f t="shared" si="17"/>
        <v>Sample</v>
      </c>
      <c r="X6" s="8">
        <f t="shared" si="17"/>
        <v>0</v>
      </c>
      <c r="Y6" s="8" t="str">
        <f t="shared" si="17"/>
        <v>100 ppb check</v>
      </c>
      <c r="Z6" s="8">
        <f t="shared" si="17"/>
        <v>54671.18</v>
      </c>
      <c r="AA6" s="8">
        <f t="shared" si="17"/>
        <v>1.7</v>
      </c>
      <c r="AB6" s="8">
        <f t="shared" si="10"/>
        <v>51377.505000000005</v>
      </c>
      <c r="AC6" s="8">
        <f t="shared" si="11"/>
        <v>61653.006000000001</v>
      </c>
      <c r="AD6" s="8">
        <f t="shared" si="11"/>
        <v>41102.004000000008</v>
      </c>
      <c r="AE6" s="8">
        <f t="shared" si="11"/>
        <v>56515.255500000007</v>
      </c>
      <c r="AF6" s="8">
        <f t="shared" si="11"/>
        <v>46239.754500000003</v>
      </c>
      <c r="AG6" s="8">
        <f t="shared" si="12"/>
        <v>4379.1226466896296</v>
      </c>
      <c r="AH6" s="8">
        <f t="shared" si="12"/>
        <v>8.5234241068919729</v>
      </c>
      <c r="AI6" s="8">
        <f t="shared" si="12"/>
        <v>9410.989999999998</v>
      </c>
      <c r="AJ6" s="8">
        <f t="shared" si="13"/>
        <v>1787.7693342426287</v>
      </c>
      <c r="AN6" t="s">
        <v>278</v>
      </c>
      <c r="AO6" s="17">
        <v>21.395904574275054</v>
      </c>
      <c r="AP6" s="17">
        <v>4</v>
      </c>
      <c r="AQ6" t="s">
        <v>283</v>
      </c>
      <c r="AT6" s="23">
        <f t="shared" si="1"/>
        <v>8.2002314811688848E-2</v>
      </c>
      <c r="AU6" s="8" t="str">
        <f t="shared" si="4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AV6" s="8" t="b">
        <f t="shared" si="4"/>
        <v>0</v>
      </c>
      <c r="AW6" s="8" t="str">
        <f t="shared" si="4"/>
        <v>051SMPL.d</v>
      </c>
      <c r="AX6" s="11">
        <f t="shared" si="4"/>
        <v>45246.5621875</v>
      </c>
      <c r="AY6" s="8" t="str">
        <f t="shared" si="4"/>
        <v>Sample</v>
      </c>
      <c r="AZ6" s="8">
        <f t="shared" si="4"/>
        <v>0</v>
      </c>
      <c r="BA6" s="8" t="str">
        <f t="shared" si="4"/>
        <v>100 ppb check</v>
      </c>
      <c r="BB6" s="8">
        <f t="shared" si="5"/>
        <v>45897.536254243147</v>
      </c>
      <c r="BC6" s="8"/>
      <c r="BD6" s="8">
        <f t="shared" si="14"/>
        <v>44076.661107678614</v>
      </c>
      <c r="BE6" s="8">
        <f t="shared" si="14"/>
        <v>52891.993329214332</v>
      </c>
      <c r="BF6" s="8">
        <f t="shared" si="14"/>
        <v>35261.328886142895</v>
      </c>
      <c r="BG6" s="8">
        <f t="shared" si="14"/>
        <v>48484.32721844648</v>
      </c>
      <c r="BH6" s="8">
        <f t="shared" si="14"/>
        <v>39668.994996910755</v>
      </c>
      <c r="BI6" s="8">
        <f t="shared" si="15"/>
        <v>1737.9419294717118</v>
      </c>
      <c r="BJ6" s="8">
        <f t="shared" si="15"/>
        <v>3.942998144133345</v>
      </c>
      <c r="BK6" s="8">
        <f t="shared" si="15"/>
        <v>4389.4556553517687</v>
      </c>
      <c r="BL6" s="8">
        <f t="shared" si="16"/>
        <v>709.51182163229396</v>
      </c>
      <c r="BM6"/>
      <c r="BN6"/>
      <c r="BO6"/>
      <c r="BP6" t="s">
        <v>278</v>
      </c>
      <c r="BQ6" s="17">
        <v>-4.9334370442363019E-16</v>
      </c>
      <c r="BR6" s="17">
        <v>4</v>
      </c>
      <c r="BS6" t="s">
        <v>283</v>
      </c>
      <c r="BU6" s="20"/>
    </row>
    <row r="7" spans="1:73" x14ac:dyDescent="0.25">
      <c r="A7" s="23">
        <f>Alex_ITSD_count_data!A7</f>
        <v>4.6180555509636179E-3</v>
      </c>
      <c r="B7" s="8"/>
      <c r="C7" s="8" t="b">
        <f>Alex_ITSD_count_data!C7</f>
        <v>0</v>
      </c>
      <c r="D7" s="8" t="str">
        <f>Alex_ITSD_count_data!D7</f>
        <v>005CALS.d</v>
      </c>
      <c r="E7" s="11">
        <f>Alex_ITSD_count_data!E7</f>
        <v>45246.484803240739</v>
      </c>
      <c r="F7" s="8" t="str">
        <f>Alex_ITSD_count_data!F7</f>
        <v>CalStd</v>
      </c>
      <c r="G7" s="8">
        <f>Alex_ITSD_count_data!G7</f>
        <v>2</v>
      </c>
      <c r="H7" s="8" t="str">
        <f>Alex_ITSD_count_data!H7</f>
        <v>0.5 ppb m16 + Al</v>
      </c>
      <c r="I7" s="17">
        <f>Alex_ITSD_count_data!I7</f>
        <v>838.36</v>
      </c>
      <c r="J7" s="17">
        <f>Alex_ITSD_count_data!J7</f>
        <v>3.9</v>
      </c>
      <c r="K7" s="47">
        <f t="shared" ref="K7:K70" si="18">I7-($AO$3*A7)</f>
        <v>344.26206757804573</v>
      </c>
      <c r="L7" s="17">
        <f>(I7-$AP$30)*(1/$AO$30)</f>
        <v>-29.001705322499898</v>
      </c>
      <c r="M7" s="17" t="str">
        <f>[2]Alex_MS_FE_AL_data!H7</f>
        <v>&lt;0.000</v>
      </c>
      <c r="N7" s="8"/>
      <c r="O7" s="8"/>
      <c r="P7" s="8"/>
      <c r="R7" s="23">
        <f t="shared" ref="R7:AA7" si="19">A65</f>
        <v>9.5740740740438923E-2</v>
      </c>
      <c r="S7" s="8" t="str">
        <f t="shared" si="19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T7" s="8" t="b">
        <f t="shared" si="19"/>
        <v>0</v>
      </c>
      <c r="U7" s="8" t="str">
        <f t="shared" si="19"/>
        <v>063SMPL.d</v>
      </c>
      <c r="V7" s="11">
        <f t="shared" si="19"/>
        <v>45246.575925925928</v>
      </c>
      <c r="W7" s="8" t="str">
        <f t="shared" si="19"/>
        <v>Sample</v>
      </c>
      <c r="X7" s="8">
        <f t="shared" si="19"/>
        <v>0</v>
      </c>
      <c r="Y7" s="8" t="str">
        <f t="shared" si="19"/>
        <v>100 ppb check</v>
      </c>
      <c r="Z7" s="8">
        <f t="shared" si="19"/>
        <v>55767.7</v>
      </c>
      <c r="AA7" s="8">
        <f t="shared" si="19"/>
        <v>4.7</v>
      </c>
      <c r="AB7" s="8">
        <f t="shared" si="10"/>
        <v>51377.505000000005</v>
      </c>
      <c r="AC7" s="8">
        <f t="shared" si="11"/>
        <v>61653.006000000001</v>
      </c>
      <c r="AD7" s="8">
        <f t="shared" si="11"/>
        <v>41102.004000000008</v>
      </c>
      <c r="AE7" s="8">
        <f t="shared" si="11"/>
        <v>56515.255500000007</v>
      </c>
      <c r="AF7" s="8">
        <f t="shared" si="11"/>
        <v>46239.754500000003</v>
      </c>
      <c r="AG7" s="8">
        <f t="shared" si="12"/>
        <v>4379.1226466896296</v>
      </c>
      <c r="AH7" s="8">
        <f t="shared" si="12"/>
        <v>8.5234241068919729</v>
      </c>
      <c r="AI7" s="8">
        <f t="shared" si="12"/>
        <v>9410.989999999998</v>
      </c>
      <c r="AJ7" s="8">
        <f t="shared" si="13"/>
        <v>1787.7693342426287</v>
      </c>
      <c r="AN7" t="s">
        <v>279</v>
      </c>
      <c r="AO7" s="17">
        <v>80781365.022670671</v>
      </c>
      <c r="AP7" s="17">
        <v>15102210.751079261</v>
      </c>
      <c r="AQ7" t="s">
        <v>284</v>
      </c>
      <c r="AT7" s="23">
        <f t="shared" si="1"/>
        <v>9.5740740740438923E-2</v>
      </c>
      <c r="AU7" s="8" t="str">
        <f t="shared" si="4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AV7" s="8" t="b">
        <f t="shared" si="4"/>
        <v>0</v>
      </c>
      <c r="AW7" s="8" t="str">
        <f t="shared" si="4"/>
        <v>063SMPL.d</v>
      </c>
      <c r="AX7" s="11">
        <f t="shared" si="4"/>
        <v>45246.575925925928</v>
      </c>
      <c r="AY7" s="8" t="str">
        <f t="shared" si="4"/>
        <v>Sample</v>
      </c>
      <c r="AZ7" s="8">
        <f t="shared" si="4"/>
        <v>0</v>
      </c>
      <c r="BA7" s="8" t="str">
        <f t="shared" si="4"/>
        <v>100 ppb check</v>
      </c>
      <c r="BB7" s="8">
        <f t="shared" si="5"/>
        <v>45524.145862041143</v>
      </c>
      <c r="BC7" s="8"/>
      <c r="BD7" s="8">
        <f t="shared" si="14"/>
        <v>44076.661107678614</v>
      </c>
      <c r="BE7" s="8">
        <f t="shared" si="14"/>
        <v>52891.993329214332</v>
      </c>
      <c r="BF7" s="8">
        <f t="shared" si="14"/>
        <v>35261.328886142895</v>
      </c>
      <c r="BG7" s="8">
        <f t="shared" si="14"/>
        <v>48484.32721844648</v>
      </c>
      <c r="BH7" s="8">
        <f t="shared" si="14"/>
        <v>39668.994996910755</v>
      </c>
      <c r="BI7" s="8">
        <f t="shared" si="15"/>
        <v>1737.9419294717118</v>
      </c>
      <c r="BJ7" s="8">
        <f t="shared" si="15"/>
        <v>3.942998144133345</v>
      </c>
      <c r="BK7" s="8">
        <f t="shared" si="15"/>
        <v>4389.4556553517687</v>
      </c>
      <c r="BL7" s="8">
        <f t="shared" si="16"/>
        <v>709.51182163229396</v>
      </c>
      <c r="BM7"/>
      <c r="BN7"/>
      <c r="BO7"/>
      <c r="BP7" t="s">
        <v>279</v>
      </c>
      <c r="BQ7" s="17">
        <v>-1.862645149230957E-9</v>
      </c>
      <c r="BR7" s="17">
        <v>15102210.751079284</v>
      </c>
      <c r="BS7" t="s">
        <v>284</v>
      </c>
      <c r="BU7" s="20"/>
    </row>
    <row r="8" spans="1:73" x14ac:dyDescent="0.25">
      <c r="A8" s="23">
        <f>Alex_ITSD_count_data!A8</f>
        <v>5.7870370364980772E-3</v>
      </c>
      <c r="B8" s="8" t="str">
        <f>Alex_ITSD_count_data!B8</f>
        <v>45  Sc ( ISTD )  [ He ] :  ISTD Recovery Percent value = 135.23 is outside the allowed range [80.00, 120.00]103  Rh ( ISTD )  [ He ] :  ISTD Recovery Percent value = 137.11 is outside the allowed range [80.00, 120.00]</v>
      </c>
      <c r="C8" s="8" t="b">
        <f>Alex_ITSD_count_data!C8</f>
        <v>0</v>
      </c>
      <c r="D8" s="8" t="str">
        <f>Alex_ITSD_count_data!D8</f>
        <v>006CALS.d</v>
      </c>
      <c r="E8" s="11">
        <f>Alex_ITSD_count_data!E8</f>
        <v>45246.485972222225</v>
      </c>
      <c r="F8" s="8" t="str">
        <f>Alex_ITSD_count_data!F8</f>
        <v>CalStd</v>
      </c>
      <c r="G8" s="8">
        <f>Alex_ITSD_count_data!G8</f>
        <v>3</v>
      </c>
      <c r="H8" s="8" t="str">
        <f>Alex_ITSD_count_data!H8</f>
        <v>1 ppb m16 + Al</v>
      </c>
      <c r="I8" s="17">
        <f>Alex_ITSD_count_data!I8</f>
        <v>2843.62</v>
      </c>
      <c r="J8" s="17">
        <f>Alex_ITSD_count_data!J8</f>
        <v>1.6</v>
      </c>
      <c r="K8" s="47">
        <f t="shared" si="18"/>
        <v>2224.4496580611012</v>
      </c>
      <c r="L8" s="17">
        <f t="shared" ref="L8:L71" si="20">(I8-$AP$30)*(1/$AO$30)</f>
        <v>-24.282407375740956</v>
      </c>
      <c r="M8" s="17">
        <f>[2]Alex_MS_FE_AL_data!H8</f>
        <v>2.9630000000000001</v>
      </c>
      <c r="N8" s="8"/>
      <c r="O8" s="8"/>
      <c r="P8" s="8"/>
      <c r="R8" s="23">
        <f t="shared" ref="R8:AA8" si="21">A81</f>
        <v>0.11407407407386927</v>
      </c>
      <c r="S8" s="8" t="str">
        <f t="shared" si="21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T8" s="8" t="b">
        <f t="shared" si="21"/>
        <v>0</v>
      </c>
      <c r="U8" s="8" t="str">
        <f t="shared" si="21"/>
        <v>079SMPL.d</v>
      </c>
      <c r="V8" s="11">
        <f t="shared" si="21"/>
        <v>45246.594259259262</v>
      </c>
      <c r="W8" s="8" t="str">
        <f t="shared" si="21"/>
        <v>Sample</v>
      </c>
      <c r="X8" s="8">
        <f t="shared" si="21"/>
        <v>0</v>
      </c>
      <c r="Y8" s="8" t="str">
        <f t="shared" si="21"/>
        <v>100 ppb check</v>
      </c>
      <c r="Z8" s="8">
        <f t="shared" si="21"/>
        <v>55509.13</v>
      </c>
      <c r="AA8" s="8">
        <f t="shared" si="21"/>
        <v>2.7</v>
      </c>
      <c r="AB8" s="8">
        <f t="shared" si="10"/>
        <v>51377.505000000005</v>
      </c>
      <c r="AC8" s="8">
        <f t="shared" si="11"/>
        <v>61653.006000000001</v>
      </c>
      <c r="AD8" s="8">
        <f t="shared" si="11"/>
        <v>41102.004000000008</v>
      </c>
      <c r="AE8" s="8">
        <f t="shared" si="11"/>
        <v>56515.255500000007</v>
      </c>
      <c r="AF8" s="8">
        <f t="shared" si="11"/>
        <v>46239.754500000003</v>
      </c>
      <c r="AG8" s="8">
        <f t="shared" si="12"/>
        <v>4379.1226466896296</v>
      </c>
      <c r="AH8" s="8">
        <f t="shared" si="12"/>
        <v>8.5234241068919729</v>
      </c>
      <c r="AI8" s="8">
        <f t="shared" si="12"/>
        <v>9410.989999999998</v>
      </c>
      <c r="AJ8" s="8">
        <f t="shared" si="13"/>
        <v>1787.7693342426287</v>
      </c>
      <c r="AT8" s="23">
        <f t="shared" si="1"/>
        <v>0.11407407407386927</v>
      </c>
      <c r="AU8" s="8" t="str">
        <f t="shared" si="4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AV8" s="8" t="b">
        <f t="shared" si="4"/>
        <v>0</v>
      </c>
      <c r="AW8" s="8" t="str">
        <f t="shared" si="4"/>
        <v>079SMPL.d</v>
      </c>
      <c r="AX8" s="11">
        <f t="shared" si="4"/>
        <v>45246.594259259262</v>
      </c>
      <c r="AY8" s="8" t="str">
        <f t="shared" si="4"/>
        <v>Sample</v>
      </c>
      <c r="AZ8" s="8">
        <f t="shared" si="4"/>
        <v>0</v>
      </c>
      <c r="BA8" s="8" t="str">
        <f t="shared" si="4"/>
        <v>100 ppb check</v>
      </c>
      <c r="BB8" s="8">
        <f t="shared" si="5"/>
        <v>43304.044218585645</v>
      </c>
      <c r="BC8" s="8"/>
      <c r="BD8" s="8">
        <f t="shared" si="14"/>
        <v>44076.661107678614</v>
      </c>
      <c r="BE8" s="8">
        <f t="shared" si="14"/>
        <v>52891.993329214332</v>
      </c>
      <c r="BF8" s="8">
        <f t="shared" si="14"/>
        <v>35261.328886142895</v>
      </c>
      <c r="BG8" s="8">
        <f t="shared" si="14"/>
        <v>48484.32721844648</v>
      </c>
      <c r="BH8" s="8">
        <f t="shared" si="14"/>
        <v>39668.994996910755</v>
      </c>
      <c r="BI8" s="8">
        <f t="shared" si="15"/>
        <v>1737.9419294717118</v>
      </c>
      <c r="BJ8" s="8">
        <f t="shared" si="15"/>
        <v>3.942998144133345</v>
      </c>
      <c r="BK8" s="8">
        <f t="shared" si="15"/>
        <v>4389.4556553517687</v>
      </c>
      <c r="BL8" s="8">
        <f t="shared" si="16"/>
        <v>709.51182163229396</v>
      </c>
      <c r="BM8"/>
      <c r="BN8"/>
      <c r="BO8"/>
    </row>
    <row r="9" spans="1:73" x14ac:dyDescent="0.25">
      <c r="A9" s="23">
        <f>Alex_ITSD_count_data!A9</f>
        <v>7.0023148145992309E-3</v>
      </c>
      <c r="B9" s="8" t="str">
        <f>Alex_ITSD_count_data!B9</f>
        <v>45  Sc ( ISTD )  [ He ] :  ISTD Recovery Percent value = 158.50 is outside the allowed range [80.00, 120.00]103  Rh ( ISTD )  [ He ] :  ISTD Recovery Percent value = 166.42 is outside the allowed range [80.00, 120.00]</v>
      </c>
      <c r="C9" s="8" t="b">
        <f>Alex_ITSD_count_data!C9</f>
        <v>0</v>
      </c>
      <c r="D9" s="8" t="str">
        <f>Alex_ITSD_count_data!D9</f>
        <v>007CALS.d</v>
      </c>
      <c r="E9" s="11">
        <f>Alex_ITSD_count_data!E9</f>
        <v>45246.487187500003</v>
      </c>
      <c r="F9" s="8" t="str">
        <f>Alex_ITSD_count_data!F9</f>
        <v>CalStd</v>
      </c>
      <c r="G9" s="8">
        <f>Alex_ITSD_count_data!G9</f>
        <v>4</v>
      </c>
      <c r="H9" s="8" t="str">
        <f>Alex_ITSD_count_data!H9</f>
        <v>5 ppb m16 + Al</v>
      </c>
      <c r="I9" s="17">
        <f>Alex_ITSD_count_data!I9</f>
        <v>2868.62</v>
      </c>
      <c r="J9" s="17">
        <f>Alex_ITSD_count_data!J9</f>
        <v>1.8</v>
      </c>
      <c r="K9" s="47">
        <f t="shared" si="18"/>
        <v>2119.4238862072239</v>
      </c>
      <c r="L9" s="17">
        <f t="shared" si="20"/>
        <v>-24.223570891360389</v>
      </c>
      <c r="M9" s="17">
        <f>[2]Alex_MS_FE_AL_data!H9</f>
        <v>3.0209999999999999</v>
      </c>
      <c r="N9" s="8"/>
      <c r="O9" s="8"/>
      <c r="P9" s="8"/>
      <c r="BD9"/>
      <c r="BE9"/>
      <c r="BF9"/>
      <c r="BG9"/>
      <c r="BH9"/>
      <c r="BI9"/>
      <c r="BJ9"/>
      <c r="BK9"/>
      <c r="BL9"/>
      <c r="BM9"/>
      <c r="BN9"/>
      <c r="BO9"/>
    </row>
    <row r="10" spans="1:73" x14ac:dyDescent="0.25">
      <c r="A10" s="23">
        <f>Alex_ITSD_count_data!A10</f>
        <v>8.182870369637385E-3</v>
      </c>
      <c r="B10" s="8" t="str">
        <f>Alex_ITSD_count_data!B10</f>
        <v>45  Sc ( ISTD )  [ He ] :  ISTD Recovery Percent value = 191.39 is outside the allowed range [80.00, 120.00]103  Rh ( ISTD )  [ He ] :  ISTD Recovery Percent value = 202.01 is outside the allowed range [80.00, 120.00]</v>
      </c>
      <c r="C10" s="8" t="b">
        <f>Alex_ITSD_count_data!C10</f>
        <v>0</v>
      </c>
      <c r="D10" s="8" t="str">
        <f>Alex_ITSD_count_data!D10</f>
        <v>008CALS.d</v>
      </c>
      <c r="E10" s="11">
        <f>Alex_ITSD_count_data!E10</f>
        <v>45246.488368055558</v>
      </c>
      <c r="F10" s="8" t="str">
        <f>Alex_ITSD_count_data!F10</f>
        <v>CalStd</v>
      </c>
      <c r="G10" s="8">
        <f>Alex_ITSD_count_data!G10</f>
        <v>5</v>
      </c>
      <c r="H10" s="8" t="str">
        <f>Alex_ITSD_count_data!H10</f>
        <v>10 ppb m16 + Al</v>
      </c>
      <c r="I10" s="17">
        <f>Alex_ITSD_count_data!I10</f>
        <v>23647.48</v>
      </c>
      <c r="J10" s="17">
        <f>Alex_ITSD_count_data!J10</f>
        <v>2.4</v>
      </c>
      <c r="K10" s="47">
        <f t="shared" si="18"/>
        <v>22771.973136495282</v>
      </c>
      <c r="L10" s="17">
        <f t="shared" si="20"/>
        <v>24.678631982078286</v>
      </c>
      <c r="M10" s="17">
        <f>[2]Alex_MS_FE_AL_data!H10</f>
        <v>51.841000000000001</v>
      </c>
      <c r="N10" s="8"/>
      <c r="O10" s="8"/>
      <c r="P10" s="8"/>
      <c r="Q10" s="2" t="s">
        <v>263</v>
      </c>
      <c r="R10" s="10"/>
      <c r="S10" s="7" t="str">
        <f>B1</f>
        <v>Sample</v>
      </c>
      <c r="T10" s="7"/>
      <c r="U10" s="7"/>
      <c r="V10" s="10"/>
      <c r="W10" s="7"/>
      <c r="X10" s="7"/>
      <c r="Y10" s="7"/>
      <c r="Z10" s="12" t="str">
        <f>I1</f>
        <v xml:space="preserve">27  Al  [ He ] </v>
      </c>
      <c r="AA10" s="12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O10" s="2" t="s">
        <v>290</v>
      </c>
      <c r="AS10" s="2" t="s">
        <v>289</v>
      </c>
      <c r="AT10" s="10"/>
      <c r="AU10" s="7" t="str">
        <f t="shared" ref="AU10" si="22">S10</f>
        <v>Sample</v>
      </c>
      <c r="AV10" s="7"/>
      <c r="AW10" s="7"/>
      <c r="AX10" s="10"/>
      <c r="AY10" s="7"/>
      <c r="AZ10" s="7"/>
      <c r="BA10" s="7"/>
      <c r="BB10" s="12" t="str">
        <f t="shared" ref="BB10:BO11" si="23">Z10</f>
        <v xml:space="preserve">27  Al  [ He ] </v>
      </c>
      <c r="BC10" s="12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Q10" s="2" t="s">
        <v>288</v>
      </c>
      <c r="BU10" s="2"/>
    </row>
    <row r="11" spans="1:73" x14ac:dyDescent="0.25">
      <c r="A11" s="23">
        <f>Alex_ITSD_count_data!A11</f>
        <v>9.3287037016125396E-3</v>
      </c>
      <c r="B11" s="8" t="str">
        <f>Alex_ITSD_count_data!B11</f>
        <v>45  Sc ( ISTD )  [ He ] :  ISTD Recovery Percent value = 226.75 is outside the allowed range [80.00, 120.00]103  Rh ( ISTD )  [ He ] :  ISTD Recovery Percent value = 246.55 is outside the allowed range [80.00, 120.00]</v>
      </c>
      <c r="C11" s="8" t="b">
        <f>Alex_ITSD_count_data!C11</f>
        <v>0</v>
      </c>
      <c r="D11" s="8" t="str">
        <f>Alex_ITSD_count_data!D11</f>
        <v>009CALS.d</v>
      </c>
      <c r="E11" s="11">
        <f>Alex_ITSD_count_data!E11</f>
        <v>45246.48951388889</v>
      </c>
      <c r="F11" s="8" t="str">
        <f>Alex_ITSD_count_data!F11</f>
        <v>CalStd</v>
      </c>
      <c r="G11" s="8">
        <f>Alex_ITSD_count_data!G11</f>
        <v>6</v>
      </c>
      <c r="H11" s="8" t="str">
        <f>Alex_ITSD_count_data!H11</f>
        <v>50 ppb m16 + Al</v>
      </c>
      <c r="I11" s="17">
        <f>Alex_ITSD_count_data!I11</f>
        <v>23905.89</v>
      </c>
      <c r="J11" s="17">
        <f>Alex_ITSD_count_data!J11</f>
        <v>2.1</v>
      </c>
      <c r="K11" s="47">
        <f t="shared" si="18"/>
        <v>22907.787408925276</v>
      </c>
      <c r="L11" s="17">
        <f>(I11-$AP$30)*(1/$AO$30)</f>
        <v>25.286789419229571</v>
      </c>
      <c r="M11" s="17">
        <f>[2]Alex_MS_FE_AL_data!H11</f>
        <v>52.448</v>
      </c>
      <c r="N11" s="8"/>
      <c r="O11" s="8"/>
      <c r="P11" s="8"/>
      <c r="R11" s="10" t="str">
        <f>A2</f>
        <v>Number</v>
      </c>
      <c r="S11" s="7"/>
      <c r="T11" s="7" t="str">
        <f t="shared" ref="T11:Y14" si="24">C2</f>
        <v>Rjct</v>
      </c>
      <c r="U11" s="7" t="str">
        <f t="shared" si="24"/>
        <v>Data File</v>
      </c>
      <c r="V11" s="10" t="str">
        <f t="shared" si="24"/>
        <v>Acq. Date-Time</v>
      </c>
      <c r="W11" s="7" t="str">
        <f t="shared" si="24"/>
        <v>Type</v>
      </c>
      <c r="X11" s="7" t="str">
        <f t="shared" si="24"/>
        <v>Level</v>
      </c>
      <c r="Y11" s="7" t="str">
        <f t="shared" si="24"/>
        <v>Sample Name</v>
      </c>
      <c r="Z11" s="12" t="str">
        <f>I2</f>
        <v>CPS</v>
      </c>
      <c r="AA11" s="12" t="str">
        <f>J2</f>
        <v>CPS RSD</v>
      </c>
      <c r="AB11" s="27" t="s">
        <v>256</v>
      </c>
      <c r="AC11" s="27" t="s">
        <v>264</v>
      </c>
      <c r="AD11" s="27" t="s">
        <v>265</v>
      </c>
      <c r="AE11" s="27" t="s">
        <v>266</v>
      </c>
      <c r="AF11" s="27" t="s">
        <v>267</v>
      </c>
      <c r="AG11" s="28" t="s">
        <v>257</v>
      </c>
      <c r="AH11" s="28" t="s">
        <v>260</v>
      </c>
      <c r="AI11" s="28" t="s">
        <v>261</v>
      </c>
      <c r="AJ11" s="28" t="s">
        <v>269</v>
      </c>
      <c r="AK11" s="28" t="s">
        <v>270</v>
      </c>
      <c r="AL11" s="28" t="s">
        <v>271</v>
      </c>
      <c r="AM11" s="28" t="s">
        <v>268</v>
      </c>
      <c r="AO11" s="7" t="s">
        <v>272</v>
      </c>
      <c r="AP11" s="7" t="s">
        <v>273</v>
      </c>
      <c r="AT11" s="10" t="str">
        <f t="shared" ref="AT11" si="25">R11</f>
        <v>Number</v>
      </c>
      <c r="AU11" s="7"/>
      <c r="AV11" s="7" t="str">
        <f t="shared" ref="AV11:BA24" si="26">T11</f>
        <v>Rjct</v>
      </c>
      <c r="AW11" s="7" t="str">
        <f t="shared" si="26"/>
        <v>Data File</v>
      </c>
      <c r="AX11" s="10" t="str">
        <f t="shared" si="26"/>
        <v>Acq. Date-Time</v>
      </c>
      <c r="AY11" s="7" t="str">
        <f t="shared" si="26"/>
        <v>Type</v>
      </c>
      <c r="AZ11" s="7" t="str">
        <f t="shared" si="26"/>
        <v>Level</v>
      </c>
      <c r="BA11" s="7" t="str">
        <f t="shared" si="26"/>
        <v>Sample Name</v>
      </c>
      <c r="BB11" s="12" t="str">
        <f t="shared" si="23"/>
        <v>CPS</v>
      </c>
      <c r="BC11" s="12" t="str">
        <f t="shared" si="23"/>
        <v>CPS RSD</v>
      </c>
      <c r="BD11" s="27" t="str">
        <f t="shared" si="23"/>
        <v>Mean</v>
      </c>
      <c r="BE11" s="27" t="str">
        <f t="shared" si="23"/>
        <v>120% Mean</v>
      </c>
      <c r="BF11" s="27" t="str">
        <f t="shared" si="23"/>
        <v>80% Mean</v>
      </c>
      <c r="BG11" s="27" t="str">
        <f t="shared" si="23"/>
        <v>110% Mean</v>
      </c>
      <c r="BH11" s="27" t="str">
        <f t="shared" si="23"/>
        <v>90% Mean</v>
      </c>
      <c r="BI11" s="28" t="str">
        <f t="shared" si="23"/>
        <v>Stdev</v>
      </c>
      <c r="BJ11" s="28" t="str">
        <f t="shared" si="23"/>
        <v>RelStdev</v>
      </c>
      <c r="BK11" s="28" t="str">
        <f t="shared" si="23"/>
        <v>Range</v>
      </c>
      <c r="BL11" s="28" t="str">
        <f t="shared" si="23"/>
        <v>plus 1 Std</v>
      </c>
      <c r="BM11" s="28" t="str">
        <f t="shared" si="23"/>
        <v>minus 1 Std</v>
      </c>
      <c r="BN11" s="28" t="str">
        <f t="shared" si="23"/>
        <v>plus 2 Std</v>
      </c>
      <c r="BO11" s="28" t="str">
        <f t="shared" si="23"/>
        <v>minus 2 Std</v>
      </c>
      <c r="BQ11" s="7" t="s">
        <v>272</v>
      </c>
      <c r="BR11" s="7" t="s">
        <v>273</v>
      </c>
      <c r="BU11" s="2"/>
    </row>
    <row r="12" spans="1:73" x14ac:dyDescent="0.25">
      <c r="A12" s="23">
        <f>Alex_ITSD_count_data!A12</f>
        <v>1.0532407402934041E-2</v>
      </c>
      <c r="B12" s="8" t="str">
        <f>Alex_ITSD_count_data!B12</f>
        <v>45  Sc ( ISTD )  [ He ] :  ISTD Recovery Percent value = 294.14 is outside the allowed range [80.00, 120.00]103  Rh ( ISTD )  [ He ] :  ISTD Recovery Percent value = 306.45 is outside the allowed range [80.00, 120.00]</v>
      </c>
      <c r="C12" s="8" t="b">
        <f>Alex_ITSD_count_data!C12</f>
        <v>0</v>
      </c>
      <c r="D12" s="8" t="str">
        <f>Alex_ITSD_count_data!D12</f>
        <v>010CALS.d</v>
      </c>
      <c r="E12" s="11">
        <f>Alex_ITSD_count_data!E12</f>
        <v>45246.490717592591</v>
      </c>
      <c r="F12" s="8" t="str">
        <f>Alex_ITSD_count_data!F12</f>
        <v>CalStd</v>
      </c>
      <c r="G12" s="8">
        <f>Alex_ITSD_count_data!G12</f>
        <v>7</v>
      </c>
      <c r="H12" s="8" t="str">
        <f>Alex_ITSD_count_data!H12</f>
        <v>100 ppb m16 + Al</v>
      </c>
      <c r="I12" s="17">
        <f>Alex_ITSD_count_data!I12</f>
        <v>46356.71</v>
      </c>
      <c r="J12" s="17">
        <f>Alex_ITSD_count_data!J12</f>
        <v>1.7</v>
      </c>
      <c r="K12" s="47">
        <f t="shared" si="18"/>
        <v>45229.81997804487</v>
      </c>
      <c r="L12" s="17">
        <f t="shared" si="20"/>
        <v>78.123882229665483</v>
      </c>
      <c r="M12" s="17">
        <f>[2]Alex_MS_FE_AL_data!H12</f>
        <v>105.196</v>
      </c>
      <c r="N12" s="8"/>
      <c r="O12" s="8"/>
      <c r="P12" s="8"/>
      <c r="R12" s="26">
        <f>A3</f>
        <v>0</v>
      </c>
      <c r="S12" s="18"/>
      <c r="T12" s="18" t="b">
        <f t="shared" si="24"/>
        <v>0</v>
      </c>
      <c r="U12" s="18" t="str">
        <f t="shared" si="24"/>
        <v>001SMPL.d</v>
      </c>
      <c r="V12" s="19">
        <f t="shared" si="24"/>
        <v>45246.480185185188</v>
      </c>
      <c r="W12" s="18" t="str">
        <f t="shared" si="24"/>
        <v>Sample</v>
      </c>
      <c r="X12" s="18">
        <f t="shared" si="24"/>
        <v>0</v>
      </c>
      <c r="Y12" s="18" t="str">
        <f t="shared" si="24"/>
        <v>blk</v>
      </c>
      <c r="Z12" s="18">
        <f>I3</f>
        <v>590.48</v>
      </c>
      <c r="AA12" s="18">
        <f>J3</f>
        <v>32.700000000000003</v>
      </c>
      <c r="AB12" s="18"/>
      <c r="AC12" s="18"/>
      <c r="AD12" s="18"/>
      <c r="AE12" s="18"/>
      <c r="AF12" s="18"/>
      <c r="AG12" s="18"/>
      <c r="AH12" s="18"/>
      <c r="AI12" s="18"/>
      <c r="AJ12" s="31"/>
      <c r="AK12" s="31"/>
      <c r="AL12" s="31"/>
      <c r="AM12" s="31"/>
      <c r="AN12" t="s">
        <v>280</v>
      </c>
      <c r="AO12" s="17" cm="1">
        <f t="array" ref="AO12:AP16">LINEST(Z15:Z24,V15:V24, TRUE, TRUE)</f>
        <v>8488.9948853558471</v>
      </c>
      <c r="AP12" s="17">
        <v>-384096217.3404507</v>
      </c>
      <c r="AQ12" s="20" t="s">
        <v>281</v>
      </c>
      <c r="AT12" s="26">
        <f>R12</f>
        <v>0</v>
      </c>
      <c r="AU12" s="18"/>
      <c r="AV12" s="18" t="b">
        <f t="shared" si="26"/>
        <v>0</v>
      </c>
      <c r="AW12" s="18" t="str">
        <f t="shared" si="26"/>
        <v>001SMPL.d</v>
      </c>
      <c r="AX12" s="19">
        <f t="shared" si="26"/>
        <v>45246.480185185188</v>
      </c>
      <c r="AY12" s="18" t="str">
        <f t="shared" si="26"/>
        <v>Sample</v>
      </c>
      <c r="AZ12" s="18"/>
      <c r="BA12" s="18" t="str">
        <f t="shared" si="26"/>
        <v>blk</v>
      </c>
      <c r="BB12" s="18">
        <f>Z12-($AO$12*AT12)</f>
        <v>590.48</v>
      </c>
      <c r="BC12" s="18"/>
      <c r="BD12" s="18"/>
      <c r="BE12" s="18"/>
      <c r="BF12" s="18"/>
      <c r="BG12" s="18"/>
      <c r="BH12" s="18"/>
      <c r="BI12" s="18"/>
      <c r="BJ12" s="18"/>
      <c r="BK12" s="18"/>
      <c r="BL12" s="31"/>
      <c r="BM12" s="31"/>
      <c r="BN12" s="31"/>
      <c r="BO12" s="31"/>
      <c r="BP12" t="s">
        <v>280</v>
      </c>
      <c r="BQ12" s="17" cm="1">
        <f t="array" ref="BQ12:BR16">LINEST(BB15:BB24,AX15:AX24, TRUE, TRUE)</f>
        <v>-9.4288843134413596E-13</v>
      </c>
      <c r="BR12" s="17">
        <v>921.53194099837242</v>
      </c>
      <c r="BS12" s="20" t="s">
        <v>281</v>
      </c>
      <c r="BU12" s="20"/>
    </row>
    <row r="13" spans="1:73" x14ac:dyDescent="0.25">
      <c r="A13" s="23">
        <f>Alex_ITSD_count_data!A13</f>
        <v>1.1689814811688848E-2</v>
      </c>
      <c r="B13" s="8" t="str">
        <f>Alex_ITSD_count_data!B13</f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C13" s="8" t="b">
        <f>Alex_ITSD_count_data!C13</f>
        <v>0</v>
      </c>
      <c r="D13" s="8" t="str">
        <f>Alex_ITSD_count_data!D13</f>
        <v>011CALS.d</v>
      </c>
      <c r="E13" s="11">
        <f>Alex_ITSD_count_data!E13</f>
        <v>45246.491875</v>
      </c>
      <c r="F13" s="8" t="str">
        <f>Alex_ITSD_count_data!F13</f>
        <v>CalStd</v>
      </c>
      <c r="G13" s="8">
        <f>Alex_ITSD_count_data!G13</f>
        <v>8</v>
      </c>
      <c r="H13" s="8" t="str">
        <f>Alex_ITSD_count_data!H13</f>
        <v>500 ppb m16 + Al</v>
      </c>
      <c r="I13" s="17">
        <f>Alex_ITSD_count_data!I13</f>
        <v>226433.95</v>
      </c>
      <c r="J13" s="17">
        <f>Alex_ITSD_count_data!J13</f>
        <v>1.2</v>
      </c>
      <c r="K13" s="47">
        <f t="shared" si="18"/>
        <v>225183.2259095014</v>
      </c>
      <c r="L13" s="17">
        <f t="shared" si="20"/>
        <v>501.92835097188265</v>
      </c>
      <c r="M13" s="17">
        <f>[2]Alex_MS_FE_AL_data!H13</f>
        <v>528.28499999999997</v>
      </c>
      <c r="N13" s="8"/>
      <c r="O13" s="8"/>
      <c r="P13" s="8"/>
      <c r="R13" s="26">
        <f>A4</f>
        <v>1.1458333319751546E-3</v>
      </c>
      <c r="S13" s="18" t="str">
        <f>B4</f>
        <v>56  Fe  [ He ] :  CPS RSD value = 5.02 is over the allowed maximum = 5.00</v>
      </c>
      <c r="T13" s="18" t="b">
        <f t="shared" si="24"/>
        <v>0</v>
      </c>
      <c r="U13" s="18" t="str">
        <f t="shared" si="24"/>
        <v>002SMPL.d</v>
      </c>
      <c r="V13" s="19">
        <f t="shared" si="24"/>
        <v>45246.48133101852</v>
      </c>
      <c r="W13" s="18" t="str">
        <f t="shared" si="24"/>
        <v>Sample</v>
      </c>
      <c r="X13" s="18">
        <f t="shared" si="24"/>
        <v>0</v>
      </c>
      <c r="Y13" s="18" t="str">
        <f t="shared" si="24"/>
        <v>blk</v>
      </c>
      <c r="Z13" s="18">
        <f>I4</f>
        <v>464.68</v>
      </c>
      <c r="AA13" s="18">
        <f>J4</f>
        <v>2.5</v>
      </c>
      <c r="AB13" s="18"/>
      <c r="AC13" s="18"/>
      <c r="AD13" s="18"/>
      <c r="AE13" s="18"/>
      <c r="AF13" s="18"/>
      <c r="AG13" s="18"/>
      <c r="AH13" s="18"/>
      <c r="AI13" s="18"/>
      <c r="AJ13" s="31"/>
      <c r="AK13" s="31"/>
      <c r="AL13" s="31"/>
      <c r="AM13" s="31"/>
      <c r="AN13" t="s">
        <v>286</v>
      </c>
      <c r="AO13" s="17">
        <v>8482.7697599079329</v>
      </c>
      <c r="AP13" s="17">
        <v>383816145.65535516</v>
      </c>
      <c r="AQ13" t="s">
        <v>282</v>
      </c>
      <c r="AT13" s="26">
        <f t="shared" ref="AT13:AU24" si="27">R13</f>
        <v>1.1458333319751546E-3</v>
      </c>
      <c r="AU13" s="18" t="str">
        <f t="shared" si="27"/>
        <v>56  Fe  [ He ] :  CPS RSD value = 5.02 is over the allowed maximum = 5.00</v>
      </c>
      <c r="AV13" s="18" t="b">
        <f t="shared" si="26"/>
        <v>0</v>
      </c>
      <c r="AW13" s="18" t="str">
        <f t="shared" si="26"/>
        <v>002SMPL.d</v>
      </c>
      <c r="AX13" s="19">
        <f t="shared" si="26"/>
        <v>45246.48133101852</v>
      </c>
      <c r="AY13" s="18" t="str">
        <f t="shared" si="26"/>
        <v>Sample</v>
      </c>
      <c r="AZ13" s="18"/>
      <c r="BA13" s="18" t="str">
        <f t="shared" si="26"/>
        <v>blk</v>
      </c>
      <c r="BB13" s="18">
        <f t="shared" ref="BB13:BB23" si="28">Z13-($AO$12*AT13)</f>
        <v>454.95302670539269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31"/>
      <c r="BM13" s="31"/>
      <c r="BN13" s="31"/>
      <c r="BO13" s="31"/>
      <c r="BP13" t="s">
        <v>286</v>
      </c>
      <c r="BQ13" s="17">
        <v>8482.7697599079311</v>
      </c>
      <c r="BR13" s="17">
        <v>383816145.6553551</v>
      </c>
      <c r="BS13" t="s">
        <v>282</v>
      </c>
      <c r="BU13" s="20"/>
    </row>
    <row r="14" spans="1:73" x14ac:dyDescent="0.25">
      <c r="A14" s="23">
        <f>Alex_ITSD_count_data!A14</f>
        <v>1.2847222220443655E-2</v>
      </c>
      <c r="B14" s="8" t="str">
        <f>Alex_ITSD_count_data!B14</f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C14" s="8" t="b">
        <f>Alex_ITSD_count_data!C14</f>
        <v>0</v>
      </c>
      <c r="D14" s="8" t="str">
        <f>Alex_ITSD_count_data!D14</f>
        <v>012CALS.d</v>
      </c>
      <c r="E14" s="11">
        <f>Alex_ITSD_count_data!E14</f>
        <v>45246.493032407408</v>
      </c>
      <c r="F14" s="8" t="str">
        <f>Alex_ITSD_count_data!F14</f>
        <v>CalStd</v>
      </c>
      <c r="G14" s="8">
        <f>Alex_ITSD_count_data!G14</f>
        <v>9</v>
      </c>
      <c r="H14" s="8" t="str">
        <f>Alex_ITSD_count_data!H14</f>
        <v>1000 ppb m16 + Al</v>
      </c>
      <c r="I14" s="17">
        <f>Alex_ITSD_count_data!I14</f>
        <v>442776.91</v>
      </c>
      <c r="J14" s="17">
        <f>Alex_ITSD_count_data!J14</f>
        <v>1.8</v>
      </c>
      <c r="K14" s="47">
        <f t="shared" si="18"/>
        <v>441402.35184095788</v>
      </c>
      <c r="L14" s="17">
        <f t="shared" si="20"/>
        <v>1011.0827184472988</v>
      </c>
      <c r="M14" s="17">
        <f>[2]Alex_MS_FE_AL_data!H14</f>
        <v>1036.58</v>
      </c>
      <c r="N14" s="8"/>
      <c r="O14" s="8"/>
      <c r="P14" s="8"/>
      <c r="R14" s="26">
        <f>A5</f>
        <v>2.3263888870133087E-3</v>
      </c>
      <c r="S14" s="18"/>
      <c r="T14" s="18" t="b">
        <f t="shared" si="24"/>
        <v>0</v>
      </c>
      <c r="U14" s="18" t="str">
        <f t="shared" si="24"/>
        <v>003SMPL.d</v>
      </c>
      <c r="V14" s="19">
        <f t="shared" si="24"/>
        <v>45246.482511574075</v>
      </c>
      <c r="W14" s="18" t="str">
        <f t="shared" si="24"/>
        <v>Sample</v>
      </c>
      <c r="X14" s="18">
        <f t="shared" si="24"/>
        <v>0</v>
      </c>
      <c r="Y14" s="18" t="str">
        <f t="shared" si="24"/>
        <v>blk</v>
      </c>
      <c r="Z14" s="18">
        <f>I5</f>
        <v>396.34</v>
      </c>
      <c r="AA14" s="18">
        <f>J5</f>
        <v>1.7</v>
      </c>
      <c r="AB14" s="18"/>
      <c r="AC14" s="18"/>
      <c r="AD14" s="18"/>
      <c r="AE14" s="18"/>
      <c r="AF14" s="18"/>
      <c r="AG14" s="18"/>
      <c r="AH14" s="18"/>
      <c r="AI14" s="18"/>
      <c r="AJ14" s="31"/>
      <c r="AK14" s="31"/>
      <c r="AL14" s="31"/>
      <c r="AM14" s="31"/>
      <c r="AN14" t="s">
        <v>277</v>
      </c>
      <c r="AO14" s="17">
        <v>0.11125609971663276</v>
      </c>
      <c r="AP14" s="17">
        <v>1022.7925564318492</v>
      </c>
      <c r="AQ14" t="s">
        <v>285</v>
      </c>
      <c r="AT14" s="26">
        <f t="shared" si="27"/>
        <v>2.3263888870133087E-3</v>
      </c>
      <c r="AU14" s="18"/>
      <c r="AV14" s="18" t="b">
        <f t="shared" si="26"/>
        <v>0</v>
      </c>
      <c r="AW14" s="18" t="str">
        <f t="shared" si="26"/>
        <v>003SMPL.d</v>
      </c>
      <c r="AX14" s="19">
        <f t="shared" si="26"/>
        <v>45246.482511574075</v>
      </c>
      <c r="AY14" s="18" t="str">
        <f t="shared" si="26"/>
        <v>Sample</v>
      </c>
      <c r="AZ14" s="18"/>
      <c r="BA14" s="18" t="str">
        <f t="shared" si="26"/>
        <v>blk</v>
      </c>
      <c r="BB14" s="18">
        <f t="shared" si="28"/>
        <v>376.59129663679533</v>
      </c>
      <c r="BC14" s="18"/>
      <c r="BD14" s="18"/>
      <c r="BE14" s="18"/>
      <c r="BF14" s="18"/>
      <c r="BG14" s="18"/>
      <c r="BH14" s="18"/>
      <c r="BI14" s="18"/>
      <c r="BJ14" s="18"/>
      <c r="BK14" s="18"/>
      <c r="BL14" s="31"/>
      <c r="BM14" s="31"/>
      <c r="BN14" s="31"/>
      <c r="BO14" s="31"/>
      <c r="BP14" t="s">
        <v>277</v>
      </c>
      <c r="BQ14" s="17">
        <v>1.1128458886944855E-16</v>
      </c>
      <c r="BR14" s="17">
        <v>1022.7925564318491</v>
      </c>
      <c r="BS14" t="s">
        <v>285</v>
      </c>
      <c r="BU14" s="20"/>
    </row>
    <row r="15" spans="1:73" x14ac:dyDescent="0.25">
      <c r="A15" s="23">
        <f>Alex_ITSD_count_data!A15</f>
        <v>1.395833332935581E-2</v>
      </c>
      <c r="B15" s="8" t="str">
        <f>Alex_ITSD_count_data!B15</f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C15" s="8" t="b">
        <f>Alex_ITSD_count_data!C15</f>
        <v>0</v>
      </c>
      <c r="D15" s="8" t="str">
        <f>Alex_ITSD_count_data!D15</f>
        <v>013SMPL.d</v>
      </c>
      <c r="E15" s="11">
        <f>Alex_ITSD_count_data!E15</f>
        <v>45246.494143518517</v>
      </c>
      <c r="F15" s="8" t="str">
        <f>Alex_ITSD_count_data!F15</f>
        <v>Sample</v>
      </c>
      <c r="G15" s="8">
        <f>Alex_ITSD_count_data!G15</f>
        <v>0</v>
      </c>
      <c r="H15" s="40" t="str">
        <f>Alex_ITSD_count_data!H15</f>
        <v>blk</v>
      </c>
      <c r="I15" s="43">
        <f>Alex_ITSD_count_data!I15</f>
        <v>358.67</v>
      </c>
      <c r="J15" s="43">
        <f>Alex_ITSD_count_data!J15</f>
        <v>9.8000000000000007</v>
      </c>
      <c r="K15" s="48">
        <f t="shared" si="18"/>
        <v>-1134.7688644701459</v>
      </c>
      <c r="L15" s="43">
        <f t="shared" si="20"/>
        <v>-30.13063625020045</v>
      </c>
      <c r="M15" s="43" t="str">
        <f>[2]Alex_MS_FE_AL_data!H17</f>
        <v>&lt;0.000</v>
      </c>
      <c r="N15" s="8"/>
      <c r="O15" s="8"/>
      <c r="P15" s="8"/>
      <c r="R15" s="23">
        <f t="shared" ref="R15:AA15" si="29">A15</f>
        <v>1.395833332935581E-2</v>
      </c>
      <c r="S15" s="8" t="str">
        <f t="shared" si="29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T15" s="8" t="b">
        <f t="shared" si="29"/>
        <v>0</v>
      </c>
      <c r="U15" s="8" t="str">
        <f t="shared" si="29"/>
        <v>013SMPL.d</v>
      </c>
      <c r="V15" s="11">
        <f t="shared" si="29"/>
        <v>45246.494143518517</v>
      </c>
      <c r="W15" s="8" t="str">
        <f t="shared" si="29"/>
        <v>Sample</v>
      </c>
      <c r="X15" s="8">
        <f t="shared" si="29"/>
        <v>0</v>
      </c>
      <c r="Y15" s="8" t="str">
        <f t="shared" si="29"/>
        <v>blk</v>
      </c>
      <c r="Z15" s="8">
        <f t="shared" si="29"/>
        <v>358.67</v>
      </c>
      <c r="AA15" s="8">
        <f t="shared" si="29"/>
        <v>9.8000000000000007</v>
      </c>
      <c r="AB15" s="8">
        <f>AVERAGE(Z15:Z24)</f>
        <v>1593.8229999999999</v>
      </c>
      <c r="AC15" s="8">
        <f>1.2*AB15</f>
        <v>1912.5875999999998</v>
      </c>
      <c r="AD15" s="8">
        <f>0.8*AB15</f>
        <v>1275.0583999999999</v>
      </c>
      <c r="AE15" s="8">
        <f>1.1*AB15</f>
        <v>1753.2053000000001</v>
      </c>
      <c r="AF15" s="8">
        <f>0.9*AB15</f>
        <v>1434.4406999999999</v>
      </c>
      <c r="AG15" s="8">
        <f>STDEV(Z15:Z24)</f>
        <v>1022.8759816001376</v>
      </c>
      <c r="AH15" s="8">
        <f>AG15/AB15 * 100</f>
        <v>64.177514165634307</v>
      </c>
      <c r="AI15" s="8">
        <f>MAX(Z15:Z24)-MIN(Z15:Z24)</f>
        <v>3229.45</v>
      </c>
      <c r="AJ15" s="8">
        <f>AE15+AG15</f>
        <v>2776.0812816001376</v>
      </c>
      <c r="AK15" s="8">
        <f>AB15-AG15</f>
        <v>570.94701839986226</v>
      </c>
      <c r="AL15" s="8">
        <f>AB15+2*AG15</f>
        <v>3639.5749632002753</v>
      </c>
      <c r="AM15" s="8">
        <f>AB15-2*AG15</f>
        <v>-451.92896320027535</v>
      </c>
      <c r="AN15" t="s">
        <v>278</v>
      </c>
      <c r="AO15" s="17">
        <v>1.0014682491202234</v>
      </c>
      <c r="AP15" s="17">
        <v>8</v>
      </c>
      <c r="AQ15" t="s">
        <v>283</v>
      </c>
      <c r="AT15" s="23">
        <f t="shared" si="27"/>
        <v>1.395833332935581E-2</v>
      </c>
      <c r="AU15" s="8" t="str">
        <f t="shared" si="27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AV15" s="8" t="b">
        <f t="shared" si="26"/>
        <v>0</v>
      </c>
      <c r="AW15" s="8" t="str">
        <f t="shared" si="26"/>
        <v>013SMPL.d</v>
      </c>
      <c r="AX15" s="11">
        <f t="shared" si="26"/>
        <v>45246.494143518517</v>
      </c>
      <c r="AY15" s="8" t="str">
        <f t="shared" si="26"/>
        <v>Sample</v>
      </c>
      <c r="AZ15" s="8">
        <f t="shared" si="26"/>
        <v>0</v>
      </c>
      <c r="BA15" s="8" t="str">
        <f t="shared" si="26"/>
        <v>blk</v>
      </c>
      <c r="BB15" s="8">
        <f t="shared" si="28"/>
        <v>240.17777975900651</v>
      </c>
      <c r="BC15" s="8"/>
      <c r="BD15" s="8">
        <f>AVERAGE(BB15:BB24)</f>
        <v>921.53194095570996</v>
      </c>
      <c r="BE15" s="8">
        <f>1.2*BD15</f>
        <v>1105.8383291468519</v>
      </c>
      <c r="BF15" s="8">
        <f>0.8*BD15</f>
        <v>737.22555276456796</v>
      </c>
      <c r="BG15" s="8">
        <f>1.1*BD15</f>
        <v>1013.685135051281</v>
      </c>
      <c r="BH15" s="8">
        <f>0.9*BD15</f>
        <v>829.37874686013902</v>
      </c>
      <c r="BI15" s="8">
        <f>STDEV(BB15:BB24)</f>
        <v>964.29806986677988</v>
      </c>
      <c r="BJ15" s="8">
        <f>BI15/BD15 * 100</f>
        <v>104.64076468871146</v>
      </c>
      <c r="BK15" s="8">
        <f>MAX(BB15:BB24)-MIN(BB15:BB24)</f>
        <v>2732.3535876125898</v>
      </c>
      <c r="BL15" s="8">
        <f>BG15+BI15</f>
        <v>1977.9832049180609</v>
      </c>
      <c r="BM15" s="8">
        <f>BD15-BI15</f>
        <v>-42.766128911069927</v>
      </c>
      <c r="BN15" s="8">
        <f>BD15+2*BI15</f>
        <v>2850.1280806892696</v>
      </c>
      <c r="BO15" s="8">
        <f>BD15-2*BI15</f>
        <v>-1007.0641987778498</v>
      </c>
      <c r="BP15" t="s">
        <v>278</v>
      </c>
      <c r="BQ15" s="17">
        <v>8.9027671095558838E-16</v>
      </c>
      <c r="BR15" s="17">
        <v>8</v>
      </c>
      <c r="BS15" t="s">
        <v>283</v>
      </c>
      <c r="BU15" s="20"/>
    </row>
    <row r="16" spans="1:73" x14ac:dyDescent="0.25">
      <c r="A16" s="23">
        <f>Alex_ITSD_count_data!A16</f>
        <v>1.5127314814890269E-2</v>
      </c>
      <c r="B16" s="8" t="str">
        <f>Alex_ITSD_count_data!B16</f>
        <v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v>
      </c>
      <c r="C16" s="8" t="b">
        <f>Alex_ITSD_count_data!C16</f>
        <v>0</v>
      </c>
      <c r="D16" s="8" t="str">
        <f>Alex_ITSD_count_data!D16</f>
        <v>014SMPL.d</v>
      </c>
      <c r="E16" s="11">
        <f>Alex_ITSD_count_data!E16</f>
        <v>45246.495312500003</v>
      </c>
      <c r="F16" s="8" t="str">
        <f>Alex_ITSD_count_data!F16</f>
        <v>Sample</v>
      </c>
      <c r="G16" s="8">
        <f>Alex_ITSD_count_data!G16</f>
        <v>0</v>
      </c>
      <c r="H16" s="8" t="str">
        <f>Alex_ITSD_count_data!H16</f>
        <v>m6 x100 x100</v>
      </c>
      <c r="I16" s="17">
        <f>Alex_ITSD_count_data!I16</f>
        <v>1474.78</v>
      </c>
      <c r="J16" s="17">
        <f>Alex_ITSD_count_data!J16</f>
        <v>3</v>
      </c>
      <c r="K16" s="47">
        <f t="shared" si="18"/>
        <v>-143.73127398709062</v>
      </c>
      <c r="L16" s="17">
        <f t="shared" si="20"/>
        <v>-27.503916706920709</v>
      </c>
      <c r="M16" s="17" t="str">
        <f>[2]Alex_MS_FE_AL_data!H18</f>
        <v>&lt;0.000</v>
      </c>
      <c r="N16" s="8"/>
      <c r="O16" s="8"/>
      <c r="P16" s="8"/>
      <c r="R16" s="23">
        <f t="shared" ref="R16:AA16" si="30">A17</f>
        <v>2.880787036701804E-2</v>
      </c>
      <c r="S16" s="8" t="str">
        <f t="shared" si="30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T16" s="8" t="b">
        <f t="shared" si="30"/>
        <v>0</v>
      </c>
      <c r="U16" s="8" t="str">
        <f t="shared" si="30"/>
        <v>015SMPL.d</v>
      </c>
      <c r="V16" s="11">
        <f t="shared" si="30"/>
        <v>45246.508993055555</v>
      </c>
      <c r="W16" s="8" t="str">
        <f t="shared" si="30"/>
        <v>Sample</v>
      </c>
      <c r="X16" s="8">
        <f t="shared" si="30"/>
        <v>0</v>
      </c>
      <c r="Y16" s="8" t="str">
        <f t="shared" si="30"/>
        <v>blk</v>
      </c>
      <c r="Z16" s="8">
        <f t="shared" si="30"/>
        <v>365.34</v>
      </c>
      <c r="AA16" s="8">
        <f t="shared" si="30"/>
        <v>5.4</v>
      </c>
      <c r="AB16" s="8">
        <f t="shared" ref="AB16:AM16" si="31">AB$15</f>
        <v>1593.8229999999999</v>
      </c>
      <c r="AC16" s="8">
        <f t="shared" si="31"/>
        <v>1912.5875999999998</v>
      </c>
      <c r="AD16" s="8">
        <f t="shared" si="31"/>
        <v>1275.0583999999999</v>
      </c>
      <c r="AE16" s="8">
        <f t="shared" si="31"/>
        <v>1753.2053000000001</v>
      </c>
      <c r="AF16" s="8">
        <f t="shared" si="31"/>
        <v>1434.4406999999999</v>
      </c>
      <c r="AG16" s="8">
        <f t="shared" si="31"/>
        <v>1022.8759816001376</v>
      </c>
      <c r="AH16" s="8">
        <f t="shared" si="31"/>
        <v>64.177514165634307</v>
      </c>
      <c r="AI16" s="8">
        <f t="shared" si="31"/>
        <v>3229.45</v>
      </c>
      <c r="AJ16" s="8">
        <f t="shared" si="31"/>
        <v>2776.0812816001376</v>
      </c>
      <c r="AK16" s="8">
        <f t="shared" si="31"/>
        <v>570.94701839986226</v>
      </c>
      <c r="AL16" s="8">
        <f t="shared" si="31"/>
        <v>3639.5749632002753</v>
      </c>
      <c r="AM16" s="8">
        <f t="shared" si="31"/>
        <v>-451.92896320027535</v>
      </c>
      <c r="AN16" t="s">
        <v>279</v>
      </c>
      <c r="AO16" s="17">
        <v>1047640.5556708192</v>
      </c>
      <c r="AP16" s="17">
        <v>8368836.9079391798</v>
      </c>
      <c r="AQ16" t="s">
        <v>284</v>
      </c>
      <c r="AT16" s="23">
        <f t="shared" si="27"/>
        <v>2.880787036701804E-2</v>
      </c>
      <c r="AU16" s="8" t="str">
        <f t="shared" si="27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AV16" s="8" t="b">
        <f t="shared" si="26"/>
        <v>0</v>
      </c>
      <c r="AW16" s="8" t="str">
        <f t="shared" si="26"/>
        <v>015SMPL.d</v>
      </c>
      <c r="AX16" s="11">
        <f t="shared" si="26"/>
        <v>45246.508993055555</v>
      </c>
      <c r="AY16" s="8" t="str">
        <f t="shared" si="26"/>
        <v>Sample</v>
      </c>
      <c r="AZ16" s="8">
        <f t="shared" si="26"/>
        <v>0</v>
      </c>
      <c r="BA16" s="8" t="str">
        <f t="shared" si="26"/>
        <v>blk</v>
      </c>
      <c r="BB16" s="8">
        <f t="shared" si="28"/>
        <v>120.79013579638956</v>
      </c>
      <c r="BC16" s="8"/>
      <c r="BD16" s="8">
        <f>BD$15</f>
        <v>921.53194095570996</v>
      </c>
      <c r="BE16" s="8">
        <f t="shared" ref="BE16:BO24" si="32">BE$15</f>
        <v>1105.8383291468519</v>
      </c>
      <c r="BF16" s="8">
        <f t="shared" si="32"/>
        <v>737.22555276456796</v>
      </c>
      <c r="BG16" s="8">
        <f t="shared" si="32"/>
        <v>1013.685135051281</v>
      </c>
      <c r="BH16" s="8">
        <f t="shared" si="32"/>
        <v>829.37874686013902</v>
      </c>
      <c r="BI16" s="8">
        <f t="shared" si="32"/>
        <v>964.29806986677988</v>
      </c>
      <c r="BJ16" s="8">
        <f t="shared" si="32"/>
        <v>104.64076468871146</v>
      </c>
      <c r="BK16" s="8">
        <f t="shared" si="32"/>
        <v>2732.3535876125898</v>
      </c>
      <c r="BL16" s="8">
        <f t="shared" si="32"/>
        <v>1977.9832049180609</v>
      </c>
      <c r="BM16" s="8">
        <f t="shared" si="32"/>
        <v>-42.766128911069927</v>
      </c>
      <c r="BN16" s="8">
        <f t="shared" si="32"/>
        <v>2850.1280806892696</v>
      </c>
      <c r="BO16" s="8">
        <f t="shared" si="32"/>
        <v>-1007.0641987778498</v>
      </c>
      <c r="BP16" t="s">
        <v>279</v>
      </c>
      <c r="BQ16" s="17">
        <v>9.3132257461547852E-10</v>
      </c>
      <c r="BR16" s="17">
        <v>8368836.9079391779</v>
      </c>
      <c r="BS16" t="s">
        <v>284</v>
      </c>
      <c r="BU16" s="20"/>
    </row>
    <row r="17" spans="1:67" x14ac:dyDescent="0.25">
      <c r="A17" s="23">
        <f>Alex_ITSD_count_data!A17</f>
        <v>2.880787036701804E-2</v>
      </c>
      <c r="B17" s="8" t="str">
        <f>Alex_ITSD_count_data!B17</f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C17" s="8" t="b">
        <f>Alex_ITSD_count_data!C17</f>
        <v>0</v>
      </c>
      <c r="D17" s="8" t="str">
        <f>Alex_ITSD_count_data!D17</f>
        <v>015SMPL.d</v>
      </c>
      <c r="E17" s="11">
        <f>Alex_ITSD_count_data!E17</f>
        <v>45246.508993055555</v>
      </c>
      <c r="F17" s="8" t="str">
        <f>Alex_ITSD_count_data!F17</f>
        <v>Sample</v>
      </c>
      <c r="G17" s="8">
        <f>Alex_ITSD_count_data!G17</f>
        <v>0</v>
      </c>
      <c r="H17" s="40" t="str">
        <f>Alex_ITSD_count_data!H17</f>
        <v>blk</v>
      </c>
      <c r="I17" s="43">
        <f>Alex_ITSD_count_data!I17</f>
        <v>365.34</v>
      </c>
      <c r="J17" s="43">
        <f>Alex_ITSD_count_data!J17</f>
        <v>5.4</v>
      </c>
      <c r="K17" s="48">
        <f t="shared" si="18"/>
        <v>-2716.8899621002192</v>
      </c>
      <c r="L17" s="43">
        <f t="shared" si="20"/>
        <v>-30.114938676167714</v>
      </c>
      <c r="M17" s="43" t="str">
        <f>[2]Alex_MS_FE_AL_data!H19</f>
        <v>&lt;0.000</v>
      </c>
      <c r="N17" s="8"/>
      <c r="O17" s="8"/>
      <c r="P17" s="8"/>
      <c r="R17" s="23">
        <f t="shared" ref="R17:AA17" si="33">A28</f>
        <v>4.1238425925257616E-2</v>
      </c>
      <c r="S17" s="8" t="str">
        <f t="shared" si="33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T17" s="8" t="b">
        <f t="shared" si="33"/>
        <v>0</v>
      </c>
      <c r="U17" s="8" t="str">
        <f t="shared" si="33"/>
        <v>026SMPL.d</v>
      </c>
      <c r="V17" s="11">
        <f t="shared" si="33"/>
        <v>45246.521423611113</v>
      </c>
      <c r="W17" s="8" t="str">
        <f t="shared" si="33"/>
        <v>Sample</v>
      </c>
      <c r="X17" s="8">
        <f t="shared" si="33"/>
        <v>0</v>
      </c>
      <c r="Y17" s="8" t="str">
        <f t="shared" si="33"/>
        <v xml:space="preserve">blk </v>
      </c>
      <c r="Z17" s="8">
        <f t="shared" si="33"/>
        <v>2595.9</v>
      </c>
      <c r="AA17" s="8">
        <f t="shared" si="33"/>
        <v>2.2999999999999998</v>
      </c>
      <c r="AB17" s="8">
        <f t="shared" ref="AB17:AI24" si="34">AB$15</f>
        <v>1593.8229999999999</v>
      </c>
      <c r="AC17" s="8">
        <f t="shared" si="34"/>
        <v>1912.5875999999998</v>
      </c>
      <c r="AD17" s="8">
        <f t="shared" si="34"/>
        <v>1275.0583999999999</v>
      </c>
      <c r="AE17" s="8">
        <f t="shared" si="34"/>
        <v>1753.2053000000001</v>
      </c>
      <c r="AF17" s="8">
        <f t="shared" si="34"/>
        <v>1434.4406999999999</v>
      </c>
      <c r="AG17" s="8">
        <f t="shared" si="34"/>
        <v>1022.8759816001376</v>
      </c>
      <c r="AH17" s="8">
        <f t="shared" si="34"/>
        <v>64.177514165634307</v>
      </c>
      <c r="AI17" s="8">
        <f t="shared" si="34"/>
        <v>3229.45</v>
      </c>
      <c r="AJ17" s="8">
        <f t="shared" ref="AJ17:AM24" si="35">AJ$15</f>
        <v>2776.0812816001376</v>
      </c>
      <c r="AK17" s="8">
        <f t="shared" si="35"/>
        <v>570.94701839986226</v>
      </c>
      <c r="AL17" s="8">
        <f t="shared" si="35"/>
        <v>3639.5749632002753</v>
      </c>
      <c r="AM17" s="8">
        <f t="shared" si="35"/>
        <v>-451.92896320027535</v>
      </c>
      <c r="AT17" s="23">
        <f t="shared" si="27"/>
        <v>4.1238425925257616E-2</v>
      </c>
      <c r="AU17" s="8" t="str">
        <f t="shared" si="27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AV17" s="8" t="b">
        <f t="shared" si="26"/>
        <v>0</v>
      </c>
      <c r="AW17" s="8" t="str">
        <f t="shared" si="26"/>
        <v>026SMPL.d</v>
      </c>
      <c r="AX17" s="11">
        <f t="shared" si="26"/>
        <v>45246.521423611113</v>
      </c>
      <c r="AY17" s="8" t="str">
        <f t="shared" si="26"/>
        <v>Sample</v>
      </c>
      <c r="AZ17" s="8">
        <f t="shared" si="26"/>
        <v>0</v>
      </c>
      <c r="BA17" s="8" t="str">
        <f t="shared" si="26"/>
        <v xml:space="preserve">blk </v>
      </c>
      <c r="BB17" s="8">
        <f t="shared" si="28"/>
        <v>2245.8272132403622</v>
      </c>
      <c r="BC17" s="8"/>
      <c r="BD17" s="8">
        <f t="shared" ref="BD17:BD24" si="36">BD$15</f>
        <v>921.53194095570996</v>
      </c>
      <c r="BE17" s="8">
        <f t="shared" si="32"/>
        <v>1105.8383291468519</v>
      </c>
      <c r="BF17" s="8">
        <f t="shared" si="32"/>
        <v>737.22555276456796</v>
      </c>
      <c r="BG17" s="8">
        <f t="shared" si="32"/>
        <v>1013.685135051281</v>
      </c>
      <c r="BH17" s="8">
        <f t="shared" si="32"/>
        <v>829.37874686013902</v>
      </c>
      <c r="BI17" s="8">
        <f t="shared" si="32"/>
        <v>964.29806986677988</v>
      </c>
      <c r="BJ17" s="8">
        <f t="shared" si="32"/>
        <v>104.64076468871146</v>
      </c>
      <c r="BK17" s="8">
        <f t="shared" si="32"/>
        <v>2732.3535876125898</v>
      </c>
      <c r="BL17" s="8">
        <f t="shared" si="32"/>
        <v>1977.9832049180609</v>
      </c>
      <c r="BM17" s="8">
        <f t="shared" si="32"/>
        <v>-42.766128911069927</v>
      </c>
      <c r="BN17" s="8">
        <f t="shared" si="32"/>
        <v>2850.1280806892696</v>
      </c>
      <c r="BO17" s="8">
        <f t="shared" si="32"/>
        <v>-1007.0641987778498</v>
      </c>
    </row>
    <row r="18" spans="1:67" x14ac:dyDescent="0.25">
      <c r="A18" s="23">
        <f>Alex_ITSD_count_data!A18</f>
        <v>2.9930555552709848E-2</v>
      </c>
      <c r="B18" s="8" t="str">
        <f>Alex_ITSD_count_data!B18</f>
        <v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v>
      </c>
      <c r="C18" s="8" t="b">
        <f>Alex_ITSD_count_data!C18</f>
        <v>0</v>
      </c>
      <c r="D18" s="8" t="str">
        <f>Alex_ITSD_count_data!D18</f>
        <v>016SMPL.d</v>
      </c>
      <c r="E18" s="11">
        <f>Alex_ITSD_count_data!E18</f>
        <v>45246.510115740741</v>
      </c>
      <c r="F18" s="8" t="str">
        <f>Alex_ITSD_count_data!F18</f>
        <v>Sample</v>
      </c>
      <c r="G18" s="8">
        <f>Alex_ITSD_count_data!G18</f>
        <v>0</v>
      </c>
      <c r="H18" s="8" t="str">
        <f>Alex_ITSD_count_data!H18</f>
        <v>0-10-T</v>
      </c>
      <c r="I18" s="17">
        <f>Alex_ITSD_count_data!I18</f>
        <v>124383.24</v>
      </c>
      <c r="J18" s="17">
        <f>Alex_ITSD_count_data!J18</f>
        <v>0.3</v>
      </c>
      <c r="K18" s="47">
        <f t="shared" si="18"/>
        <v>121180.89099149825</v>
      </c>
      <c r="L18" s="17">
        <f t="shared" si="20"/>
        <v>261.75615077425596</v>
      </c>
      <c r="M18" s="17">
        <f>[2]Alex_MS_FE_AL_data!H20</f>
        <v>288.51799999999997</v>
      </c>
      <c r="N18" s="8">
        <v>5</v>
      </c>
      <c r="O18" s="17">
        <f>IF(L18 &lt; $S$44, "NA", N18*L18)</f>
        <v>1308.7807538712798</v>
      </c>
      <c r="P18" s="17">
        <f>IF(M18 &lt; $S$45, "NA", N18*M18)</f>
        <v>1442.59</v>
      </c>
      <c r="R18" s="23">
        <f t="shared" ref="R18:AA18" si="37">A40</f>
        <v>6.3530092593282461E-2</v>
      </c>
      <c r="S18" s="8" t="str">
        <f t="shared" si="37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T18" s="8" t="b">
        <f t="shared" si="37"/>
        <v>0</v>
      </c>
      <c r="U18" s="8" t="str">
        <f t="shared" si="37"/>
        <v>038SMPL.d</v>
      </c>
      <c r="V18" s="11">
        <f t="shared" si="37"/>
        <v>45246.543715277781</v>
      </c>
      <c r="W18" s="8" t="str">
        <f t="shared" si="37"/>
        <v>Sample</v>
      </c>
      <c r="X18" s="8">
        <f t="shared" si="37"/>
        <v>0</v>
      </c>
      <c r="Y18" s="8" t="str">
        <f t="shared" si="37"/>
        <v xml:space="preserve">blk </v>
      </c>
      <c r="Z18" s="8">
        <f t="shared" si="37"/>
        <v>2078.15</v>
      </c>
      <c r="AA18" s="8">
        <f t="shared" si="37"/>
        <v>5.8</v>
      </c>
      <c r="AB18" s="8">
        <f t="shared" si="34"/>
        <v>1593.8229999999999</v>
      </c>
      <c r="AC18" s="8">
        <f t="shared" si="34"/>
        <v>1912.5875999999998</v>
      </c>
      <c r="AD18" s="8">
        <f t="shared" si="34"/>
        <v>1275.0583999999999</v>
      </c>
      <c r="AE18" s="8">
        <f t="shared" si="34"/>
        <v>1753.2053000000001</v>
      </c>
      <c r="AF18" s="8">
        <f t="shared" si="34"/>
        <v>1434.4406999999999</v>
      </c>
      <c r="AG18" s="8">
        <f t="shared" si="34"/>
        <v>1022.8759816001376</v>
      </c>
      <c r="AH18" s="8">
        <f t="shared" si="34"/>
        <v>64.177514165634307</v>
      </c>
      <c r="AI18" s="8">
        <f t="shared" si="34"/>
        <v>3229.45</v>
      </c>
      <c r="AJ18" s="8">
        <f t="shared" si="35"/>
        <v>2776.0812816001376</v>
      </c>
      <c r="AK18" s="8">
        <f t="shared" si="35"/>
        <v>570.94701839986226</v>
      </c>
      <c r="AL18" s="8">
        <f t="shared" si="35"/>
        <v>3639.5749632002753</v>
      </c>
      <c r="AM18" s="8">
        <f t="shared" si="35"/>
        <v>-451.92896320027535</v>
      </c>
      <c r="AT18" s="23">
        <f t="shared" si="27"/>
        <v>6.3530092593282461E-2</v>
      </c>
      <c r="AU18" s="8" t="str">
        <f t="shared" si="27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AV18" s="8" t="b">
        <f t="shared" si="26"/>
        <v>0</v>
      </c>
      <c r="AW18" s="8" t="str">
        <f t="shared" si="26"/>
        <v>038SMPL.d</v>
      </c>
      <c r="AX18" s="11">
        <f t="shared" si="26"/>
        <v>45246.543715277781</v>
      </c>
      <c r="AY18" s="8" t="str">
        <f t="shared" si="26"/>
        <v>Sample</v>
      </c>
      <c r="AZ18" s="8">
        <f t="shared" si="26"/>
        <v>0</v>
      </c>
      <c r="BA18" s="8" t="str">
        <f t="shared" si="26"/>
        <v xml:space="preserve">blk </v>
      </c>
      <c r="BB18" s="8">
        <f t="shared" si="28"/>
        <v>1538.8433689094418</v>
      </c>
      <c r="BC18" s="8"/>
      <c r="BD18" s="8">
        <f t="shared" si="36"/>
        <v>921.53194095570996</v>
      </c>
      <c r="BE18" s="8">
        <f t="shared" si="32"/>
        <v>1105.8383291468519</v>
      </c>
      <c r="BF18" s="8">
        <f t="shared" si="32"/>
        <v>737.22555276456796</v>
      </c>
      <c r="BG18" s="8">
        <f t="shared" si="32"/>
        <v>1013.685135051281</v>
      </c>
      <c r="BH18" s="8">
        <f t="shared" si="32"/>
        <v>829.37874686013902</v>
      </c>
      <c r="BI18" s="8">
        <f t="shared" si="32"/>
        <v>964.29806986677988</v>
      </c>
      <c r="BJ18" s="8">
        <f t="shared" si="32"/>
        <v>104.64076468871146</v>
      </c>
      <c r="BK18" s="8">
        <f t="shared" si="32"/>
        <v>2732.3535876125898</v>
      </c>
      <c r="BL18" s="8">
        <f t="shared" si="32"/>
        <v>1977.9832049180609</v>
      </c>
      <c r="BM18" s="8">
        <f t="shared" si="32"/>
        <v>-42.766128911069927</v>
      </c>
      <c r="BN18" s="8">
        <f t="shared" si="32"/>
        <v>2850.1280806892696</v>
      </c>
      <c r="BO18" s="8">
        <f t="shared" si="32"/>
        <v>-1007.0641987778498</v>
      </c>
    </row>
    <row r="19" spans="1:67" x14ac:dyDescent="0.25">
      <c r="A19" s="23">
        <f>Alex_ITSD_count_data!A19</f>
        <v>3.1076388884685002E-2</v>
      </c>
      <c r="B19" s="8" t="str">
        <f>Alex_ITSD_count_data!B19</f>
        <v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v>
      </c>
      <c r="C19" s="8" t="b">
        <f>Alex_ITSD_count_data!C19</f>
        <v>0</v>
      </c>
      <c r="D19" s="8" t="str">
        <f>Alex_ITSD_count_data!D19</f>
        <v>017SMPL.d</v>
      </c>
      <c r="E19" s="11">
        <f>Alex_ITSD_count_data!E19</f>
        <v>45246.511261574073</v>
      </c>
      <c r="F19" s="8" t="str">
        <f>Alex_ITSD_count_data!F19</f>
        <v>Sample</v>
      </c>
      <c r="G19" s="8">
        <f>Alex_ITSD_count_data!G19</f>
        <v>0</v>
      </c>
      <c r="H19" s="8" t="str">
        <f>Alex_ITSD_count_data!H19</f>
        <v>0-20-T</v>
      </c>
      <c r="I19" s="17">
        <f>Alex_ITSD_count_data!I19</f>
        <v>189711.42</v>
      </c>
      <c r="J19" s="17">
        <f>Alex_ITSD_count_data!J19</f>
        <v>1.5</v>
      </c>
      <c r="K19" s="47">
        <f t="shared" si="18"/>
        <v>186386.47526392824</v>
      </c>
      <c r="L19" s="17">
        <f t="shared" si="20"/>
        <v>415.50336846148804</v>
      </c>
      <c r="M19" s="17">
        <f>[2]Alex_MS_FE_AL_data!H21</f>
        <v>442.00599999999997</v>
      </c>
      <c r="N19" s="8">
        <v>5</v>
      </c>
      <c r="O19" s="17">
        <f t="shared" ref="O19:O27" si="38">IF(L19 &lt; $S$44, "NA", N19*L19)</f>
        <v>2077.5168423074401</v>
      </c>
      <c r="P19" s="17">
        <f t="shared" ref="P19:P27" si="39">IF(M19 &lt; $S$45, "NA", N19*M19)</f>
        <v>2210.0299999999997</v>
      </c>
      <c r="R19" s="23">
        <f t="shared" ref="R19:AA19" si="40">A52</f>
        <v>8.0856481479713693E-2</v>
      </c>
      <c r="S19" s="8" t="str">
        <f t="shared" si="40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T19" s="8" t="b">
        <f t="shared" si="40"/>
        <v>0</v>
      </c>
      <c r="U19" s="8" t="str">
        <f t="shared" si="40"/>
        <v>050SMPL.d</v>
      </c>
      <c r="V19" s="11">
        <f t="shared" si="40"/>
        <v>45246.561041666668</v>
      </c>
      <c r="W19" s="8" t="str">
        <f t="shared" si="40"/>
        <v>Sample</v>
      </c>
      <c r="X19" s="8">
        <f t="shared" si="40"/>
        <v>0</v>
      </c>
      <c r="Y19" s="8" t="str">
        <f t="shared" si="40"/>
        <v xml:space="preserve">blk </v>
      </c>
      <c r="Z19" s="8">
        <f t="shared" si="40"/>
        <v>1202.3900000000001</v>
      </c>
      <c r="AA19" s="8">
        <f t="shared" si="40"/>
        <v>5.4</v>
      </c>
      <c r="AB19" s="8">
        <f t="shared" si="34"/>
        <v>1593.8229999999999</v>
      </c>
      <c r="AC19" s="8">
        <f t="shared" si="34"/>
        <v>1912.5875999999998</v>
      </c>
      <c r="AD19" s="8">
        <f t="shared" si="34"/>
        <v>1275.0583999999999</v>
      </c>
      <c r="AE19" s="8">
        <f t="shared" si="34"/>
        <v>1753.2053000000001</v>
      </c>
      <c r="AF19" s="8">
        <f t="shared" si="34"/>
        <v>1434.4406999999999</v>
      </c>
      <c r="AG19" s="8">
        <f t="shared" si="34"/>
        <v>1022.8759816001376</v>
      </c>
      <c r="AH19" s="8">
        <f t="shared" si="34"/>
        <v>64.177514165634307</v>
      </c>
      <c r="AI19" s="8">
        <f t="shared" si="34"/>
        <v>3229.45</v>
      </c>
      <c r="AJ19" s="8">
        <f t="shared" si="35"/>
        <v>2776.0812816001376</v>
      </c>
      <c r="AK19" s="8">
        <f t="shared" si="35"/>
        <v>570.94701839986226</v>
      </c>
      <c r="AL19" s="8">
        <f t="shared" si="35"/>
        <v>3639.5749632002753</v>
      </c>
      <c r="AM19" s="8">
        <f t="shared" si="35"/>
        <v>-451.92896320027535</v>
      </c>
      <c r="AT19" s="23">
        <f t="shared" si="27"/>
        <v>8.0856481479713693E-2</v>
      </c>
      <c r="AU19" s="8" t="str">
        <f t="shared" si="27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AV19" s="8" t="b">
        <f t="shared" si="26"/>
        <v>0</v>
      </c>
      <c r="AW19" s="8" t="str">
        <f t="shared" si="26"/>
        <v>050SMPL.d</v>
      </c>
      <c r="AX19" s="11">
        <f t="shared" si="26"/>
        <v>45246.561041666668</v>
      </c>
      <c r="AY19" s="8" t="str">
        <f t="shared" si="26"/>
        <v>Sample</v>
      </c>
      <c r="AZ19" s="8">
        <f t="shared" si="26"/>
        <v>0</v>
      </c>
      <c r="BA19" s="8" t="str">
        <f t="shared" si="26"/>
        <v xml:space="preserve">blk </v>
      </c>
      <c r="BB19" s="8">
        <f t="shared" si="28"/>
        <v>515.99974227084078</v>
      </c>
      <c r="BC19" s="8"/>
      <c r="BD19" s="8">
        <f t="shared" si="36"/>
        <v>921.53194095570996</v>
      </c>
      <c r="BE19" s="8">
        <f t="shared" si="32"/>
        <v>1105.8383291468519</v>
      </c>
      <c r="BF19" s="8">
        <f t="shared" si="32"/>
        <v>737.22555276456796</v>
      </c>
      <c r="BG19" s="8">
        <f t="shared" si="32"/>
        <v>1013.685135051281</v>
      </c>
      <c r="BH19" s="8">
        <f t="shared" si="32"/>
        <v>829.37874686013902</v>
      </c>
      <c r="BI19" s="8">
        <f t="shared" si="32"/>
        <v>964.29806986677988</v>
      </c>
      <c r="BJ19" s="8">
        <f t="shared" si="32"/>
        <v>104.64076468871146</v>
      </c>
      <c r="BK19" s="8">
        <f t="shared" si="32"/>
        <v>2732.3535876125898</v>
      </c>
      <c r="BL19" s="8">
        <f t="shared" si="32"/>
        <v>1977.9832049180609</v>
      </c>
      <c r="BM19" s="8">
        <f t="shared" si="32"/>
        <v>-42.766128911069927</v>
      </c>
      <c r="BN19" s="8">
        <f t="shared" si="32"/>
        <v>2850.1280806892696</v>
      </c>
      <c r="BO19" s="8">
        <f t="shared" si="32"/>
        <v>-1007.0641987778498</v>
      </c>
    </row>
    <row r="20" spans="1:67" x14ac:dyDescent="0.25">
      <c r="A20" s="23">
        <f>Alex_ITSD_count_data!A20</f>
        <v>3.2175925924093463E-2</v>
      </c>
      <c r="B20" s="8" t="str">
        <f>Alex_ITSD_count_data!B20</f>
        <v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v>
      </c>
      <c r="C20" s="8" t="b">
        <f>Alex_ITSD_count_data!C20</f>
        <v>0</v>
      </c>
      <c r="D20" s="8" t="str">
        <f>Alex_ITSD_count_data!D20</f>
        <v>018SMPL.d</v>
      </c>
      <c r="E20" s="11">
        <f>Alex_ITSD_count_data!E20</f>
        <v>45246.512361111112</v>
      </c>
      <c r="F20" s="8" t="str">
        <f>Alex_ITSD_count_data!F20</f>
        <v>Sample</v>
      </c>
      <c r="G20" s="8">
        <f>Alex_ITSD_count_data!G20</f>
        <v>0</v>
      </c>
      <c r="H20" s="8" t="str">
        <f>Alex_ITSD_count_data!H20</f>
        <v>0-30-T</v>
      </c>
      <c r="I20" s="17">
        <f>Alex_ITSD_count_data!I20</f>
        <v>81549.64</v>
      </c>
      <c r="J20" s="17">
        <f>Alex_ITSD_count_data!J20</f>
        <v>1.1000000000000001</v>
      </c>
      <c r="K20" s="47">
        <f t="shared" si="18"/>
        <v>78107.052898695169</v>
      </c>
      <c r="L20" s="17">
        <f t="shared" si="20"/>
        <v>160.94901327971954</v>
      </c>
      <c r="M20" s="17">
        <f>[2]Alex_MS_FE_AL_data!H22</f>
        <v>187.881</v>
      </c>
      <c r="N20" s="8">
        <v>5</v>
      </c>
      <c r="O20" s="17">
        <f t="shared" si="38"/>
        <v>804.74506639859771</v>
      </c>
      <c r="P20" s="17">
        <f t="shared" si="39"/>
        <v>939.40499999999997</v>
      </c>
      <c r="R20" s="23">
        <f t="shared" ref="R20:AA20" si="41">A64</f>
        <v>9.4606481477967463E-2</v>
      </c>
      <c r="S20" s="8" t="str">
        <f t="shared" si="41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T20" s="8" t="b">
        <f t="shared" si="41"/>
        <v>0</v>
      </c>
      <c r="U20" s="8" t="str">
        <f t="shared" si="41"/>
        <v>062SMPL.d</v>
      </c>
      <c r="V20" s="11">
        <f t="shared" si="41"/>
        <v>45246.574791666666</v>
      </c>
      <c r="W20" s="8" t="str">
        <f t="shared" si="41"/>
        <v>Sample</v>
      </c>
      <c r="X20" s="8">
        <f t="shared" si="41"/>
        <v>0</v>
      </c>
      <c r="Y20" s="8" t="str">
        <f t="shared" si="41"/>
        <v xml:space="preserve">blk </v>
      </c>
      <c r="Z20" s="8">
        <f t="shared" si="41"/>
        <v>2211.17</v>
      </c>
      <c r="AA20" s="8">
        <f t="shared" si="41"/>
        <v>6.7</v>
      </c>
      <c r="AB20" s="8">
        <f t="shared" si="34"/>
        <v>1593.8229999999999</v>
      </c>
      <c r="AC20" s="8">
        <f t="shared" si="34"/>
        <v>1912.5875999999998</v>
      </c>
      <c r="AD20" s="8">
        <f t="shared" si="34"/>
        <v>1275.0583999999999</v>
      </c>
      <c r="AE20" s="8">
        <f t="shared" si="34"/>
        <v>1753.2053000000001</v>
      </c>
      <c r="AF20" s="8">
        <f t="shared" si="34"/>
        <v>1434.4406999999999</v>
      </c>
      <c r="AG20" s="8">
        <f t="shared" si="34"/>
        <v>1022.8759816001376</v>
      </c>
      <c r="AH20" s="8">
        <f t="shared" si="34"/>
        <v>64.177514165634307</v>
      </c>
      <c r="AI20" s="8">
        <f t="shared" si="34"/>
        <v>3229.45</v>
      </c>
      <c r="AJ20" s="8">
        <f t="shared" si="35"/>
        <v>2776.0812816001376</v>
      </c>
      <c r="AK20" s="8">
        <f t="shared" si="35"/>
        <v>570.94701839986226</v>
      </c>
      <c r="AL20" s="8">
        <f t="shared" si="35"/>
        <v>3639.5749632002753</v>
      </c>
      <c r="AM20" s="8">
        <f t="shared" si="35"/>
        <v>-451.92896320027535</v>
      </c>
      <c r="AT20" s="23">
        <f t="shared" si="27"/>
        <v>9.4606481477967463E-2</v>
      </c>
      <c r="AU20" s="8" t="str">
        <f t="shared" si="27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AV20" s="8" t="b">
        <f t="shared" si="26"/>
        <v>0</v>
      </c>
      <c r="AW20" s="8" t="str">
        <f t="shared" si="26"/>
        <v>062SMPL.d</v>
      </c>
      <c r="AX20" s="11">
        <f t="shared" si="26"/>
        <v>45246.574791666666</v>
      </c>
      <c r="AY20" s="8" t="str">
        <f t="shared" si="26"/>
        <v>Sample</v>
      </c>
      <c r="AZ20" s="8">
        <f t="shared" si="26"/>
        <v>0</v>
      </c>
      <c r="BA20" s="8" t="str">
        <f t="shared" si="26"/>
        <v xml:space="preserve">blk </v>
      </c>
      <c r="BB20" s="8">
        <f t="shared" si="28"/>
        <v>1408.0560626120216</v>
      </c>
      <c r="BC20" s="8"/>
      <c r="BD20" s="8">
        <f t="shared" si="36"/>
        <v>921.53194095570996</v>
      </c>
      <c r="BE20" s="8">
        <f t="shared" si="32"/>
        <v>1105.8383291468519</v>
      </c>
      <c r="BF20" s="8">
        <f t="shared" si="32"/>
        <v>737.22555276456796</v>
      </c>
      <c r="BG20" s="8">
        <f t="shared" si="32"/>
        <v>1013.685135051281</v>
      </c>
      <c r="BH20" s="8">
        <f t="shared" si="32"/>
        <v>829.37874686013902</v>
      </c>
      <c r="BI20" s="8">
        <f t="shared" si="32"/>
        <v>964.29806986677988</v>
      </c>
      <c r="BJ20" s="8">
        <f t="shared" si="32"/>
        <v>104.64076468871146</v>
      </c>
      <c r="BK20" s="8">
        <f t="shared" si="32"/>
        <v>2732.3535876125898</v>
      </c>
      <c r="BL20" s="8">
        <f t="shared" si="32"/>
        <v>1977.9832049180609</v>
      </c>
      <c r="BM20" s="8">
        <f t="shared" si="32"/>
        <v>-42.766128911069927</v>
      </c>
      <c r="BN20" s="8">
        <f t="shared" si="32"/>
        <v>2850.1280806892696</v>
      </c>
      <c r="BO20" s="8">
        <f t="shared" si="32"/>
        <v>-1007.0641987778498</v>
      </c>
    </row>
    <row r="21" spans="1:67" x14ac:dyDescent="0.25">
      <c r="A21" s="23">
        <f>Alex_ITSD_count_data!A21</f>
        <v>3.3356481479131617E-2</v>
      </c>
      <c r="B21" s="8" t="str">
        <f>Alex_ITSD_count_data!B21</f>
        <v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v>
      </c>
      <c r="C21" s="8" t="b">
        <f>Alex_ITSD_count_data!C21</f>
        <v>0</v>
      </c>
      <c r="D21" s="8" t="str">
        <f>Alex_ITSD_count_data!D21</f>
        <v>019SMPL.d</v>
      </c>
      <c r="E21" s="11">
        <f>Alex_ITSD_count_data!E21</f>
        <v>45246.513541666667</v>
      </c>
      <c r="F21" s="8" t="str">
        <f>Alex_ITSD_count_data!F21</f>
        <v>Sample</v>
      </c>
      <c r="G21" s="8">
        <f>Alex_ITSD_count_data!G21</f>
        <v>0</v>
      </c>
      <c r="H21" s="8" t="str">
        <f>Alex_ITSD_count_data!H21</f>
        <v>0-40-T</v>
      </c>
      <c r="I21" s="17">
        <f>Alex_ITSD_count_data!I21</f>
        <v>155242.21</v>
      </c>
      <c r="J21" s="17">
        <f>Alex_ITSD_count_data!J21</f>
        <v>0.5</v>
      </c>
      <c r="K21" s="47">
        <f t="shared" si="18"/>
        <v>151673.31214898321</v>
      </c>
      <c r="L21" s="17">
        <f t="shared" si="20"/>
        <v>334.38148303047006</v>
      </c>
      <c r="M21" s="17">
        <f>[2]Alex_MS_FE_AL_data!H23</f>
        <v>361.02100000000002</v>
      </c>
      <c r="N21" s="8">
        <v>5</v>
      </c>
      <c r="O21" s="17">
        <f t="shared" si="38"/>
        <v>1671.9074151523503</v>
      </c>
      <c r="P21" s="17">
        <f t="shared" si="39"/>
        <v>1805.105</v>
      </c>
      <c r="R21" s="23">
        <f t="shared" ref="R21:AA21" si="42">A80</f>
        <v>0.11293981481139781</v>
      </c>
      <c r="S21" s="8" t="str">
        <f t="shared" si="42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T21" s="8" t="b">
        <f t="shared" si="42"/>
        <v>0</v>
      </c>
      <c r="U21" s="8" t="str">
        <f t="shared" si="42"/>
        <v>078SMPL.d</v>
      </c>
      <c r="V21" s="11">
        <f t="shared" si="42"/>
        <v>45246.593124999999</v>
      </c>
      <c r="W21" s="8" t="str">
        <f t="shared" si="42"/>
        <v>Sample</v>
      </c>
      <c r="X21" s="8">
        <f t="shared" si="42"/>
        <v>0</v>
      </c>
      <c r="Y21" s="8" t="str">
        <f t="shared" si="42"/>
        <v>blk</v>
      </c>
      <c r="Z21" s="8">
        <f t="shared" si="42"/>
        <v>3588.12</v>
      </c>
      <c r="AA21" s="8">
        <f t="shared" si="42"/>
        <v>1.6</v>
      </c>
      <c r="AB21" s="8">
        <f t="shared" si="34"/>
        <v>1593.8229999999999</v>
      </c>
      <c r="AC21" s="8">
        <f t="shared" si="34"/>
        <v>1912.5875999999998</v>
      </c>
      <c r="AD21" s="8">
        <f t="shared" si="34"/>
        <v>1275.0583999999999</v>
      </c>
      <c r="AE21" s="8">
        <f t="shared" si="34"/>
        <v>1753.2053000000001</v>
      </c>
      <c r="AF21" s="8">
        <f t="shared" si="34"/>
        <v>1434.4406999999999</v>
      </c>
      <c r="AG21" s="8">
        <f t="shared" si="34"/>
        <v>1022.8759816001376</v>
      </c>
      <c r="AH21" s="8">
        <f t="shared" si="34"/>
        <v>64.177514165634307</v>
      </c>
      <c r="AI21" s="8">
        <f t="shared" si="34"/>
        <v>3229.45</v>
      </c>
      <c r="AJ21" s="8">
        <f t="shared" si="35"/>
        <v>2776.0812816001376</v>
      </c>
      <c r="AK21" s="8">
        <f t="shared" si="35"/>
        <v>570.94701839986226</v>
      </c>
      <c r="AL21" s="8">
        <f t="shared" si="35"/>
        <v>3639.5749632002753</v>
      </c>
      <c r="AM21" s="8">
        <f t="shared" si="35"/>
        <v>-451.92896320027535</v>
      </c>
      <c r="AT21" s="23">
        <f t="shared" si="27"/>
        <v>0.11293981481139781</v>
      </c>
      <c r="AU21" s="8" t="str">
        <f t="shared" si="27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AV21" s="8" t="b">
        <f t="shared" si="26"/>
        <v>0</v>
      </c>
      <c r="AW21" s="8" t="str">
        <f t="shared" si="26"/>
        <v>078SMPL.d</v>
      </c>
      <c r="AX21" s="11">
        <f t="shared" si="26"/>
        <v>45246.593124999999</v>
      </c>
      <c r="AY21" s="8" t="str">
        <f t="shared" si="26"/>
        <v>Sample</v>
      </c>
      <c r="AZ21" s="8">
        <f t="shared" si="26"/>
        <v>0</v>
      </c>
      <c r="BA21" s="8" t="str">
        <f t="shared" si="26"/>
        <v>blk</v>
      </c>
      <c r="BB21" s="8">
        <f t="shared" si="28"/>
        <v>2629.3744897130073</v>
      </c>
      <c r="BC21" s="8"/>
      <c r="BD21" s="8">
        <f t="shared" si="36"/>
        <v>921.53194095570996</v>
      </c>
      <c r="BE21" s="8">
        <f t="shared" si="32"/>
        <v>1105.8383291468519</v>
      </c>
      <c r="BF21" s="8">
        <f t="shared" si="32"/>
        <v>737.22555276456796</v>
      </c>
      <c r="BG21" s="8">
        <f t="shared" si="32"/>
        <v>1013.685135051281</v>
      </c>
      <c r="BH21" s="8">
        <f t="shared" si="32"/>
        <v>829.37874686013902</v>
      </c>
      <c r="BI21" s="8">
        <f t="shared" si="32"/>
        <v>964.29806986677988</v>
      </c>
      <c r="BJ21" s="8">
        <f t="shared" si="32"/>
        <v>104.64076468871146</v>
      </c>
      <c r="BK21" s="8">
        <f t="shared" si="32"/>
        <v>2732.3535876125898</v>
      </c>
      <c r="BL21" s="8">
        <f t="shared" si="32"/>
        <v>1977.9832049180609</v>
      </c>
      <c r="BM21" s="8">
        <f t="shared" si="32"/>
        <v>-42.766128911069927</v>
      </c>
      <c r="BN21" s="8">
        <f t="shared" si="32"/>
        <v>2850.1280806892696</v>
      </c>
      <c r="BO21" s="8">
        <f t="shared" si="32"/>
        <v>-1007.0641987778498</v>
      </c>
    </row>
    <row r="22" spans="1:67" x14ac:dyDescent="0.25">
      <c r="A22" s="23">
        <f>Alex_ITSD_count_data!A22</f>
        <v>3.4479166664823424E-2</v>
      </c>
      <c r="B22" s="8" t="str">
        <f>Alex_ITSD_count_data!B22</f>
        <v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v>
      </c>
      <c r="C22" s="8" t="b">
        <f>Alex_ITSD_count_data!C22</f>
        <v>0</v>
      </c>
      <c r="D22" s="8" t="str">
        <f>Alex_ITSD_count_data!D22</f>
        <v>020SMPL.d</v>
      </c>
      <c r="E22" s="11">
        <f>Alex_ITSD_count_data!E22</f>
        <v>45246.514664351853</v>
      </c>
      <c r="F22" s="8" t="str">
        <f>Alex_ITSD_count_data!F22</f>
        <v>Sample</v>
      </c>
      <c r="G22" s="8">
        <f>Alex_ITSD_count_data!G22</f>
        <v>0</v>
      </c>
      <c r="H22" s="8" t="str">
        <f>Alex_ITSD_count_data!H22</f>
        <v>0-60-T</v>
      </c>
      <c r="I22" s="17">
        <f>Alex_ITSD_count_data!I22</f>
        <v>106203.48</v>
      </c>
      <c r="J22" s="17">
        <f>Alex_ITSD_count_data!J22</f>
        <v>1.1000000000000001</v>
      </c>
      <c r="K22" s="47">
        <f t="shared" si="18"/>
        <v>102514.46310258168</v>
      </c>
      <c r="L22" s="17">
        <f t="shared" si="20"/>
        <v>218.97082416295842</v>
      </c>
      <c r="M22" s="17">
        <f>[2]Alex_MS_FE_AL_data!H24</f>
        <v>245.80500000000001</v>
      </c>
      <c r="N22" s="8">
        <v>5</v>
      </c>
      <c r="O22" s="17">
        <f t="shared" si="38"/>
        <v>1094.8541208147922</v>
      </c>
      <c r="P22" s="17">
        <f t="shared" si="39"/>
        <v>1229.0250000000001</v>
      </c>
      <c r="R22" s="23">
        <f t="shared" ref="R22:AA24" si="43">A84</f>
        <v>0.11753472221607808</v>
      </c>
      <c r="S22" s="8" t="str">
        <f t="shared" si="43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T22" s="8" t="b">
        <f t="shared" si="43"/>
        <v>0</v>
      </c>
      <c r="U22" s="8" t="str">
        <f t="shared" si="43"/>
        <v>082SMPL.d</v>
      </c>
      <c r="V22" s="11">
        <f t="shared" si="43"/>
        <v>45246.597719907404</v>
      </c>
      <c r="W22" s="8" t="str">
        <f t="shared" si="43"/>
        <v>Sample</v>
      </c>
      <c r="X22" s="8">
        <f t="shared" si="43"/>
        <v>0</v>
      </c>
      <c r="Y22" s="8" t="str">
        <f t="shared" si="43"/>
        <v>blk</v>
      </c>
      <c r="Z22" s="8">
        <f t="shared" si="43"/>
        <v>1385.4</v>
      </c>
      <c r="AA22" s="8">
        <f t="shared" si="43"/>
        <v>7.8</v>
      </c>
      <c r="AB22" s="8">
        <f t="shared" si="34"/>
        <v>1593.8229999999999</v>
      </c>
      <c r="AC22" s="8">
        <f t="shared" si="34"/>
        <v>1912.5875999999998</v>
      </c>
      <c r="AD22" s="8">
        <f t="shared" si="34"/>
        <v>1275.0583999999999</v>
      </c>
      <c r="AE22" s="8">
        <f t="shared" si="34"/>
        <v>1753.2053000000001</v>
      </c>
      <c r="AF22" s="8">
        <f t="shared" si="34"/>
        <v>1434.4406999999999</v>
      </c>
      <c r="AG22" s="8">
        <f t="shared" si="34"/>
        <v>1022.8759816001376</v>
      </c>
      <c r="AH22" s="8">
        <f t="shared" si="34"/>
        <v>64.177514165634307</v>
      </c>
      <c r="AI22" s="8">
        <f t="shared" si="34"/>
        <v>3229.45</v>
      </c>
      <c r="AJ22" s="8">
        <f t="shared" si="35"/>
        <v>2776.0812816001376</v>
      </c>
      <c r="AK22" s="8">
        <f t="shared" si="35"/>
        <v>570.94701839986226</v>
      </c>
      <c r="AL22" s="8">
        <f t="shared" si="35"/>
        <v>3639.5749632002753</v>
      </c>
      <c r="AM22" s="8">
        <f t="shared" si="35"/>
        <v>-451.92896320027535</v>
      </c>
      <c r="AT22" s="23">
        <f t="shared" si="27"/>
        <v>0.11753472221607808</v>
      </c>
      <c r="AU22" s="8" t="str">
        <f t="shared" si="27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AV22" s="8" t="b">
        <f t="shared" si="26"/>
        <v>0</v>
      </c>
      <c r="AW22" s="8" t="str">
        <f t="shared" si="26"/>
        <v>082SMPL.d</v>
      </c>
      <c r="AX22" s="11">
        <f t="shared" si="26"/>
        <v>45246.597719907404</v>
      </c>
      <c r="AY22" s="8" t="str">
        <f t="shared" si="26"/>
        <v>Sample</v>
      </c>
      <c r="AZ22" s="8">
        <f t="shared" si="26"/>
        <v>0</v>
      </c>
      <c r="BA22" s="8" t="str">
        <f t="shared" si="26"/>
        <v>blk</v>
      </c>
      <c r="BB22" s="8">
        <f t="shared" si="28"/>
        <v>387.64834425599304</v>
      </c>
      <c r="BC22" s="8"/>
      <c r="BD22" s="8">
        <f t="shared" si="36"/>
        <v>921.53194095570996</v>
      </c>
      <c r="BE22" s="8">
        <f t="shared" si="32"/>
        <v>1105.8383291468519</v>
      </c>
      <c r="BF22" s="8">
        <f t="shared" si="32"/>
        <v>737.22555276456796</v>
      </c>
      <c r="BG22" s="8">
        <f t="shared" si="32"/>
        <v>1013.685135051281</v>
      </c>
      <c r="BH22" s="8">
        <f t="shared" si="32"/>
        <v>829.37874686013902</v>
      </c>
      <c r="BI22" s="8">
        <f t="shared" si="32"/>
        <v>964.29806986677988</v>
      </c>
      <c r="BJ22" s="8">
        <f t="shared" si="32"/>
        <v>104.64076468871146</v>
      </c>
      <c r="BK22" s="8">
        <f t="shared" si="32"/>
        <v>2732.3535876125898</v>
      </c>
      <c r="BL22" s="8">
        <f t="shared" si="32"/>
        <v>1977.9832049180609</v>
      </c>
      <c r="BM22" s="8">
        <f t="shared" si="32"/>
        <v>-42.766128911069927</v>
      </c>
      <c r="BN22" s="8">
        <f t="shared" si="32"/>
        <v>2850.1280806892696</v>
      </c>
      <c r="BO22" s="8">
        <f t="shared" si="32"/>
        <v>-1007.0641987778498</v>
      </c>
    </row>
    <row r="23" spans="1:67" x14ac:dyDescent="0.25">
      <c r="A23" s="23">
        <f>Alex_ITSD_count_data!A23</f>
        <v>3.5601851850515231E-2</v>
      </c>
      <c r="B23" s="8" t="str">
        <f>Alex_ITSD_count_data!B23</f>
        <v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v>
      </c>
      <c r="C23" s="8" t="b">
        <f>Alex_ITSD_count_data!C23</f>
        <v>0</v>
      </c>
      <c r="D23" s="8" t="str">
        <f>Alex_ITSD_count_data!D23</f>
        <v>021SMPL.d</v>
      </c>
      <c r="E23" s="11">
        <f>Alex_ITSD_count_data!E23</f>
        <v>45246.515787037039</v>
      </c>
      <c r="F23" s="8" t="str">
        <f>Alex_ITSD_count_data!F23</f>
        <v>Sample</v>
      </c>
      <c r="G23" s="8">
        <f>Alex_ITSD_count_data!G23</f>
        <v>0</v>
      </c>
      <c r="H23" s="8" t="str">
        <f>Alex_ITSD_count_data!H23</f>
        <v>0-70-T</v>
      </c>
      <c r="I23" s="17">
        <f>Alex_ITSD_count_data!I23</f>
        <v>84503.32</v>
      </c>
      <c r="J23" s="17">
        <f>Alex_ITSD_count_data!J23</f>
        <v>1.3</v>
      </c>
      <c r="K23" s="47">
        <f t="shared" si="18"/>
        <v>80694.184056180151</v>
      </c>
      <c r="L23" s="17">
        <f t="shared" si="20"/>
        <v>167.90037916712717</v>
      </c>
      <c r="M23" s="17">
        <f>[2]Alex_MS_FE_AL_data!H25</f>
        <v>194.821</v>
      </c>
      <c r="N23" s="8">
        <v>5</v>
      </c>
      <c r="O23" s="17">
        <f t="shared" si="38"/>
        <v>839.50189583563588</v>
      </c>
      <c r="P23" s="17">
        <f t="shared" si="39"/>
        <v>974.10500000000002</v>
      </c>
      <c r="R23" s="23">
        <f t="shared" si="43"/>
        <v>0.11868055555532919</v>
      </c>
      <c r="S23" s="8" t="str">
        <f t="shared" si="43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T23" s="8" t="b">
        <f t="shared" si="43"/>
        <v>0</v>
      </c>
      <c r="U23" s="8" t="str">
        <f t="shared" si="43"/>
        <v>083SMPL.d</v>
      </c>
      <c r="V23" s="11">
        <f t="shared" si="43"/>
        <v>45246.598865740743</v>
      </c>
      <c r="W23" s="8" t="str">
        <f t="shared" si="43"/>
        <v>Sample</v>
      </c>
      <c r="X23" s="8">
        <f t="shared" si="43"/>
        <v>0</v>
      </c>
      <c r="Y23" s="8" t="str">
        <f t="shared" si="43"/>
        <v>blk</v>
      </c>
      <c r="Z23" s="8">
        <f t="shared" si="43"/>
        <v>1239.06</v>
      </c>
      <c r="AA23" s="8">
        <f t="shared" si="43"/>
        <v>4.5</v>
      </c>
      <c r="AB23" s="8">
        <f t="shared" si="34"/>
        <v>1593.8229999999999</v>
      </c>
      <c r="AC23" s="8">
        <f t="shared" si="34"/>
        <v>1912.5875999999998</v>
      </c>
      <c r="AD23" s="8">
        <f t="shared" si="34"/>
        <v>1275.0583999999999</v>
      </c>
      <c r="AE23" s="8">
        <f t="shared" si="34"/>
        <v>1753.2053000000001</v>
      </c>
      <c r="AF23" s="8">
        <f t="shared" si="34"/>
        <v>1434.4406999999999</v>
      </c>
      <c r="AG23" s="8">
        <f t="shared" si="34"/>
        <v>1022.8759816001376</v>
      </c>
      <c r="AH23" s="8">
        <f t="shared" si="34"/>
        <v>64.177514165634307</v>
      </c>
      <c r="AI23" s="8">
        <f t="shared" si="34"/>
        <v>3229.45</v>
      </c>
      <c r="AJ23" s="8">
        <f t="shared" si="35"/>
        <v>2776.0812816001376</v>
      </c>
      <c r="AK23" s="8">
        <f t="shared" si="35"/>
        <v>570.94701839986226</v>
      </c>
      <c r="AL23" s="8">
        <f t="shared" si="35"/>
        <v>3639.5749632002753</v>
      </c>
      <c r="AM23" s="8">
        <f t="shared" si="35"/>
        <v>-451.92896320027535</v>
      </c>
      <c r="AT23" s="23">
        <f t="shared" si="27"/>
        <v>0.11868055555532919</v>
      </c>
      <c r="AU23" s="8" t="str">
        <f t="shared" si="27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AV23" s="8" t="b">
        <f t="shared" si="26"/>
        <v>0</v>
      </c>
      <c r="AW23" s="8" t="str">
        <f t="shared" si="26"/>
        <v>083SMPL.d</v>
      </c>
      <c r="AX23" s="11">
        <f t="shared" si="26"/>
        <v>45246.598865740743</v>
      </c>
      <c r="AY23" s="8" t="str">
        <f t="shared" si="26"/>
        <v>Sample</v>
      </c>
      <c r="AZ23" s="8">
        <f t="shared" si="26"/>
        <v>0</v>
      </c>
      <c r="BA23" s="8" t="str">
        <f t="shared" si="26"/>
        <v>blk</v>
      </c>
      <c r="BB23" s="8">
        <f t="shared" si="28"/>
        <v>231.58137089961997</v>
      </c>
      <c r="BC23" s="8"/>
      <c r="BD23" s="8">
        <f t="shared" si="36"/>
        <v>921.53194095570996</v>
      </c>
      <c r="BE23" s="8">
        <f t="shared" si="32"/>
        <v>1105.8383291468519</v>
      </c>
      <c r="BF23" s="8">
        <f t="shared" si="32"/>
        <v>737.22555276456796</v>
      </c>
      <c r="BG23" s="8">
        <f t="shared" si="32"/>
        <v>1013.685135051281</v>
      </c>
      <c r="BH23" s="8">
        <f t="shared" si="32"/>
        <v>829.37874686013902</v>
      </c>
      <c r="BI23" s="8">
        <f t="shared" si="32"/>
        <v>964.29806986677988</v>
      </c>
      <c r="BJ23" s="8">
        <f t="shared" si="32"/>
        <v>104.64076468871146</v>
      </c>
      <c r="BK23" s="8">
        <f t="shared" si="32"/>
        <v>2732.3535876125898</v>
      </c>
      <c r="BL23" s="8">
        <f t="shared" si="32"/>
        <v>1977.9832049180609</v>
      </c>
      <c r="BM23" s="8">
        <f t="shared" si="32"/>
        <v>-42.766128911069927</v>
      </c>
      <c r="BN23" s="8">
        <f t="shared" si="32"/>
        <v>2850.1280806892696</v>
      </c>
      <c r="BO23" s="8">
        <f t="shared" si="32"/>
        <v>-1007.0641987778498</v>
      </c>
    </row>
    <row r="24" spans="1:67" x14ac:dyDescent="0.25">
      <c r="A24" s="23">
        <f>Alex_ITSD_count_data!A24</f>
        <v>3.6724537036207039E-2</v>
      </c>
      <c r="B24" s="8" t="str">
        <f>Alex_ITSD_count_data!B24</f>
        <v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v>
      </c>
      <c r="C24" s="8" t="b">
        <f>Alex_ITSD_count_data!C24</f>
        <v>0</v>
      </c>
      <c r="D24" s="8" t="str">
        <f>Alex_ITSD_count_data!D24</f>
        <v>022SMPL.d</v>
      </c>
      <c r="E24" s="11">
        <f>Alex_ITSD_count_data!E24</f>
        <v>45246.516909722224</v>
      </c>
      <c r="F24" s="8" t="str">
        <f>Alex_ITSD_count_data!F24</f>
        <v>Sample</v>
      </c>
      <c r="G24" s="8">
        <f>Alex_ITSD_count_data!G24</f>
        <v>0</v>
      </c>
      <c r="H24" s="8" t="str">
        <f>Alex_ITSD_count_data!H24</f>
        <v>0-80-T</v>
      </c>
      <c r="I24" s="17">
        <f>Alex_ITSD_count_data!I24</f>
        <v>63265.78</v>
      </c>
      <c r="J24" s="17">
        <f>Alex_ITSD_count_data!J24</f>
        <v>0.7</v>
      </c>
      <c r="K24" s="47">
        <f t="shared" si="18"/>
        <v>59336.525009778612</v>
      </c>
      <c r="L24" s="17">
        <f t="shared" si="20"/>
        <v>117.91869154746135</v>
      </c>
      <c r="M24" s="17">
        <f>[2]Alex_MS_FE_AL_data!H26</f>
        <v>144.92400000000001</v>
      </c>
      <c r="N24" s="8">
        <v>5</v>
      </c>
      <c r="O24" s="17">
        <f t="shared" si="38"/>
        <v>589.59345773730672</v>
      </c>
      <c r="P24" s="17">
        <f t="shared" si="39"/>
        <v>724.62</v>
      </c>
      <c r="R24" s="23">
        <f t="shared" si="43"/>
        <v>0.119803240741021</v>
      </c>
      <c r="S24" s="8" t="str">
        <f t="shared" si="43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T24" s="8" t="b">
        <f t="shared" si="43"/>
        <v>0</v>
      </c>
      <c r="U24" s="8" t="str">
        <f t="shared" si="43"/>
        <v>084SMPL.d</v>
      </c>
      <c r="V24" s="11">
        <f t="shared" si="43"/>
        <v>45246.599988425929</v>
      </c>
      <c r="W24" s="8" t="str">
        <f t="shared" si="43"/>
        <v>Sample</v>
      </c>
      <c r="X24" s="8">
        <f t="shared" si="43"/>
        <v>0</v>
      </c>
      <c r="Y24" s="8" t="str">
        <f t="shared" si="43"/>
        <v>blk</v>
      </c>
      <c r="Z24" s="8">
        <f t="shared" si="43"/>
        <v>914.03</v>
      </c>
      <c r="AA24" s="8">
        <f t="shared" si="43"/>
        <v>6.7</v>
      </c>
      <c r="AB24" s="8">
        <f t="shared" si="34"/>
        <v>1593.8229999999999</v>
      </c>
      <c r="AC24" s="8">
        <f t="shared" si="34"/>
        <v>1912.5875999999998</v>
      </c>
      <c r="AD24" s="8">
        <f t="shared" si="34"/>
        <v>1275.0583999999999</v>
      </c>
      <c r="AE24" s="8">
        <f t="shared" si="34"/>
        <v>1753.2053000000001</v>
      </c>
      <c r="AF24" s="8">
        <f t="shared" si="34"/>
        <v>1434.4406999999999</v>
      </c>
      <c r="AG24" s="8">
        <f t="shared" si="34"/>
        <v>1022.8759816001376</v>
      </c>
      <c r="AH24" s="8">
        <f t="shared" si="34"/>
        <v>64.177514165634307</v>
      </c>
      <c r="AI24" s="8">
        <f t="shared" si="34"/>
        <v>3229.45</v>
      </c>
      <c r="AJ24" s="8">
        <f t="shared" si="35"/>
        <v>2776.0812816001376</v>
      </c>
      <c r="AK24" s="8">
        <f t="shared" si="35"/>
        <v>570.94701839986226</v>
      </c>
      <c r="AL24" s="8">
        <f t="shared" si="35"/>
        <v>3639.5749632002753</v>
      </c>
      <c r="AM24" s="8">
        <f t="shared" si="35"/>
        <v>-451.92896320027535</v>
      </c>
      <c r="AT24" s="23">
        <f t="shared" si="27"/>
        <v>0.119803240741021</v>
      </c>
      <c r="AU24" s="8" t="str">
        <f t="shared" si="27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AV24" s="8" t="b">
        <f t="shared" si="26"/>
        <v>0</v>
      </c>
      <c r="AW24" s="8" t="str">
        <f t="shared" si="26"/>
        <v>084SMPL.d</v>
      </c>
      <c r="AX24" s="11">
        <f t="shared" si="26"/>
        <v>45246.599988425929</v>
      </c>
      <c r="AY24" s="8" t="str">
        <f t="shared" si="26"/>
        <v>Sample</v>
      </c>
      <c r="AZ24" s="8">
        <f t="shared" si="26"/>
        <v>0</v>
      </c>
      <c r="BA24" s="8" t="str">
        <f t="shared" si="26"/>
        <v>blk</v>
      </c>
      <c r="BB24" s="8">
        <f>Z24-($AO$12*AT24)</f>
        <v>-102.9790978995826</v>
      </c>
      <c r="BC24" s="8"/>
      <c r="BD24" s="8">
        <f t="shared" si="36"/>
        <v>921.53194095570996</v>
      </c>
      <c r="BE24" s="8">
        <f t="shared" si="32"/>
        <v>1105.8383291468519</v>
      </c>
      <c r="BF24" s="8">
        <f t="shared" si="32"/>
        <v>737.22555276456796</v>
      </c>
      <c r="BG24" s="8">
        <f t="shared" si="32"/>
        <v>1013.685135051281</v>
      </c>
      <c r="BH24" s="8">
        <f t="shared" si="32"/>
        <v>829.37874686013902</v>
      </c>
      <c r="BI24" s="8">
        <f t="shared" si="32"/>
        <v>964.29806986677988</v>
      </c>
      <c r="BJ24" s="8">
        <f t="shared" si="32"/>
        <v>104.64076468871146</v>
      </c>
      <c r="BK24" s="8">
        <f t="shared" si="32"/>
        <v>2732.3535876125898</v>
      </c>
      <c r="BL24" s="8">
        <f t="shared" si="32"/>
        <v>1977.9832049180609</v>
      </c>
      <c r="BM24" s="8">
        <f t="shared" si="32"/>
        <v>-42.766128911069927</v>
      </c>
      <c r="BN24" s="8">
        <f t="shared" si="32"/>
        <v>2850.1280806892696</v>
      </c>
      <c r="BO24" s="8">
        <f t="shared" si="32"/>
        <v>-1007.0641987778498</v>
      </c>
    </row>
    <row r="25" spans="1:67" x14ac:dyDescent="0.25">
      <c r="A25" s="23">
        <f>Alex_ITSD_count_data!A25</f>
        <v>3.7893518514465541E-2</v>
      </c>
      <c r="B25" s="8" t="str">
        <f>Alex_ITSD_count_data!B25</f>
        <v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v>
      </c>
      <c r="C25" s="8" t="b">
        <f>Alex_ITSD_count_data!C25</f>
        <v>0</v>
      </c>
      <c r="D25" s="8" t="str">
        <f>Alex_ITSD_count_data!D25</f>
        <v>023SMPL.d</v>
      </c>
      <c r="E25" s="11">
        <f>Alex_ITSD_count_data!E25</f>
        <v>45246.518078703702</v>
      </c>
      <c r="F25" s="8" t="str">
        <f>Alex_ITSD_count_data!F25</f>
        <v>Sample</v>
      </c>
      <c r="G25" s="8">
        <f>Alex_ITSD_count_data!G25</f>
        <v>0</v>
      </c>
      <c r="H25" s="8" t="str">
        <f>Alex_ITSD_count_data!H25</f>
        <v>0-90-T</v>
      </c>
      <c r="I25" s="17">
        <f>Alex_ITSD_count_data!I25</f>
        <v>241415.81</v>
      </c>
      <c r="J25" s="17">
        <f>Alex_ITSD_count_data!J25</f>
        <v>1.7</v>
      </c>
      <c r="K25" s="47">
        <f t="shared" si="18"/>
        <v>237361.48260104013</v>
      </c>
      <c r="L25" s="17">
        <f t="shared" si="20"/>
        <v>537.18754984715565</v>
      </c>
      <c r="M25" s="17">
        <f>[2]Alex_MS_FE_AL_data!H27</f>
        <v>563.48500000000001</v>
      </c>
      <c r="N25" s="8">
        <v>5</v>
      </c>
      <c r="O25" s="17">
        <f t="shared" si="38"/>
        <v>2685.937749235778</v>
      </c>
      <c r="P25" s="17">
        <f t="shared" si="39"/>
        <v>2817.4250000000002</v>
      </c>
    </row>
    <row r="26" spans="1:67" x14ac:dyDescent="0.25">
      <c r="A26" s="23">
        <f>Alex_ITSD_count_data!A26</f>
        <v>3.9016203700157348E-2</v>
      </c>
      <c r="B26" s="8" t="str">
        <f>Alex_ITSD_count_data!B26</f>
        <v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v>
      </c>
      <c r="C26" s="8" t="b">
        <f>Alex_ITSD_count_data!C26</f>
        <v>0</v>
      </c>
      <c r="D26" s="8" t="str">
        <f>Alex_ITSD_count_data!D26</f>
        <v>024SMPL.d</v>
      </c>
      <c r="E26" s="11">
        <f>Alex_ITSD_count_data!E26</f>
        <v>45246.519201388888</v>
      </c>
      <c r="F26" s="8" t="str">
        <f>Alex_ITSD_count_data!F26</f>
        <v>Sample</v>
      </c>
      <c r="G26" s="8">
        <f>Alex_ITSD_count_data!G26</f>
        <v>0</v>
      </c>
      <c r="H26" s="8" t="str">
        <f>Alex_ITSD_count_data!H26</f>
        <v>0-100-T</v>
      </c>
      <c r="I26" s="17">
        <f>Alex_ITSD_count_data!I26</f>
        <v>143570.18</v>
      </c>
      <c r="J26" s="17">
        <f>Alex_ITSD_count_data!J26</f>
        <v>0.9</v>
      </c>
      <c r="K26" s="47">
        <f t="shared" si="18"/>
        <v>139395.7335546386</v>
      </c>
      <c r="L26" s="17">
        <f t="shared" si="20"/>
        <v>306.91183459909018</v>
      </c>
      <c r="M26" s="17">
        <f>[2]Alex_MS_FE_AL_data!H28</f>
        <v>333.59800000000001</v>
      </c>
      <c r="N26" s="8">
        <v>5</v>
      </c>
      <c r="O26" s="17">
        <f t="shared" si="38"/>
        <v>1534.5591729954508</v>
      </c>
      <c r="P26" s="17">
        <f t="shared" si="39"/>
        <v>1667.99</v>
      </c>
    </row>
    <row r="27" spans="1:67" x14ac:dyDescent="0.25">
      <c r="A27" s="23">
        <f>Alex_ITSD_count_data!A27</f>
        <v>4.0127314809069503E-2</v>
      </c>
      <c r="B27" s="8" t="str">
        <f>Alex_ITSD_count_data!B27</f>
        <v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v>
      </c>
      <c r="C27" s="8" t="b">
        <f>Alex_ITSD_count_data!C27</f>
        <v>0</v>
      </c>
      <c r="D27" s="8" t="str">
        <f>Alex_ITSD_count_data!D27</f>
        <v>025SMPL.d</v>
      </c>
      <c r="E27" s="11">
        <f>Alex_ITSD_count_data!E27</f>
        <v>45246.520312499997</v>
      </c>
      <c r="F27" s="8" t="str">
        <f>Alex_ITSD_count_data!F27</f>
        <v>Sample</v>
      </c>
      <c r="G27" s="8">
        <f>Alex_ITSD_count_data!G27</f>
        <v>0</v>
      </c>
      <c r="H27" s="8" t="str">
        <f>Alex_ITSD_count_data!H27</f>
        <v>0-10-B</v>
      </c>
      <c r="I27" s="17">
        <f>Alex_ITSD_count_data!I27</f>
        <v>768789.44</v>
      </c>
      <c r="J27" s="17">
        <f>Alex_ITSD_count_data!J27</f>
        <v>0.7</v>
      </c>
      <c r="K27" s="47">
        <f t="shared" si="18"/>
        <v>764496.11284921051</v>
      </c>
      <c r="L27" s="17">
        <f t="shared" si="20"/>
        <v>1778.3399636158506</v>
      </c>
      <c r="M27" s="17">
        <f>[2]Alex_MS_FE_AL_data!H29</f>
        <v>1802.5409999999999</v>
      </c>
      <c r="N27" s="8">
        <v>5</v>
      </c>
      <c r="O27" s="17">
        <f t="shared" si="38"/>
        <v>8891.6998180792525</v>
      </c>
      <c r="P27" s="17">
        <f t="shared" si="39"/>
        <v>9012.7049999999999</v>
      </c>
    </row>
    <row r="28" spans="1:67" x14ac:dyDescent="0.25">
      <c r="A28" s="23">
        <f>Alex_ITSD_count_data!A28</f>
        <v>4.1238425925257616E-2</v>
      </c>
      <c r="B28" s="8" t="str">
        <f>Alex_ITSD_count_data!B28</f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C28" s="8" t="b">
        <f>Alex_ITSD_count_data!C28</f>
        <v>0</v>
      </c>
      <c r="D28" s="8" t="str">
        <f>Alex_ITSD_count_data!D28</f>
        <v>026SMPL.d</v>
      </c>
      <c r="E28" s="11">
        <f>Alex_ITSD_count_data!E28</f>
        <v>45246.521423611113</v>
      </c>
      <c r="F28" s="8" t="str">
        <f>Alex_ITSD_count_data!F28</f>
        <v>Sample</v>
      </c>
      <c r="G28" s="8">
        <f>Alex_ITSD_count_data!G28</f>
        <v>0</v>
      </c>
      <c r="H28" s="40" t="str">
        <f>Alex_ITSD_count_data!H28</f>
        <v xml:space="preserve">blk </v>
      </c>
      <c r="I28" s="43">
        <f>Alex_ITSD_count_data!I28</f>
        <v>2595.9</v>
      </c>
      <c r="J28" s="43">
        <f>Alex_ITSD_count_data!J28</f>
        <v>2.2999999999999998</v>
      </c>
      <c r="K28" s="48">
        <f t="shared" si="18"/>
        <v>-1816.3078569960085</v>
      </c>
      <c r="L28" s="43">
        <f t="shared" si="20"/>
        <v>-24.865406332171105</v>
      </c>
      <c r="M28" s="43">
        <f>[2]Alex_MS_FE_AL_data!H30</f>
        <v>2.3809999999999998</v>
      </c>
      <c r="N28" s="8"/>
      <c r="O28" s="17"/>
      <c r="P28" s="17"/>
      <c r="Q28" s="2" t="s">
        <v>318</v>
      </c>
      <c r="R28" s="10"/>
      <c r="S28" s="7" t="str">
        <f t="shared" ref="R28:AA29" si="44">B1</f>
        <v>Sample</v>
      </c>
      <c r="T28" s="7"/>
      <c r="U28" s="7"/>
      <c r="V28" s="10"/>
      <c r="W28" s="7"/>
      <c r="X28" s="7"/>
      <c r="Y28" s="7"/>
      <c r="Z28" s="12" t="str">
        <f t="shared" si="44"/>
        <v xml:space="preserve">27  Al  [ He ] </v>
      </c>
      <c r="AA28" s="12"/>
      <c r="AB28" s="7" t="str">
        <f>'Calibration Std'!$A$1</f>
        <v>Calibration Standards Concentrations ppb</v>
      </c>
      <c r="AO28" s="2" t="s">
        <v>355</v>
      </c>
    </row>
    <row r="29" spans="1:67" x14ac:dyDescent="0.25">
      <c r="A29" s="23">
        <f>Alex_ITSD_count_data!A29</f>
        <v>4.2407407403516117E-2</v>
      </c>
      <c r="B29" s="8" t="str">
        <f>Alex_ITSD_count_data!B29</f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C29" s="8" t="b">
        <f>Alex_ITSD_count_data!C29</f>
        <v>0</v>
      </c>
      <c r="D29" s="8" t="str">
        <f>Alex_ITSD_count_data!D29</f>
        <v>027SMPL.d</v>
      </c>
      <c r="E29" s="11">
        <f>Alex_ITSD_count_data!E29</f>
        <v>45246.522592592592</v>
      </c>
      <c r="F29" s="8" t="str">
        <f>Alex_ITSD_count_data!F29</f>
        <v>Sample</v>
      </c>
      <c r="G29" s="8">
        <f>Alex_ITSD_count_data!G29</f>
        <v>0</v>
      </c>
      <c r="H29" s="8" t="str">
        <f>Alex_ITSD_count_data!H29</f>
        <v>100 ppb check</v>
      </c>
      <c r="I29" s="17">
        <f>Alex_ITSD_count_data!I29</f>
        <v>47533.62</v>
      </c>
      <c r="J29" s="17">
        <f>Alex_ITSD_count_data!J29</f>
        <v>1.3</v>
      </c>
      <c r="K29" s="47">
        <f t="shared" si="18"/>
        <v>42996.339734265523</v>
      </c>
      <c r="L29" s="17">
        <f t="shared" si="20"/>
        <v>80.893692102958767</v>
      </c>
      <c r="M29" s="17">
        <f>[2]Alex_MS_FE_AL_data!H31</f>
        <v>107.961</v>
      </c>
      <c r="N29" s="8"/>
      <c r="O29" s="17"/>
      <c r="P29" s="17"/>
      <c r="R29" s="10" t="str">
        <f t="shared" si="44"/>
        <v>Number</v>
      </c>
      <c r="S29" s="7">
        <f t="shared" si="44"/>
        <v>0</v>
      </c>
      <c r="T29" s="7" t="str">
        <f t="shared" si="44"/>
        <v>Rjct</v>
      </c>
      <c r="U29" s="7" t="str">
        <f t="shared" si="44"/>
        <v>Data File</v>
      </c>
      <c r="V29" s="10" t="str">
        <f t="shared" si="44"/>
        <v>Acq. Date-Time</v>
      </c>
      <c r="W29" s="7" t="str">
        <f t="shared" si="44"/>
        <v>Type</v>
      </c>
      <c r="X29" s="7" t="str">
        <f t="shared" si="44"/>
        <v>Level</v>
      </c>
      <c r="Y29" s="7" t="str">
        <f t="shared" si="44"/>
        <v>Sample Name</v>
      </c>
      <c r="Z29" s="12" t="str">
        <f t="shared" si="44"/>
        <v>CPS</v>
      </c>
      <c r="AA29" s="12" t="str">
        <f t="shared" si="44"/>
        <v>CPS RSD</v>
      </c>
      <c r="AB29" s="7"/>
      <c r="AO29" s="7" t="s">
        <v>272</v>
      </c>
      <c r="AP29" s="7" t="s">
        <v>273</v>
      </c>
    </row>
    <row r="30" spans="1:67" x14ac:dyDescent="0.25">
      <c r="A30" s="23">
        <f>Alex_ITSD_count_data!A30</f>
        <v>4.3518518512428273E-2</v>
      </c>
      <c r="B30" s="8" t="str">
        <f>Alex_ITSD_count_data!B30</f>
        <v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v>
      </c>
      <c r="C30" s="8" t="b">
        <f>Alex_ITSD_count_data!C30</f>
        <v>0</v>
      </c>
      <c r="D30" s="8" t="str">
        <f>Alex_ITSD_count_data!D30</f>
        <v>028SMPL.d</v>
      </c>
      <c r="E30" s="11">
        <f>Alex_ITSD_count_data!E30</f>
        <v>45246.5237037037</v>
      </c>
      <c r="F30" s="8" t="str">
        <f>Alex_ITSD_count_data!F30</f>
        <v>Sample</v>
      </c>
      <c r="G30" s="8">
        <f>Alex_ITSD_count_data!G30</f>
        <v>0</v>
      </c>
      <c r="H30" s="8" t="str">
        <f>Alex_ITSD_count_data!H30</f>
        <v>0-50-T</v>
      </c>
      <c r="I30" s="17">
        <f>Alex_ITSD_count_data!I30</f>
        <v>50963.11</v>
      </c>
      <c r="J30" s="17">
        <f>Alex_ITSD_count_data!J30</f>
        <v>0.2</v>
      </c>
      <c r="K30" s="47">
        <f t="shared" si="18"/>
        <v>46306.949028837451</v>
      </c>
      <c r="L30" s="17">
        <f t="shared" si="20"/>
        <v>88.964857495691049</v>
      </c>
      <c r="M30" s="17">
        <f>[2]Alex_MS_FE_AL_data!H32</f>
        <v>116.01900000000001</v>
      </c>
      <c r="N30" s="8">
        <v>10</v>
      </c>
      <c r="O30" s="17">
        <f>IF(L30 &lt; $S$44, "NA", N30*L30)</f>
        <v>889.64857495691047</v>
      </c>
      <c r="P30" s="17">
        <f>IF(M30 &lt; $S$45, "NA", N30*M30)</f>
        <v>1160.19</v>
      </c>
      <c r="R30" s="23">
        <f t="shared" ref="R30:AA38" si="45">A6</f>
        <v>3.4490740727051161E-3</v>
      </c>
      <c r="S30" s="8">
        <f t="shared" si="45"/>
        <v>0</v>
      </c>
      <c r="T30" s="8" t="b">
        <f t="shared" si="45"/>
        <v>0</v>
      </c>
      <c r="U30" s="8" t="str">
        <f t="shared" si="45"/>
        <v>004CALB.d</v>
      </c>
      <c r="V30" s="11">
        <f t="shared" si="45"/>
        <v>45246.483634259261</v>
      </c>
      <c r="W30" s="8" t="str">
        <f t="shared" si="45"/>
        <v>CalBlk</v>
      </c>
      <c r="X30" s="8">
        <f t="shared" si="45"/>
        <v>1</v>
      </c>
      <c r="Y30" s="8" t="str">
        <f t="shared" si="45"/>
        <v xml:space="preserve">0 ppb </v>
      </c>
      <c r="Z30" s="8">
        <f t="shared" si="45"/>
        <v>1582.6</v>
      </c>
      <c r="AA30" s="8">
        <f t="shared" si="45"/>
        <v>17.100000000000001</v>
      </c>
      <c r="AB30" s="8">
        <f>'Calibration Std'!D$6</f>
        <v>0</v>
      </c>
      <c r="AN30" t="s">
        <v>280</v>
      </c>
      <c r="AO30" s="17" cm="1">
        <f t="array" ref="AO30:AP34">LINEST(Z30:Z40,AB30:AB40, TRUE, TRUE)</f>
        <v>424.90642095974118</v>
      </c>
      <c r="AP30" s="17">
        <v>13161.37081031251</v>
      </c>
      <c r="AQ30" s="20" t="s">
        <v>281</v>
      </c>
    </row>
    <row r="31" spans="1:67" x14ac:dyDescent="0.25">
      <c r="A31" s="23">
        <f>Alex_ITSD_count_data!A31</f>
        <v>4.464120369812008E-2</v>
      </c>
      <c r="B31" s="8" t="str">
        <f>Alex_ITSD_count_data!B31</f>
        <v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v>
      </c>
      <c r="C31" s="8" t="b">
        <f>Alex_ITSD_count_data!C31</f>
        <v>0</v>
      </c>
      <c r="D31" s="8" t="str">
        <f>Alex_ITSD_count_data!D31</f>
        <v>029SMPL.d</v>
      </c>
      <c r="E31" s="11">
        <f>Alex_ITSD_count_data!E31</f>
        <v>45246.524826388886</v>
      </c>
      <c r="F31" s="8" t="str">
        <f>Alex_ITSD_count_data!F31</f>
        <v>Sample</v>
      </c>
      <c r="G31" s="8">
        <f>Alex_ITSD_count_data!G31</f>
        <v>0</v>
      </c>
      <c r="H31" s="8" t="str">
        <f>Alex_ITSD_count_data!H31</f>
        <v>0-60-B</v>
      </c>
      <c r="I31" s="17">
        <f>Alex_ITSD_count_data!I31</f>
        <v>94534.26</v>
      </c>
      <c r="J31" s="17">
        <f>Alex_ITSD_count_data!J31</f>
        <v>0.3</v>
      </c>
      <c r="K31" s="47">
        <f t="shared" si="18"/>
        <v>89757.979982435907</v>
      </c>
      <c r="L31" s="17">
        <f t="shared" si="20"/>
        <v>191.50778895242291</v>
      </c>
      <c r="M31" s="17">
        <f>[2]Alex_MS_FE_AL_data!H33</f>
        <v>218.38900000000001</v>
      </c>
      <c r="N31" s="8">
        <v>5</v>
      </c>
      <c r="O31" s="17">
        <f t="shared" ref="O31:O39" si="46">IF(L31 &lt; $S$44, "NA", N31*L31)</f>
        <v>957.53894476211462</v>
      </c>
      <c r="P31" s="17">
        <f t="shared" ref="P31:P39" si="47">IF(M31 &lt; $S$45, "NA", N31*M31)</f>
        <v>1091.9450000000002</v>
      </c>
      <c r="R31" s="23">
        <f t="shared" si="45"/>
        <v>4.6180555509636179E-3</v>
      </c>
      <c r="S31" s="8">
        <f t="shared" si="45"/>
        <v>0</v>
      </c>
      <c r="T31" s="8" t="b">
        <f t="shared" si="45"/>
        <v>0</v>
      </c>
      <c r="U31" s="8" t="str">
        <f t="shared" si="45"/>
        <v>005CALS.d</v>
      </c>
      <c r="V31" s="11">
        <f t="shared" si="45"/>
        <v>45246.484803240739</v>
      </c>
      <c r="W31" s="8" t="str">
        <f t="shared" si="45"/>
        <v>CalStd</v>
      </c>
      <c r="X31" s="8">
        <f t="shared" si="45"/>
        <v>2</v>
      </c>
      <c r="Y31" s="8" t="str">
        <f t="shared" si="45"/>
        <v>0.5 ppb m16 + Al</v>
      </c>
      <c r="Z31" s="8">
        <f t="shared" si="45"/>
        <v>838.36</v>
      </c>
      <c r="AA31" s="8">
        <f t="shared" si="45"/>
        <v>3.9</v>
      </c>
      <c r="AB31" s="8">
        <f>'Calibration Std'!E$6</f>
        <v>0.5</v>
      </c>
      <c r="AN31" t="s">
        <v>286</v>
      </c>
      <c r="AO31" s="17">
        <v>2.4374566340491599</v>
      </c>
      <c r="AP31" s="17">
        <v>7431.8857737507651</v>
      </c>
      <c r="AQ31" t="s">
        <v>282</v>
      </c>
    </row>
    <row r="32" spans="1:67" x14ac:dyDescent="0.25">
      <c r="A32" s="23">
        <f>Alex_ITSD_count_data!A32</f>
        <v>4.5763888883811887E-2</v>
      </c>
      <c r="B32" s="8" t="str">
        <f>Alex_ITSD_count_data!B32</f>
        <v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v>
      </c>
      <c r="C32" s="8" t="b">
        <f>Alex_ITSD_count_data!C32</f>
        <v>0</v>
      </c>
      <c r="D32" s="8" t="str">
        <f>Alex_ITSD_count_data!D32</f>
        <v>030SMPL.d</v>
      </c>
      <c r="E32" s="11">
        <f>Alex_ITSD_count_data!E32</f>
        <v>45246.525949074072</v>
      </c>
      <c r="F32" s="8" t="str">
        <f>Alex_ITSD_count_data!F32</f>
        <v>Sample</v>
      </c>
      <c r="G32" s="8">
        <f>Alex_ITSD_count_data!G32</f>
        <v>0</v>
      </c>
      <c r="H32" s="8" t="str">
        <f>Alex_ITSD_count_data!H32</f>
        <v>0-100-B</v>
      </c>
      <c r="I32" s="17">
        <f>Alex_ITSD_count_data!I32</f>
        <v>120450.97</v>
      </c>
      <c r="J32" s="17">
        <f>Alex_ITSD_count_data!J32</f>
        <v>1</v>
      </c>
      <c r="K32" s="47">
        <f t="shared" si="18"/>
        <v>115554.57093603438</v>
      </c>
      <c r="L32" s="17">
        <f t="shared" si="20"/>
        <v>252.50171307684923</v>
      </c>
      <c r="M32" s="17">
        <f>[2]Alex_MS_FE_AL_data!H34</f>
        <v>279.27999999999997</v>
      </c>
      <c r="N32" s="8">
        <v>5</v>
      </c>
      <c r="O32" s="17">
        <f t="shared" si="46"/>
        <v>1262.5085653842461</v>
      </c>
      <c r="P32" s="17">
        <f t="shared" si="47"/>
        <v>1396.3999999999999</v>
      </c>
      <c r="R32" s="23">
        <f t="shared" si="45"/>
        <v>5.7870370364980772E-3</v>
      </c>
      <c r="S32" s="8" t="str">
        <f t="shared" si="45"/>
        <v>45  Sc ( ISTD )  [ He ] :  ISTD Recovery Percent value = 135.23 is outside the allowed range [80.00, 120.00]103  Rh ( ISTD )  [ He ] :  ISTD Recovery Percent value = 137.11 is outside the allowed range [80.00, 120.00]</v>
      </c>
      <c r="T32" s="8" t="b">
        <f t="shared" si="45"/>
        <v>0</v>
      </c>
      <c r="U32" s="8" t="str">
        <f t="shared" si="45"/>
        <v>006CALS.d</v>
      </c>
      <c r="V32" s="11">
        <f t="shared" si="45"/>
        <v>45246.485972222225</v>
      </c>
      <c r="W32" s="8" t="str">
        <f t="shared" si="45"/>
        <v>CalStd</v>
      </c>
      <c r="X32" s="8">
        <f t="shared" si="45"/>
        <v>3</v>
      </c>
      <c r="Y32" s="8" t="str">
        <f t="shared" si="45"/>
        <v>1 ppb m16 + Al</v>
      </c>
      <c r="Z32" s="17">
        <f>I8</f>
        <v>2843.62</v>
      </c>
      <c r="AA32" s="8">
        <f t="shared" si="45"/>
        <v>1.6</v>
      </c>
      <c r="AB32" s="8">
        <f>'Calibration Std'!F$6</f>
        <v>1</v>
      </c>
      <c r="AN32" t="s">
        <v>277</v>
      </c>
      <c r="AO32" s="44">
        <v>0.99970392542515796</v>
      </c>
      <c r="AP32" s="17">
        <v>22823.388011628653</v>
      </c>
      <c r="AQ32" t="s">
        <v>285</v>
      </c>
    </row>
    <row r="33" spans="1:43" x14ac:dyDescent="0.25">
      <c r="A33" s="23">
        <f>Alex_ITSD_count_data!A33</f>
        <v>4.6944444438850041E-2</v>
      </c>
      <c r="B33" s="8" t="str">
        <f>Alex_ITSD_count_data!B33</f>
        <v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v>
      </c>
      <c r="C33" s="8" t="b">
        <f>Alex_ITSD_count_data!C33</f>
        <v>0</v>
      </c>
      <c r="D33" s="8" t="str">
        <f>Alex_ITSD_count_data!D33</f>
        <v>031SMPL.d</v>
      </c>
      <c r="E33" s="11">
        <f>Alex_ITSD_count_data!E33</f>
        <v>45246.527129629627</v>
      </c>
      <c r="F33" s="8" t="str">
        <f>Alex_ITSD_count_data!F33</f>
        <v>Sample</v>
      </c>
      <c r="G33" s="8">
        <f>Alex_ITSD_count_data!G33</f>
        <v>0</v>
      </c>
      <c r="H33" s="8" t="str">
        <f>Alex_ITSD_count_data!H33</f>
        <v>0-70-B</v>
      </c>
      <c r="I33" s="17">
        <f>Alex_ITSD_count_data!I33</f>
        <v>30521.31</v>
      </c>
      <c r="J33" s="17">
        <f>Alex_ITSD_count_data!J33</f>
        <v>1.6</v>
      </c>
      <c r="K33" s="47">
        <f t="shared" si="18"/>
        <v>25498.600186322437</v>
      </c>
      <c r="L33" s="17">
        <f t="shared" si="20"/>
        <v>40.855911639264924</v>
      </c>
      <c r="M33" s="17">
        <f>[2]Alex_MS_FE_AL_data!H35</f>
        <v>67.991</v>
      </c>
      <c r="N33" s="8">
        <v>10</v>
      </c>
      <c r="O33" s="17">
        <f t="shared" si="46"/>
        <v>408.55911639264923</v>
      </c>
      <c r="P33" s="17">
        <f t="shared" si="47"/>
        <v>679.91</v>
      </c>
      <c r="R33" s="23">
        <f t="shared" si="45"/>
        <v>7.0023148145992309E-3</v>
      </c>
      <c r="S33" s="8" t="str">
        <f t="shared" si="45"/>
        <v>45  Sc ( ISTD )  [ He ] :  ISTD Recovery Percent value = 158.50 is outside the allowed range [80.00, 120.00]103  Rh ( ISTD )  [ He ] :  ISTD Recovery Percent value = 166.42 is outside the allowed range [80.00, 120.00]</v>
      </c>
      <c r="T33" s="8" t="b">
        <f t="shared" si="45"/>
        <v>0</v>
      </c>
      <c r="U33" s="8" t="str">
        <f t="shared" si="45"/>
        <v>007CALS.d</v>
      </c>
      <c r="V33" s="11">
        <f t="shared" si="45"/>
        <v>45246.487187500003</v>
      </c>
      <c r="W33" s="8" t="str">
        <f t="shared" si="45"/>
        <v>CalStd</v>
      </c>
      <c r="X33" s="8">
        <f t="shared" si="45"/>
        <v>4</v>
      </c>
      <c r="Y33" s="8" t="str">
        <f t="shared" si="45"/>
        <v>5 ppb m16 + Al</v>
      </c>
      <c r="Z33" s="8">
        <f t="shared" si="45"/>
        <v>2868.62</v>
      </c>
      <c r="AA33" s="8">
        <f t="shared" si="45"/>
        <v>1.8</v>
      </c>
      <c r="AB33" s="8">
        <f>'Calibration Std'!G$6</f>
        <v>5</v>
      </c>
      <c r="AN33" t="s">
        <v>278</v>
      </c>
      <c r="AO33" s="17">
        <v>30388.746935219704</v>
      </c>
      <c r="AP33" s="17">
        <v>9</v>
      </c>
      <c r="AQ33" t="s">
        <v>283</v>
      </c>
    </row>
    <row r="34" spans="1:43" x14ac:dyDescent="0.25">
      <c r="A34" s="23">
        <f>Alex_ITSD_count_data!A34</f>
        <v>4.8078703701321501E-2</v>
      </c>
      <c r="B34" s="8" t="str">
        <f>Alex_ITSD_count_data!B34</f>
        <v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v>
      </c>
      <c r="C34" s="8" t="b">
        <f>Alex_ITSD_count_data!C34</f>
        <v>0</v>
      </c>
      <c r="D34" s="8" t="str">
        <f>Alex_ITSD_count_data!D34</f>
        <v>032SMPL.d</v>
      </c>
      <c r="E34" s="11">
        <f>Alex_ITSD_count_data!E34</f>
        <v>45246.528263888889</v>
      </c>
      <c r="F34" s="8" t="str">
        <f>Alex_ITSD_count_data!F34</f>
        <v>Sample</v>
      </c>
      <c r="G34" s="8">
        <f>Alex_ITSD_count_data!G34</f>
        <v>0</v>
      </c>
      <c r="H34" s="8" t="str">
        <f>Alex_ITSD_count_data!H34</f>
        <v>20-100-T</v>
      </c>
      <c r="I34" s="17">
        <f>Alex_ITSD_count_data!I34</f>
        <v>250119.96</v>
      </c>
      <c r="J34" s="17">
        <f>Alex_ITSD_count_data!J34</f>
        <v>1.4</v>
      </c>
      <c r="K34" s="47">
        <f t="shared" si="18"/>
        <v>244975.89279894743</v>
      </c>
      <c r="L34" s="17">
        <f t="shared" si="20"/>
        <v>557.67241326799979</v>
      </c>
      <c r="M34" s="17">
        <f>[2]Alex_MS_FE_AL_data!H36</f>
        <v>583.93499999999995</v>
      </c>
      <c r="N34" s="8">
        <v>5</v>
      </c>
      <c r="O34" s="17">
        <f t="shared" si="46"/>
        <v>2788.3620663399988</v>
      </c>
      <c r="P34" s="17">
        <f t="shared" si="47"/>
        <v>2919.6749999999997</v>
      </c>
      <c r="R34" s="23">
        <f t="shared" si="45"/>
        <v>8.182870369637385E-3</v>
      </c>
      <c r="S34" s="8" t="str">
        <f t="shared" si="45"/>
        <v>45  Sc ( ISTD )  [ He ] :  ISTD Recovery Percent value = 191.39 is outside the allowed range [80.00, 120.00]103  Rh ( ISTD )  [ He ] :  ISTD Recovery Percent value = 202.01 is outside the allowed range [80.00, 120.00]</v>
      </c>
      <c r="T34" s="8" t="b">
        <f t="shared" si="45"/>
        <v>0</v>
      </c>
      <c r="U34" s="8" t="str">
        <f t="shared" si="45"/>
        <v>008CALS.d</v>
      </c>
      <c r="V34" s="11">
        <f t="shared" si="45"/>
        <v>45246.488368055558</v>
      </c>
      <c r="W34" s="8" t="str">
        <f t="shared" si="45"/>
        <v>CalStd</v>
      </c>
      <c r="X34" s="8">
        <f t="shared" si="45"/>
        <v>5</v>
      </c>
      <c r="Y34" s="8" t="str">
        <f t="shared" si="45"/>
        <v>10 ppb m16 + Al</v>
      </c>
      <c r="Z34" s="8">
        <f t="shared" si="45"/>
        <v>23647.48</v>
      </c>
      <c r="AA34" s="8">
        <f t="shared" si="45"/>
        <v>2.4</v>
      </c>
      <c r="AB34" s="8">
        <f>'Calibration Std'!H$6</f>
        <v>10</v>
      </c>
      <c r="AN34" t="s">
        <v>279</v>
      </c>
      <c r="AO34" s="17">
        <v>15829712225343.041</v>
      </c>
      <c r="AP34" s="17">
        <v>4688163362.9641914</v>
      </c>
      <c r="AQ34" t="s">
        <v>284</v>
      </c>
    </row>
    <row r="35" spans="1:43" x14ac:dyDescent="0.25">
      <c r="A35" s="23">
        <f>Alex_ITSD_count_data!A35</f>
        <v>4.9201388887013309E-2</v>
      </c>
      <c r="B35" s="8" t="str">
        <f>Alex_ITSD_count_data!B35</f>
        <v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v>
      </c>
      <c r="C35" s="8" t="b">
        <f>Alex_ITSD_count_data!C35</f>
        <v>0</v>
      </c>
      <c r="D35" s="8" t="str">
        <f>Alex_ITSD_count_data!D35</f>
        <v>033SMPL.d</v>
      </c>
      <c r="E35" s="11">
        <f>Alex_ITSD_count_data!E35</f>
        <v>45246.529386574075</v>
      </c>
      <c r="F35" s="8" t="str">
        <f>Alex_ITSD_count_data!F35</f>
        <v>Sample</v>
      </c>
      <c r="G35" s="8">
        <f>Alex_ITSD_count_data!G35</f>
        <v>0</v>
      </c>
      <c r="H35" s="8" t="str">
        <f>Alex_ITSD_count_data!H35</f>
        <v>20-80-T</v>
      </c>
      <c r="I35" s="17">
        <f>Alex_ITSD_count_data!I35</f>
        <v>218508.67</v>
      </c>
      <c r="J35" s="17">
        <f>Alex_ITSD_count_data!J35</f>
        <v>0.3</v>
      </c>
      <c r="K35" s="47">
        <f t="shared" si="18"/>
        <v>213244.4837525459</v>
      </c>
      <c r="L35" s="17">
        <f t="shared" si="20"/>
        <v>483.27652645461819</v>
      </c>
      <c r="M35" s="17">
        <f>[2]Alex_MS_FE_AL_data!H37</f>
        <v>509.66500000000002</v>
      </c>
      <c r="N35" s="8">
        <v>5</v>
      </c>
      <c r="O35" s="17">
        <f t="shared" si="46"/>
        <v>2416.3826322730911</v>
      </c>
      <c r="P35" s="17">
        <f t="shared" si="47"/>
        <v>2548.3250000000003</v>
      </c>
      <c r="Q35" s="2"/>
      <c r="R35" s="23">
        <f t="shared" si="45"/>
        <v>9.3287037016125396E-3</v>
      </c>
      <c r="S35" s="8" t="str">
        <f t="shared" si="45"/>
        <v>45  Sc ( ISTD )  [ He ] :  ISTD Recovery Percent value = 226.75 is outside the allowed range [80.00, 120.00]103  Rh ( ISTD )  [ He ] :  ISTD Recovery Percent value = 246.55 is outside the allowed range [80.00, 120.00]</v>
      </c>
      <c r="T35" s="8" t="b">
        <f t="shared" si="45"/>
        <v>0</v>
      </c>
      <c r="U35" s="8" t="str">
        <f t="shared" si="45"/>
        <v>009CALS.d</v>
      </c>
      <c r="V35" s="11">
        <f t="shared" si="45"/>
        <v>45246.48951388889</v>
      </c>
      <c r="W35" s="8" t="str">
        <f t="shared" si="45"/>
        <v>CalStd</v>
      </c>
      <c r="X35" s="8">
        <f t="shared" si="45"/>
        <v>6</v>
      </c>
      <c r="Y35" s="8" t="str">
        <f t="shared" si="45"/>
        <v>50 ppb m16 + Al</v>
      </c>
      <c r="Z35" s="8">
        <f t="shared" si="45"/>
        <v>23905.89</v>
      </c>
      <c r="AA35" s="8">
        <f t="shared" si="45"/>
        <v>2.1</v>
      </c>
      <c r="AB35" s="8">
        <f>'Calibration Std'!I$6</f>
        <v>50</v>
      </c>
    </row>
    <row r="36" spans="1:43" x14ac:dyDescent="0.25">
      <c r="A36" s="23">
        <f>Alex_ITSD_count_data!A36</f>
        <v>5.0324074072705116E-2</v>
      </c>
      <c r="B36" s="8" t="str">
        <f>Alex_ITSD_count_data!B36</f>
        <v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v>
      </c>
      <c r="C36" s="8" t="b">
        <f>Alex_ITSD_count_data!C36</f>
        <v>0</v>
      </c>
      <c r="D36" s="8" t="str">
        <f>Alex_ITSD_count_data!D36</f>
        <v>034SMPL.d</v>
      </c>
      <c r="E36" s="11">
        <f>Alex_ITSD_count_data!E36</f>
        <v>45246.530509259261</v>
      </c>
      <c r="F36" s="8" t="str">
        <f>Alex_ITSD_count_data!F36</f>
        <v>Sample</v>
      </c>
      <c r="G36" s="8">
        <f>Alex_ITSD_count_data!G36</f>
        <v>0</v>
      </c>
      <c r="H36" s="8" t="str">
        <f>Alex_ITSD_count_data!H36</f>
        <v>20-30-B</v>
      </c>
      <c r="I36" s="17">
        <f>Alex_ITSD_count_data!I36</f>
        <v>228408.43</v>
      </c>
      <c r="J36" s="17">
        <f>Alex_ITSD_count_data!J36</f>
        <v>0.8</v>
      </c>
      <c r="K36" s="47">
        <f t="shared" si="18"/>
        <v>223024.12470614436</v>
      </c>
      <c r="L36" s="17">
        <f t="shared" si="20"/>
        <v>506.57520943907218</v>
      </c>
      <c r="M36" s="17">
        <f>[2]Alex_MS_FE_AL_data!H38</f>
        <v>532.92399999999998</v>
      </c>
      <c r="N36" s="8">
        <v>5</v>
      </c>
      <c r="O36" s="17">
        <f t="shared" si="46"/>
        <v>2532.876047195361</v>
      </c>
      <c r="P36" s="17">
        <f t="shared" si="47"/>
        <v>2664.62</v>
      </c>
      <c r="R36" s="23">
        <f t="shared" si="45"/>
        <v>1.0532407402934041E-2</v>
      </c>
      <c r="S36" s="8" t="str">
        <f t="shared" si="45"/>
        <v>45  Sc ( ISTD )  [ He ] :  ISTD Recovery Percent value = 294.14 is outside the allowed range [80.00, 120.00]103  Rh ( ISTD )  [ He ] :  ISTD Recovery Percent value = 306.45 is outside the allowed range [80.00, 120.00]</v>
      </c>
      <c r="T36" s="8" t="b">
        <f t="shared" si="45"/>
        <v>0</v>
      </c>
      <c r="U36" s="8" t="str">
        <f t="shared" si="45"/>
        <v>010CALS.d</v>
      </c>
      <c r="V36" s="11">
        <f t="shared" si="45"/>
        <v>45246.490717592591</v>
      </c>
      <c r="W36" s="8" t="str">
        <f t="shared" si="45"/>
        <v>CalStd</v>
      </c>
      <c r="X36" s="8">
        <f t="shared" si="45"/>
        <v>7</v>
      </c>
      <c r="Y36" s="8" t="str">
        <f t="shared" si="45"/>
        <v>100 ppb m16 + Al</v>
      </c>
      <c r="Z36" s="8">
        <f t="shared" si="45"/>
        <v>46356.71</v>
      </c>
      <c r="AA36" s="8">
        <f t="shared" si="45"/>
        <v>1.7</v>
      </c>
      <c r="AB36" s="8">
        <f>'Calibration Std'!J$6</f>
        <v>100</v>
      </c>
    </row>
    <row r="37" spans="1:43" x14ac:dyDescent="0.25">
      <c r="A37" s="23">
        <f>Alex_ITSD_count_data!A37</f>
        <v>5.1493055550963618E-2</v>
      </c>
      <c r="B37" s="8" t="str">
        <f>Alex_ITSD_count_data!B37</f>
        <v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v>
      </c>
      <c r="C37" s="8" t="b">
        <f>Alex_ITSD_count_data!C37</f>
        <v>0</v>
      </c>
      <c r="D37" s="8" t="str">
        <f>Alex_ITSD_count_data!D37</f>
        <v>035SMPL.d</v>
      </c>
      <c r="E37" s="11">
        <f>Alex_ITSD_count_data!E37</f>
        <v>45246.531678240739</v>
      </c>
      <c r="F37" s="8" t="str">
        <f>Alex_ITSD_count_data!F37</f>
        <v>Sample</v>
      </c>
      <c r="G37" s="8">
        <f>Alex_ITSD_count_data!G37</f>
        <v>0</v>
      </c>
      <c r="H37" s="8" t="str">
        <f>Alex_ITSD_count_data!H37</f>
        <v>20-70-T</v>
      </c>
      <c r="I37" s="17">
        <f>Alex_ITSD_count_data!I37</f>
        <v>211030.94</v>
      </c>
      <c r="J37" s="17">
        <f>Alex_ITSD_count_data!J37</f>
        <v>0.3</v>
      </c>
      <c r="K37" s="47">
        <f t="shared" si="18"/>
        <v>205521.56229740588</v>
      </c>
      <c r="L37" s="17">
        <f t="shared" si="20"/>
        <v>465.67799268073458</v>
      </c>
      <c r="M37" s="17">
        <f>[2]Alex_MS_FE_AL_data!H39</f>
        <v>492.096</v>
      </c>
      <c r="N37" s="8">
        <v>5</v>
      </c>
      <c r="O37" s="17">
        <f t="shared" si="46"/>
        <v>2328.3899634036729</v>
      </c>
      <c r="P37" s="17">
        <f t="shared" si="47"/>
        <v>2460.48</v>
      </c>
      <c r="R37" s="23">
        <f t="shared" si="45"/>
        <v>1.1689814811688848E-2</v>
      </c>
      <c r="S37" s="8" t="str">
        <f t="shared" si="45"/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T37" s="8" t="b">
        <f t="shared" si="45"/>
        <v>0</v>
      </c>
      <c r="U37" s="8" t="str">
        <f t="shared" si="45"/>
        <v>011CALS.d</v>
      </c>
      <c r="V37" s="11">
        <f t="shared" si="45"/>
        <v>45246.491875</v>
      </c>
      <c r="W37" s="8" t="str">
        <f t="shared" si="45"/>
        <v>CalStd</v>
      </c>
      <c r="X37" s="8">
        <f t="shared" si="45"/>
        <v>8</v>
      </c>
      <c r="Y37" s="8" t="str">
        <f t="shared" si="45"/>
        <v>500 ppb m16 + Al</v>
      </c>
      <c r="Z37" s="8">
        <f t="shared" si="45"/>
        <v>226433.95</v>
      </c>
      <c r="AA37" s="8">
        <f t="shared" si="45"/>
        <v>1.2</v>
      </c>
      <c r="AB37" s="8">
        <f>'Calibration Std'!K$6</f>
        <v>500</v>
      </c>
    </row>
    <row r="38" spans="1:43" x14ac:dyDescent="0.25">
      <c r="A38" s="23">
        <f>Alex_ITSD_count_data!A38</f>
        <v>5.2627314813435078E-2</v>
      </c>
      <c r="B38" s="8" t="str">
        <f>Alex_ITSD_count_data!B38</f>
        <v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v>
      </c>
      <c r="C38" s="8" t="b">
        <f>Alex_ITSD_count_data!C38</f>
        <v>0</v>
      </c>
      <c r="D38" s="8" t="str">
        <f>Alex_ITSD_count_data!D38</f>
        <v>036SMPL.d</v>
      </c>
      <c r="E38" s="11">
        <f>Alex_ITSD_count_data!E38</f>
        <v>45246.532812500001</v>
      </c>
      <c r="F38" s="8" t="str">
        <f>Alex_ITSD_count_data!F38</f>
        <v>Sample</v>
      </c>
      <c r="G38" s="8">
        <f>Alex_ITSD_count_data!G38</f>
        <v>0</v>
      </c>
      <c r="H38" s="8" t="str">
        <f>Alex_ITSD_count_data!H38</f>
        <v>20-60-T</v>
      </c>
      <c r="I38" s="17">
        <f>Alex_ITSD_count_data!I38</f>
        <v>150605.29999999999</v>
      </c>
      <c r="J38" s="17">
        <f>Alex_ITSD_count_data!J38</f>
        <v>0.3</v>
      </c>
      <c r="K38" s="47">
        <f t="shared" si="18"/>
        <v>144974.56491003087</v>
      </c>
      <c r="L38" s="17">
        <f t="shared" si="20"/>
        <v>323.46870371890645</v>
      </c>
      <c r="M38" s="17">
        <f>[2]Alex_MS_FE_AL_data!H40</f>
        <v>350.12700000000001</v>
      </c>
      <c r="N38" s="8">
        <v>5</v>
      </c>
      <c r="O38" s="17">
        <f t="shared" si="46"/>
        <v>1617.3435185945323</v>
      </c>
      <c r="P38" s="17">
        <f t="shared" si="47"/>
        <v>1750.635</v>
      </c>
      <c r="R38" s="23">
        <f t="shared" si="45"/>
        <v>1.2847222220443655E-2</v>
      </c>
      <c r="S38" s="8" t="str">
        <f t="shared" si="45"/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T38" s="8" t="b">
        <f t="shared" si="45"/>
        <v>0</v>
      </c>
      <c r="U38" s="8" t="str">
        <f t="shared" si="45"/>
        <v>012CALS.d</v>
      </c>
      <c r="V38" s="11">
        <f t="shared" si="45"/>
        <v>45246.493032407408</v>
      </c>
      <c r="W38" s="8" t="str">
        <f t="shared" si="45"/>
        <v>CalStd</v>
      </c>
      <c r="X38" s="8">
        <f t="shared" si="45"/>
        <v>9</v>
      </c>
      <c r="Y38" s="8" t="str">
        <f t="shared" si="45"/>
        <v>1000 ppb m16 + Al</v>
      </c>
      <c r="Z38" s="8">
        <f t="shared" si="45"/>
        <v>442776.91</v>
      </c>
      <c r="AA38" s="8">
        <f t="shared" si="45"/>
        <v>1.8</v>
      </c>
      <c r="AB38" s="8">
        <f>'Calibration Std'!L$6</f>
        <v>1000</v>
      </c>
    </row>
    <row r="39" spans="1:43" x14ac:dyDescent="0.25">
      <c r="A39" s="23">
        <f>Alex_ITSD_count_data!A39</f>
        <v>6.2395833330811001E-2</v>
      </c>
      <c r="B39" s="8" t="str">
        <f>Alex_ITSD_count_data!B39</f>
        <v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v>
      </c>
      <c r="C39" s="8" t="b">
        <f>Alex_ITSD_count_data!C39</f>
        <v>0</v>
      </c>
      <c r="D39" s="8" t="str">
        <f>Alex_ITSD_count_data!D39</f>
        <v>037SMPL.d</v>
      </c>
      <c r="E39" s="11">
        <f>Alex_ITSD_count_data!E39</f>
        <v>45246.542581018519</v>
      </c>
      <c r="F39" s="8" t="str">
        <f>Alex_ITSD_count_data!F39</f>
        <v>Sample</v>
      </c>
      <c r="G39" s="8">
        <f>Alex_ITSD_count_data!G39</f>
        <v>0</v>
      </c>
      <c r="H39" s="8" t="str">
        <f>Alex_ITSD_count_data!H39</f>
        <v>20-90-B</v>
      </c>
      <c r="I39" s="17">
        <f>Alex_ITSD_count_data!I39</f>
        <v>253590.49</v>
      </c>
      <c r="J39" s="17">
        <f>Alex_ITSD_count_data!J39</f>
        <v>1.3</v>
      </c>
      <c r="K39" s="47">
        <f t="shared" si="18"/>
        <v>246914.59537286291</v>
      </c>
      <c r="L39" s="17">
        <f t="shared" si="20"/>
        <v>565.84016463349121</v>
      </c>
      <c r="M39" s="17">
        <f>[2]Alex_MS_FE_AL_data!H41</f>
        <v>592.08900000000006</v>
      </c>
      <c r="N39" s="8">
        <v>5</v>
      </c>
      <c r="O39" s="17">
        <f t="shared" si="46"/>
        <v>2829.2008231674563</v>
      </c>
      <c r="P39" s="17">
        <f t="shared" si="47"/>
        <v>2960.4450000000002</v>
      </c>
      <c r="R39" s="23">
        <f t="shared" ref="R39:AA40" si="48">A82</f>
        <v>0.11520833332906477</v>
      </c>
      <c r="S39" s="8" t="str">
        <f t="shared" si="48"/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T39" s="8" t="b">
        <f t="shared" si="48"/>
        <v>0</v>
      </c>
      <c r="U39" s="8" t="str">
        <f t="shared" si="48"/>
        <v>080SMPL.d</v>
      </c>
      <c r="V39" s="11">
        <f t="shared" si="48"/>
        <v>45246.595393518517</v>
      </c>
      <c r="W39" s="8" t="str">
        <f t="shared" si="48"/>
        <v>CalStd</v>
      </c>
      <c r="X39" s="8">
        <f t="shared" si="48"/>
        <v>10</v>
      </c>
      <c r="Y39" s="8" t="str">
        <f t="shared" si="48"/>
        <v>level 10 m6</v>
      </c>
      <c r="Z39" s="8">
        <f t="shared" si="48"/>
        <v>499922.79</v>
      </c>
      <c r="AA39" s="8">
        <f t="shared" si="48"/>
        <v>1.5</v>
      </c>
      <c r="AB39" s="8">
        <f>'Calibration Std'!M$6</f>
        <v>1000</v>
      </c>
      <c r="AC39" s="24"/>
      <c r="AD39" s="24"/>
    </row>
    <row r="40" spans="1:43" x14ac:dyDescent="0.25">
      <c r="A40" s="23">
        <f>Alex_ITSD_count_data!A40</f>
        <v>6.3530092593282461E-2</v>
      </c>
      <c r="B40" s="8" t="str">
        <f>Alex_ITSD_count_data!B40</f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C40" s="8" t="b">
        <f>Alex_ITSD_count_data!C40</f>
        <v>0</v>
      </c>
      <c r="D40" s="8" t="str">
        <f>Alex_ITSD_count_data!D40</f>
        <v>038SMPL.d</v>
      </c>
      <c r="E40" s="11">
        <f>Alex_ITSD_count_data!E40</f>
        <v>45246.543715277781</v>
      </c>
      <c r="F40" s="8" t="str">
        <f>Alex_ITSD_count_data!F40</f>
        <v>Sample</v>
      </c>
      <c r="G40" s="8">
        <f>Alex_ITSD_count_data!G40</f>
        <v>0</v>
      </c>
      <c r="H40" s="40" t="str">
        <f>Alex_ITSD_count_data!H40</f>
        <v xml:space="preserve">blk </v>
      </c>
      <c r="I40" s="43">
        <f>Alex_ITSD_count_data!I40</f>
        <v>2078.15</v>
      </c>
      <c r="J40" s="43">
        <f>Alex_ITSD_count_data!J40</f>
        <v>5.8</v>
      </c>
      <c r="K40" s="48">
        <f t="shared" si="18"/>
        <v>-4719.1020145120874</v>
      </c>
      <c r="L40" s="43">
        <f t="shared" si="20"/>
        <v>-26.083909923692627</v>
      </c>
      <c r="M40" s="43">
        <f>[2]Alex_MS_FE_AL_data!H42</f>
        <v>1.1639999999999999</v>
      </c>
      <c r="N40" s="8"/>
      <c r="O40" s="17"/>
      <c r="P40" s="17"/>
      <c r="R40" s="23">
        <f t="shared" si="48"/>
        <v>0.11633101851475658</v>
      </c>
      <c r="S40" s="8" t="str">
        <f t="shared" si="48"/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T40" s="8" t="b">
        <f t="shared" si="48"/>
        <v>0</v>
      </c>
      <c r="U40" s="8" t="str">
        <f t="shared" si="48"/>
        <v>081SMPL.d</v>
      </c>
      <c r="V40" s="11">
        <f t="shared" si="48"/>
        <v>45246.596516203703</v>
      </c>
      <c r="W40" s="8" t="str">
        <f t="shared" si="48"/>
        <v>CalStd</v>
      </c>
      <c r="X40" s="8">
        <f t="shared" si="48"/>
        <v>11</v>
      </c>
      <c r="Y40" s="8" t="str">
        <f t="shared" si="48"/>
        <v>level 11 m6</v>
      </c>
      <c r="Z40" s="8">
        <f t="shared" si="48"/>
        <v>4255675.33</v>
      </c>
      <c r="AA40" s="8">
        <f t="shared" si="48"/>
        <v>0.5</v>
      </c>
      <c r="AB40" s="8">
        <f>'Calibration Std'!N$6</f>
        <v>10000</v>
      </c>
      <c r="AC40" s="24"/>
      <c r="AD40" s="24"/>
    </row>
    <row r="41" spans="1:43" x14ac:dyDescent="0.25">
      <c r="A41" s="23">
        <f>Alex_ITSD_count_data!A41</f>
        <v>6.4664351848477963E-2</v>
      </c>
      <c r="B41" s="8" t="str">
        <f>Alex_ITSD_count_data!B41</f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C41" s="8" t="b">
        <f>Alex_ITSD_count_data!C41</f>
        <v>0</v>
      </c>
      <c r="D41" s="8" t="str">
        <f>Alex_ITSD_count_data!D41</f>
        <v>039SMPL.d</v>
      </c>
      <c r="E41" s="11">
        <f>Alex_ITSD_count_data!E41</f>
        <v>45246.544849537036</v>
      </c>
      <c r="F41" s="8" t="str">
        <f>Alex_ITSD_count_data!F41</f>
        <v>Sample</v>
      </c>
      <c r="G41" s="8">
        <f>Alex_ITSD_count_data!G41</f>
        <v>0</v>
      </c>
      <c r="H41" s="8" t="str">
        <f>Alex_ITSD_count_data!H41</f>
        <v>100 ppb check</v>
      </c>
      <c r="I41" s="17">
        <f>Alex_ITSD_count_data!I41</f>
        <v>48426.69</v>
      </c>
      <c r="J41" s="17">
        <f>Alex_ITSD_count_data!J41</f>
        <v>2.6</v>
      </c>
      <c r="K41" s="47">
        <f t="shared" si="18"/>
        <v>41508.080598891378</v>
      </c>
      <c r="L41" s="17">
        <f t="shared" si="20"/>
        <v>82.995496067188853</v>
      </c>
      <c r="M41" s="17">
        <f>[2]Alex_MS_FE_AL_data!H43</f>
        <v>110.06</v>
      </c>
      <c r="N41" s="8"/>
      <c r="O41" s="17"/>
      <c r="P41" s="17"/>
      <c r="R41"/>
      <c r="V41"/>
    </row>
    <row r="42" spans="1:43" x14ac:dyDescent="0.25">
      <c r="A42" s="23">
        <f>Alex_ITSD_count_data!A42</f>
        <v>6.5787037034169771E-2</v>
      </c>
      <c r="B42" s="8" t="str">
        <f>Alex_ITSD_count_data!B42</f>
        <v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v>
      </c>
      <c r="C42" s="8" t="b">
        <f>Alex_ITSD_count_data!C42</f>
        <v>0</v>
      </c>
      <c r="D42" s="8" t="str">
        <f>Alex_ITSD_count_data!D42</f>
        <v>040SMPL.d</v>
      </c>
      <c r="E42" s="11">
        <f>Alex_ITSD_count_data!E42</f>
        <v>45246.545972222222</v>
      </c>
      <c r="F42" s="8" t="str">
        <f>Alex_ITSD_count_data!F42</f>
        <v>Sample</v>
      </c>
      <c r="G42" s="8">
        <f>Alex_ITSD_count_data!G42</f>
        <v>0</v>
      </c>
      <c r="H42" s="8" t="str">
        <f>Alex_ITSD_count_data!H42</f>
        <v>0-50-B</v>
      </c>
      <c r="I42" s="17">
        <f>Alex_ITSD_count_data!I42</f>
        <v>137848.79999999999</v>
      </c>
      <c r="J42" s="17">
        <f>Alex_ITSD_count_data!J42</f>
        <v>0.5</v>
      </c>
      <c r="K42" s="47">
        <f t="shared" si="18"/>
        <v>130810.07155248983</v>
      </c>
      <c r="L42" s="17">
        <f t="shared" si="20"/>
        <v>293.44679919887886</v>
      </c>
      <c r="M42" s="17">
        <f>[2]Alex_MS_FE_AL_data!H44</f>
        <v>320.15499999999997</v>
      </c>
      <c r="N42" s="8">
        <v>5</v>
      </c>
      <c r="O42" s="17">
        <f>IF(L42 &lt; $S$44, "NA", N42*L42)</f>
        <v>1467.2339959943943</v>
      </c>
      <c r="P42" s="17">
        <f>IF(M42 &lt; $S$45, "NA", N42*M42)</f>
        <v>1600.7749999999999</v>
      </c>
      <c r="Q42" s="2" t="s">
        <v>322</v>
      </c>
      <c r="R42" s="3"/>
      <c r="S42" s="50" t="s">
        <v>323</v>
      </c>
      <c r="T42" s="51" t="s">
        <v>324</v>
      </c>
      <c r="V42"/>
    </row>
    <row r="43" spans="1:43" x14ac:dyDescent="0.25">
      <c r="A43" s="23">
        <f>Alex_ITSD_count_data!A43</f>
        <v>6.6979166665987577E-2</v>
      </c>
      <c r="B43" s="8" t="str">
        <f>Alex_ITSD_count_data!B43</f>
        <v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v>
      </c>
      <c r="C43" s="8" t="b">
        <f>Alex_ITSD_count_data!C43</f>
        <v>0</v>
      </c>
      <c r="D43" s="8" t="str">
        <f>Alex_ITSD_count_data!D43</f>
        <v>041SMPL.d</v>
      </c>
      <c r="E43" s="11">
        <f>Alex_ITSD_count_data!E43</f>
        <v>45246.547164351854</v>
      </c>
      <c r="F43" s="8" t="str">
        <f>Alex_ITSD_count_data!F43</f>
        <v>Sample</v>
      </c>
      <c r="G43" s="8">
        <f>Alex_ITSD_count_data!G43</f>
        <v>0</v>
      </c>
      <c r="H43" s="8" t="str">
        <f>Alex_ITSD_count_data!H43</f>
        <v>0-90-B</v>
      </c>
      <c r="I43" s="17">
        <f>Alex_ITSD_count_data!I43</f>
        <v>1046738.79</v>
      </c>
      <c r="J43" s="17">
        <f>Alex_ITSD_count_data!J43</f>
        <v>3</v>
      </c>
      <c r="K43" s="47">
        <f t="shared" si="18"/>
        <v>1039572.5124618044</v>
      </c>
      <c r="L43" s="17">
        <f t="shared" si="20"/>
        <v>2432.4824672103891</v>
      </c>
      <c r="M43" s="17">
        <f>[2]Alex_MS_FE_AL_data!H45</f>
        <v>2455.5790000000002</v>
      </c>
      <c r="N43" s="8">
        <v>5</v>
      </c>
      <c r="O43" s="17">
        <f t="shared" ref="O43:O51" si="49">IF(L43 &lt; $S$44, "NA", N43*L43)</f>
        <v>12162.412336051946</v>
      </c>
      <c r="P43" s="17">
        <f t="shared" ref="P43:P51" si="50">IF(M43 &lt; $S$45, "NA", N43*M43)</f>
        <v>12277.895</v>
      </c>
      <c r="R43" s="59" t="s">
        <v>15</v>
      </c>
      <c r="S43" s="8">
        <f xml:space="preserve"> AVERAGE($Z$15:$Z$24)+3*STDEV($Z$15:$Z$24)</f>
        <v>4662.4509448004128</v>
      </c>
      <c r="T43" s="17">
        <f xml:space="preserve"> AVERAGE($Z$15:$Z$24)+10*STDEV($Z$15:$Z$24)</f>
        <v>11822.582816001377</v>
      </c>
    </row>
    <row r="44" spans="1:43" x14ac:dyDescent="0.25">
      <c r="A44" s="23">
        <f>Alex_ITSD_count_data!A44</f>
        <v>6.8229166667151731E-2</v>
      </c>
      <c r="B44" s="8" t="str">
        <f>Alex_ITSD_count_data!B44</f>
        <v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v>
      </c>
      <c r="C44" s="8" t="b">
        <f>Alex_ITSD_count_data!C44</f>
        <v>0</v>
      </c>
      <c r="D44" s="8" t="str">
        <f>Alex_ITSD_count_data!D44</f>
        <v>042SMPL.d</v>
      </c>
      <c r="E44" s="11">
        <f>Alex_ITSD_count_data!E44</f>
        <v>45246.548414351855</v>
      </c>
      <c r="F44" s="8" t="str">
        <f>Alex_ITSD_count_data!F44</f>
        <v>Sample</v>
      </c>
      <c r="G44" s="8">
        <f>Alex_ITSD_count_data!G44</f>
        <v>0</v>
      </c>
      <c r="H44" s="8" t="str">
        <f>Alex_ITSD_count_data!H44</f>
        <v>20-40-T</v>
      </c>
      <c r="I44" s="17">
        <f>Alex_ITSD_count_data!I44</f>
        <v>161297.22</v>
      </c>
      <c r="J44" s="17">
        <f>Alex_ITSD_count_data!J44</f>
        <v>0.4</v>
      </c>
      <c r="K44" s="47">
        <f t="shared" si="18"/>
        <v>153997.20166780861</v>
      </c>
      <c r="L44" s="17">
        <f t="shared" si="20"/>
        <v>348.63170308203695</v>
      </c>
      <c r="M44" s="17">
        <f>[2]Alex_MS_FE_AL_data!H46</f>
        <v>375.24700000000001</v>
      </c>
      <c r="N44" s="8">
        <v>5</v>
      </c>
      <c r="O44" s="17">
        <f t="shared" si="49"/>
        <v>1743.1585154101847</v>
      </c>
      <c r="P44" s="17">
        <f t="shared" si="50"/>
        <v>1876.2350000000001</v>
      </c>
      <c r="R44" s="59" t="s">
        <v>326</v>
      </c>
      <c r="S44" s="17">
        <f xml:space="preserve"> AVERAGE($L$15,$L$17,$L$28,$L$40,$L$52,$L$64,$L$80,$L$84:$L$86)+3*STDEV($L$15,$L$17,$L$28,$L$40,$L$52,$L$64,$L$80,$L$84:$L$86)</f>
        <v>-20.001862636755376</v>
      </c>
      <c r="T44" s="17">
        <f xml:space="preserve"> AVERAGE($L$15,$L$17,$L$28,$L$40,$L$52,$L$64,$L$80,$L$84:$L$86)+10*STDEV($L$15,$L$17,$L$28,$L$40,$L$52,$L$64,$L$80,$L$84:$L$86)</f>
        <v>-3.1507831566470657</v>
      </c>
    </row>
    <row r="45" spans="1:43" x14ac:dyDescent="0.25">
      <c r="A45" s="23">
        <f>Alex_ITSD_count_data!A45</f>
        <v>6.9363425922347233E-2</v>
      </c>
      <c r="B45" s="8" t="str">
        <f>Alex_ITSD_count_data!B45</f>
        <v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v>
      </c>
      <c r="C45" s="8" t="b">
        <f>Alex_ITSD_count_data!C45</f>
        <v>0</v>
      </c>
      <c r="D45" s="8" t="str">
        <f>Alex_ITSD_count_data!D45</f>
        <v>043SMPL.d</v>
      </c>
      <c r="E45" s="11">
        <f>Alex_ITSD_count_data!E45</f>
        <v>45246.54954861111</v>
      </c>
      <c r="F45" s="8" t="str">
        <f>Alex_ITSD_count_data!F45</f>
        <v>Sample</v>
      </c>
      <c r="G45" s="8">
        <f>Alex_ITSD_count_data!G45</f>
        <v>0</v>
      </c>
      <c r="H45" s="8" t="str">
        <f>Alex_ITSD_count_data!H45</f>
        <v>20-20-T</v>
      </c>
      <c r="I45" s="17">
        <f>Alex_ITSD_count_data!I45</f>
        <v>289197.51</v>
      </c>
      <c r="J45" s="17">
        <f>Alex_ITSD_count_data!J45</f>
        <v>17.600000000000001</v>
      </c>
      <c r="K45" s="47">
        <f t="shared" si="18"/>
        <v>281776.13428121211</v>
      </c>
      <c r="L45" s="17">
        <f t="shared" si="20"/>
        <v>649.63983967623119</v>
      </c>
      <c r="M45" s="17">
        <f>[2]Alex_MS_FE_AL_data!H47</f>
        <v>675.74699999999996</v>
      </c>
      <c r="N45" s="8">
        <v>5</v>
      </c>
      <c r="O45" s="17">
        <f t="shared" si="49"/>
        <v>3248.1991983811558</v>
      </c>
      <c r="P45" s="17">
        <f t="shared" si="50"/>
        <v>3378.7349999999997</v>
      </c>
      <c r="R45" s="59" t="s">
        <v>328</v>
      </c>
      <c r="S45" s="17">
        <f xml:space="preserve"> AVERAGE($M$15,$M$17,$M$28,$M$40,$M$52,$M$64,$M$80,$M$84:$M$86)+3*STDEV($M$15,$M$17,$M$28,$M$40,$M$52,$M$64,$M$80,$M$84:$M$86)</f>
        <v>7.2462458898221502</v>
      </c>
      <c r="T45" s="17">
        <f xml:space="preserve"> AVERAGE($M$15,$M$17,$M$28,$M$40,$M$52,$M$64,$M$80,$M$84:$M$86)+10*STDEV($M$15,$M$17,$M$28,$M$40,$M$52,$M$64,$M$80,$M$84:$M$86)</f>
        <v>18.475986299407168</v>
      </c>
    </row>
    <row r="46" spans="1:43" x14ac:dyDescent="0.25">
      <c r="A46" s="23">
        <f>Alex_ITSD_count_data!A46</f>
        <v>7.0555555554165039E-2</v>
      </c>
      <c r="B46" s="8" t="str">
        <f>Alex_ITSD_count_data!B46</f>
        <v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v>
      </c>
      <c r="C46" s="8" t="b">
        <f>Alex_ITSD_count_data!C46</f>
        <v>0</v>
      </c>
      <c r="D46" s="8" t="str">
        <f>Alex_ITSD_count_data!D46</f>
        <v>044SMPL.d</v>
      </c>
      <c r="E46" s="11">
        <f>Alex_ITSD_count_data!E46</f>
        <v>45246.550740740742</v>
      </c>
      <c r="F46" s="8" t="str">
        <f>Alex_ITSD_count_data!F46</f>
        <v>Sample</v>
      </c>
      <c r="G46" s="8">
        <f>Alex_ITSD_count_data!G46</f>
        <v>0</v>
      </c>
      <c r="H46" s="8" t="str">
        <f>Alex_ITSD_count_data!H46</f>
        <v>20-100-B</v>
      </c>
      <c r="I46" s="17">
        <f>Alex_ITSD_count_data!I46</f>
        <v>386817</v>
      </c>
      <c r="J46" s="17">
        <f>Alex_ITSD_count_data!J46</f>
        <v>0.8</v>
      </c>
      <c r="K46" s="47">
        <f t="shared" si="18"/>
        <v>379268.07519052667</v>
      </c>
      <c r="L46" s="17">
        <f t="shared" si="20"/>
        <v>879.38334362118383</v>
      </c>
      <c r="M46" s="17">
        <f>[2]Alex_MS_FE_AL_data!H48</f>
        <v>905.10299999999995</v>
      </c>
      <c r="N46" s="8">
        <v>5</v>
      </c>
      <c r="O46" s="17">
        <f t="shared" si="49"/>
        <v>4396.9167181059192</v>
      </c>
      <c r="P46" s="17">
        <f t="shared" si="50"/>
        <v>4525.5149999999994</v>
      </c>
    </row>
    <row r="47" spans="1:43" x14ac:dyDescent="0.25">
      <c r="A47" s="23">
        <f>Alex_ITSD_count_data!A47</f>
        <v>7.1689814809360541E-2</v>
      </c>
      <c r="B47" s="8" t="str">
        <f>Alex_ITSD_count_data!B47</f>
        <v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v>
      </c>
      <c r="C47" s="8" t="b">
        <f>Alex_ITSD_count_data!C47</f>
        <v>0</v>
      </c>
      <c r="D47" s="8" t="str">
        <f>Alex_ITSD_count_data!D47</f>
        <v>045SMPL.d</v>
      </c>
      <c r="E47" s="11">
        <f>Alex_ITSD_count_data!E47</f>
        <v>45246.551874999997</v>
      </c>
      <c r="F47" s="8" t="str">
        <f>Alex_ITSD_count_data!F47</f>
        <v>Sample</v>
      </c>
      <c r="G47" s="8">
        <f>Alex_ITSD_count_data!G47</f>
        <v>0</v>
      </c>
      <c r="H47" s="8" t="str">
        <f>Alex_ITSD_count_data!H47</f>
        <v>20-10-B</v>
      </c>
      <c r="I47" s="17">
        <f>Alex_ITSD_count_data!I47</f>
        <v>1376813.71</v>
      </c>
      <c r="J47" s="17">
        <f>Alex_ITSD_count_data!J47</f>
        <v>1</v>
      </c>
      <c r="K47" s="47">
        <f t="shared" si="18"/>
        <v>1369143.4278039301</v>
      </c>
      <c r="L47" s="17">
        <f t="shared" si="20"/>
        <v>3209.3003822102514</v>
      </c>
      <c r="M47" s="17">
        <f>[2]Alex_MS_FE_AL_data!H49</f>
        <v>3231.085</v>
      </c>
      <c r="N47" s="8">
        <v>5</v>
      </c>
      <c r="O47" s="17">
        <f t="shared" si="49"/>
        <v>16046.501911051257</v>
      </c>
      <c r="P47" s="17">
        <f t="shared" si="50"/>
        <v>16155.424999999999</v>
      </c>
    </row>
    <row r="48" spans="1:43" x14ac:dyDescent="0.25">
      <c r="A48" s="23">
        <f>Alex_ITSD_count_data!A48</f>
        <v>7.2789351848769002E-2</v>
      </c>
      <c r="B48" s="8" t="str">
        <f>Alex_ITSD_count_data!B48</f>
        <v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v>
      </c>
      <c r="C48" s="8" t="b">
        <f>Alex_ITSD_count_data!C48</f>
        <v>0</v>
      </c>
      <c r="D48" s="8" t="str">
        <f>Alex_ITSD_count_data!D48</f>
        <v>046SMPL.d</v>
      </c>
      <c r="E48" s="11">
        <f>Alex_ITSD_count_data!E48</f>
        <v>45246.552974537037</v>
      </c>
      <c r="F48" s="8" t="str">
        <f>Alex_ITSD_count_data!F48</f>
        <v>Sample</v>
      </c>
      <c r="G48" s="8">
        <f>Alex_ITSD_count_data!G48</f>
        <v>0</v>
      </c>
      <c r="H48" s="8" t="str">
        <f>Alex_ITSD_count_data!H48</f>
        <v>20-30-T</v>
      </c>
      <c r="I48" s="17">
        <f>Alex_ITSD_count_data!I48</f>
        <v>289432.62</v>
      </c>
      <c r="J48" s="17">
        <f>Alex_ITSD_count_data!J48</f>
        <v>1.2</v>
      </c>
      <c r="K48" s="47">
        <f t="shared" si="18"/>
        <v>281644.69543869706</v>
      </c>
      <c r="L48" s="17">
        <f t="shared" si="20"/>
        <v>650.19316150993984</v>
      </c>
      <c r="M48" s="17">
        <f>[2]Alex_MS_FE_AL_data!H50</f>
        <v>676.29899999999998</v>
      </c>
      <c r="N48" s="8">
        <v>5</v>
      </c>
      <c r="O48" s="17">
        <f t="shared" si="49"/>
        <v>3250.9658075496991</v>
      </c>
      <c r="P48" s="17">
        <f t="shared" si="50"/>
        <v>3381.4949999999999</v>
      </c>
    </row>
    <row r="49" spans="1:28" x14ac:dyDescent="0.25">
      <c r="A49" s="23">
        <f>Alex_ITSD_count_data!A49</f>
        <v>7.3923611111240461E-2</v>
      </c>
      <c r="B49" s="8" t="str">
        <f>Alex_ITSD_count_data!B49</f>
        <v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v>
      </c>
      <c r="C49" s="8" t="b">
        <f>Alex_ITSD_count_data!C49</f>
        <v>0</v>
      </c>
      <c r="D49" s="8" t="str">
        <f>Alex_ITSD_count_data!D49</f>
        <v>047SMPL.d</v>
      </c>
      <c r="E49" s="11">
        <f>Alex_ITSD_count_data!E49</f>
        <v>45246.554108796299</v>
      </c>
      <c r="F49" s="8" t="str">
        <f>Alex_ITSD_count_data!F49</f>
        <v>Sample</v>
      </c>
      <c r="G49" s="8">
        <f>Alex_ITSD_count_data!G49</f>
        <v>0</v>
      </c>
      <c r="H49" s="8" t="str">
        <f>Alex_ITSD_count_data!H49</f>
        <v>10-0-T</v>
      </c>
      <c r="I49" s="17">
        <f>Alex_ITSD_count_data!I49</f>
        <v>457339.98</v>
      </c>
      <c r="J49" s="17">
        <f>Alex_ITSD_count_data!J49</f>
        <v>1.6</v>
      </c>
      <c r="K49" s="47">
        <f t="shared" si="18"/>
        <v>449430.69805132202</v>
      </c>
      <c r="L49" s="17">
        <f t="shared" si="20"/>
        <v>1045.3563120708225</v>
      </c>
      <c r="M49" s="17">
        <f>[2]Alex_MS_FE_AL_data!H51</f>
        <v>1070.7950000000001</v>
      </c>
      <c r="N49" s="8">
        <v>5</v>
      </c>
      <c r="O49" s="17">
        <f t="shared" si="49"/>
        <v>5226.7815603541121</v>
      </c>
      <c r="P49" s="17">
        <f t="shared" si="50"/>
        <v>5353.9750000000004</v>
      </c>
      <c r="Q49" s="2" t="s">
        <v>329</v>
      </c>
      <c r="R49" s="10"/>
      <c r="S49" s="7" t="s">
        <v>256</v>
      </c>
      <c r="T49" s="7" t="s">
        <v>339</v>
      </c>
      <c r="U49" s="7" t="s">
        <v>257</v>
      </c>
      <c r="V49" s="7" t="s">
        <v>260</v>
      </c>
      <c r="W49" s="10" t="s">
        <v>345</v>
      </c>
      <c r="X49" s="7" t="s">
        <v>340</v>
      </c>
      <c r="Y49" s="7" t="s">
        <v>341</v>
      </c>
      <c r="Z49" s="7" t="s">
        <v>261</v>
      </c>
      <c r="AA49" s="7" t="s">
        <v>252</v>
      </c>
      <c r="AB49" s="7" t="s">
        <v>346</v>
      </c>
    </row>
    <row r="50" spans="1:28" x14ac:dyDescent="0.25">
      <c r="A50" s="23">
        <f>Alex_ITSD_count_data!A50</f>
        <v>7.5104166666278616E-2</v>
      </c>
      <c r="B50" s="8" t="str">
        <f>Alex_ITSD_count_data!B50</f>
        <v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v>
      </c>
      <c r="C50" s="8" t="b">
        <f>Alex_ITSD_count_data!C50</f>
        <v>0</v>
      </c>
      <c r="D50" s="8" t="str">
        <f>Alex_ITSD_count_data!D50</f>
        <v>048SMPL.d</v>
      </c>
      <c r="E50" s="11">
        <f>Alex_ITSD_count_data!E50</f>
        <v>45246.555289351854</v>
      </c>
      <c r="F50" s="8" t="str">
        <f>Alex_ITSD_count_data!F50</f>
        <v>Sample</v>
      </c>
      <c r="G50" s="8">
        <f>Alex_ITSD_count_data!G50</f>
        <v>0</v>
      </c>
      <c r="H50" s="8" t="str">
        <f>Alex_ITSD_count_data!H50</f>
        <v>10-10-T</v>
      </c>
      <c r="I50" s="17">
        <f>Alex_ITSD_count_data!I50</f>
        <v>674425.63</v>
      </c>
      <c r="J50" s="17">
        <f>Alex_ITSD_count_data!J50</f>
        <v>0.5</v>
      </c>
      <c r="K50" s="47">
        <f t="shared" si="18"/>
        <v>666390.03730161011</v>
      </c>
      <c r="L50" s="17">
        <f t="shared" si="20"/>
        <v>1556.2585702896226</v>
      </c>
      <c r="M50" s="17">
        <f>[2]Alex_MS_FE_AL_data!H52</f>
        <v>1580.835</v>
      </c>
      <c r="N50" s="8">
        <v>5</v>
      </c>
      <c r="O50" s="17">
        <f t="shared" si="49"/>
        <v>7781.2928514481137</v>
      </c>
      <c r="P50" s="17">
        <f t="shared" si="50"/>
        <v>7904.1750000000002</v>
      </c>
      <c r="R50" s="59" t="s">
        <v>330</v>
      </c>
      <c r="S50" s="17">
        <f>AVERAGE(Z3:Z8)</f>
        <v>51377.505000000005</v>
      </c>
      <c r="T50" s="17">
        <f>MEDIAN(Z3:Z8)</f>
        <v>51548.934999999998</v>
      </c>
      <c r="U50" s="17">
        <f>STDEV(Z3:Z8)</f>
        <v>4379.1226466896296</v>
      </c>
      <c r="V50" s="17">
        <f t="shared" ref="V50:V55" si="51">U50/S50*100</f>
        <v>8.5234241068919729</v>
      </c>
      <c r="W50" s="17">
        <f>VAR(Z3:Z8)</f>
        <v>19176715.154749986</v>
      </c>
      <c r="X50" s="17">
        <f>MAX(Z3:Z8)</f>
        <v>55767.7</v>
      </c>
      <c r="Y50" s="17">
        <f>MIN(Z3:Z8)</f>
        <v>46356.71</v>
      </c>
      <c r="Z50" s="17">
        <f t="shared" ref="Z50:Z55" si="52">X50-Y50</f>
        <v>9410.989999999998</v>
      </c>
      <c r="AA50" s="17">
        <f>COUNT(Z3:Z8)</f>
        <v>6</v>
      </c>
      <c r="AB50" s="17">
        <f t="shared" ref="AB50:AB55" si="53">U50/SQRT(AA50)</f>
        <v>1787.7693342426287</v>
      </c>
    </row>
    <row r="51" spans="1:28" x14ac:dyDescent="0.25">
      <c r="A51" s="23">
        <f>Alex_ITSD_count_data!A51</f>
        <v>7.6238425921474118E-2</v>
      </c>
      <c r="B51" s="8" t="str">
        <f>Alex_ITSD_count_data!B51</f>
        <v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v>
      </c>
      <c r="C51" s="8" t="b">
        <f>Alex_ITSD_count_data!C51</f>
        <v>0</v>
      </c>
      <c r="D51" s="8" t="str">
        <f>Alex_ITSD_count_data!D51</f>
        <v>049SMPL.d</v>
      </c>
      <c r="E51" s="11">
        <f>Alex_ITSD_count_data!E51</f>
        <v>45246.556423611109</v>
      </c>
      <c r="F51" s="8" t="str">
        <f>Alex_ITSD_count_data!F51</f>
        <v>Sample</v>
      </c>
      <c r="G51" s="8">
        <f>Alex_ITSD_count_data!G51</f>
        <v>0</v>
      </c>
      <c r="H51" s="8" t="str">
        <f>Alex_ITSD_count_data!H51</f>
        <v>10-20-T</v>
      </c>
      <c r="I51" s="17">
        <f>Alex_ITSD_count_data!I51</f>
        <v>63459.59</v>
      </c>
      <c r="J51" s="17">
        <f>Alex_ITSD_count_data!J51</f>
        <v>0.8</v>
      </c>
      <c r="K51" s="47">
        <f t="shared" si="18"/>
        <v>55302.639915013577</v>
      </c>
      <c r="L51" s="17">
        <f t="shared" si="20"/>
        <v>118.37481550897324</v>
      </c>
      <c r="M51" s="17">
        <f>[2]Alex_MS_FE_AL_data!H53</f>
        <v>145.37899999999999</v>
      </c>
      <c r="N51" s="8">
        <v>5</v>
      </c>
      <c r="O51" s="17">
        <f t="shared" si="49"/>
        <v>591.87407754486617</v>
      </c>
      <c r="P51" s="17">
        <f t="shared" si="50"/>
        <v>726.89499999999998</v>
      </c>
      <c r="R51" s="59" t="s">
        <v>331</v>
      </c>
      <c r="S51" s="17">
        <f>AVERAGE($L$12,$L$29,$L$41,$L$53,$L$65,$L$81)</f>
        <v>89.940119293486433</v>
      </c>
      <c r="T51" s="17">
        <f>MEDIAN($L$12,$L$29,$L$41,$L$53,$L$65,$L$81)</f>
        <v>90.343572834180861</v>
      </c>
      <c r="U51" s="17">
        <f>STDEV($L$12,$L$29,$L$41,$L$53,$L$65,$L$81)</f>
        <v>10.306087248101457</v>
      </c>
      <c r="V51" s="17">
        <f t="shared" si="51"/>
        <v>11.458832086347739</v>
      </c>
      <c r="W51" s="17">
        <f>VAR($L$12,$L$29,$L$41,$L$53,$L$65,$L$81)</f>
        <v>106.21543436547945</v>
      </c>
      <c r="X51" s="17">
        <f>MAX($L$12,$L$29,$L$41,$L$53,$L$65,$L$81)</f>
        <v>100.27226487529198</v>
      </c>
      <c r="Y51" s="17">
        <f>MIN($L$12,$L$29,$L$41,$L$53,$L$65,$L$81)</f>
        <v>78.123882229665483</v>
      </c>
      <c r="Z51" s="17">
        <f t="shared" si="52"/>
        <v>22.148382645626498</v>
      </c>
      <c r="AA51" s="17">
        <f>COUNT($L$12,$L$29,$L$41,$L$53,$L$65,$L$81)</f>
        <v>6</v>
      </c>
      <c r="AB51" s="17">
        <f t="shared" si="53"/>
        <v>4.2074425004088392</v>
      </c>
    </row>
    <row r="52" spans="1:28" x14ac:dyDescent="0.25">
      <c r="A52" s="23">
        <f>Alex_ITSD_count_data!A52</f>
        <v>8.0856481479713693E-2</v>
      </c>
      <c r="B52" s="8" t="str">
        <f>Alex_ITSD_count_data!B52</f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C52" s="8" t="b">
        <f>Alex_ITSD_count_data!C52</f>
        <v>0</v>
      </c>
      <c r="D52" s="8" t="str">
        <f>Alex_ITSD_count_data!D52</f>
        <v>050SMPL.d</v>
      </c>
      <c r="E52" s="11">
        <f>Alex_ITSD_count_data!E52</f>
        <v>45246.561041666668</v>
      </c>
      <c r="F52" s="8" t="str">
        <f>Alex_ITSD_count_data!F52</f>
        <v>Sample</v>
      </c>
      <c r="G52" s="8">
        <f>Alex_ITSD_count_data!G52</f>
        <v>0</v>
      </c>
      <c r="H52" s="40" t="str">
        <f>Alex_ITSD_count_data!H52</f>
        <v xml:space="preserve">blk </v>
      </c>
      <c r="I52" s="43">
        <f>Alex_ITSD_count_data!I52</f>
        <v>1202.3900000000001</v>
      </c>
      <c r="J52" s="43">
        <f>Alex_ITSD_count_data!J52</f>
        <v>5.4</v>
      </c>
      <c r="K52" s="48">
        <f t="shared" si="18"/>
        <v>-7448.6580181868476</v>
      </c>
      <c r="L52" s="43">
        <f>(I52-$AP$30)*(1/$AO$30)</f>
        <v>-28.144975506137605</v>
      </c>
      <c r="M52" s="43" t="str">
        <f>[2]Alex_MS_FE_AL_data!H54</f>
        <v>&lt;0.000</v>
      </c>
      <c r="N52" s="8"/>
      <c r="O52" s="17"/>
      <c r="P52" s="17"/>
      <c r="R52" s="59" t="s">
        <v>332</v>
      </c>
      <c r="S52" s="17">
        <f>AVERAGE($M$12,$M$29,$M$41,$M$53,$M$65,$M$81)</f>
        <v>116.99250000000001</v>
      </c>
      <c r="T52" s="17">
        <f>MEDIAN($M$12,$M$29,$M$41,$M$53,$M$65,$M$81)</f>
        <v>117.3955</v>
      </c>
      <c r="U52" s="17">
        <f>STDEV($M$12,$M$29,$M$41,$M$53,$M$65,$M$81)</f>
        <v>10.288768726140169</v>
      </c>
      <c r="V52" s="17">
        <f t="shared" si="51"/>
        <v>8.7943831665621026</v>
      </c>
      <c r="W52" s="17">
        <f>VAR($M$12,$M$29,$M$41,$M$53,$M$65,$M$81)</f>
        <v>105.85876190000002</v>
      </c>
      <c r="X52" s="17">
        <f>MAX($M$12,$M$29,$M$41,$M$53,$M$65,$M$81)</f>
        <v>127.307</v>
      </c>
      <c r="Y52" s="17">
        <f>MIN($M$12,$M$29,$M$41,$M$53,$M$65,$M$81)</f>
        <v>105.196</v>
      </c>
      <c r="Z52" s="17">
        <f t="shared" si="52"/>
        <v>22.111000000000004</v>
      </c>
      <c r="AA52" s="17">
        <f>COUNT($M$12,$M$29,$M$41,$M$53,$M$65,$M$81)</f>
        <v>6</v>
      </c>
      <c r="AB52" s="17">
        <f t="shared" si="53"/>
        <v>4.2003722434247823</v>
      </c>
    </row>
    <row r="53" spans="1:28" x14ac:dyDescent="0.25">
      <c r="A53" s="23">
        <f>Alex_ITSD_count_data!A53</f>
        <v>8.2002314811688848E-2</v>
      </c>
      <c r="B53" s="8" t="str">
        <f>Alex_ITSD_count_data!B53</f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C53" s="8" t="b">
        <f>Alex_ITSD_count_data!C53</f>
        <v>0</v>
      </c>
      <c r="D53" s="8" t="str">
        <f>Alex_ITSD_count_data!D53</f>
        <v>051SMPL.d</v>
      </c>
      <c r="E53" s="11">
        <f>Alex_ITSD_count_data!E53</f>
        <v>45246.5621875</v>
      </c>
      <c r="F53" s="8" t="str">
        <f>Alex_ITSD_count_data!F53</f>
        <v>Sample</v>
      </c>
      <c r="G53" s="8">
        <f>Alex_ITSD_count_data!G53</f>
        <v>0</v>
      </c>
      <c r="H53" s="8" t="str">
        <f>Alex_ITSD_count_data!H53</f>
        <v>100 ppb check</v>
      </c>
      <c r="I53" s="17">
        <f>Alex_ITSD_count_data!I53</f>
        <v>54671.18</v>
      </c>
      <c r="J53" s="17">
        <f>Alex_ITSD_count_data!J53</f>
        <v>1.7</v>
      </c>
      <c r="K53" s="47">
        <f t="shared" si="18"/>
        <v>45897.536254243147</v>
      </c>
      <c r="L53" s="17">
        <f t="shared" si="20"/>
        <v>97.691649601172855</v>
      </c>
      <c r="M53" s="17">
        <f>[2]Alex_MS_FE_AL_data!H55</f>
        <v>124.73099999999999</v>
      </c>
      <c r="N53" s="8"/>
      <c r="O53" s="17"/>
      <c r="P53" s="17"/>
      <c r="R53" s="59" t="s">
        <v>333</v>
      </c>
      <c r="S53" s="17">
        <f>AVERAGE(Z15:Z24)</f>
        <v>1593.8229999999999</v>
      </c>
      <c r="T53" s="17">
        <f>MEDIAN(Z15:Z24)</f>
        <v>1312.23</v>
      </c>
      <c r="U53" s="17">
        <f>STDEV(Z15:Z24)</f>
        <v>1022.8759816001376</v>
      </c>
      <c r="V53" s="17">
        <f t="shared" si="51"/>
        <v>64.177514165634307</v>
      </c>
      <c r="W53" s="17">
        <f>VAR(Z15:Z24)</f>
        <v>1046275.273734445</v>
      </c>
      <c r="X53" s="17">
        <f>MAX(Z15:Z24)</f>
        <v>3588.12</v>
      </c>
      <c r="Y53" s="17">
        <f>MIN(Z15:Z24)</f>
        <v>358.67</v>
      </c>
      <c r="Z53" s="17">
        <f t="shared" si="52"/>
        <v>3229.45</v>
      </c>
      <c r="AA53" s="17">
        <f>COUNT(Z15:Z24)</f>
        <v>10</v>
      </c>
      <c r="AB53" s="17">
        <f t="shared" si="53"/>
        <v>323.46178657369171</v>
      </c>
    </row>
    <row r="54" spans="1:28" x14ac:dyDescent="0.25">
      <c r="A54" s="23">
        <f>Alex_ITSD_count_data!A54</f>
        <v>8.3136574074160308E-2</v>
      </c>
      <c r="B54" s="8" t="str">
        <f>Alex_ITSD_count_data!B54</f>
        <v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v>
      </c>
      <c r="C54" s="8" t="b">
        <f>Alex_ITSD_count_data!C54</f>
        <v>0</v>
      </c>
      <c r="D54" s="8" t="str">
        <f>Alex_ITSD_count_data!D54</f>
        <v>052SMPL.d</v>
      </c>
      <c r="E54" s="11">
        <f>Alex_ITSD_count_data!E54</f>
        <v>45246.563321759262</v>
      </c>
      <c r="F54" s="8" t="str">
        <f>Alex_ITSD_count_data!F54</f>
        <v>Sample</v>
      </c>
      <c r="G54" s="8">
        <f>Alex_ITSD_count_data!G54</f>
        <v>0</v>
      </c>
      <c r="H54" s="8" t="str">
        <f>Alex_ITSD_count_data!H54</f>
        <v>10-30-T</v>
      </c>
      <c r="I54" s="17">
        <f>Alex_ITSD_count_data!I54</f>
        <v>223908.57</v>
      </c>
      <c r="J54" s="17">
        <f>Alex_ITSD_count_data!J54</f>
        <v>0.7</v>
      </c>
      <c r="K54" s="47">
        <f t="shared" si="18"/>
        <v>215013.56886686815</v>
      </c>
      <c r="L54" s="17">
        <f t="shared" si="20"/>
        <v>495.98497173488289</v>
      </c>
      <c r="M54" s="17">
        <f>[2]Alex_MS_FE_AL_data!H56</f>
        <v>522.35199999999998</v>
      </c>
      <c r="N54" s="8">
        <v>5</v>
      </c>
      <c r="O54" s="17">
        <f>IF(L54 &lt; $S$44, "NA", N54*L54)</f>
        <v>2479.9248586744143</v>
      </c>
      <c r="P54" s="17">
        <f>IF(M54 &lt; $S$45, "NA", N54*M54)</f>
        <v>2611.7599999999998</v>
      </c>
      <c r="R54" s="59" t="s">
        <v>334</v>
      </c>
      <c r="S54" s="17">
        <f>AVERAGE($L$15,$L$17,$L$28,$L$40,$L$52,$L$64,$L$80,$L$84,$L$85,$L$86)</f>
        <v>-27.223753842516082</v>
      </c>
      <c r="T54" s="17">
        <f>MEDIAN($L$15,$L$17,$L$28,$L$40,$L$52,$L$64,$L$80,$L$84,$L$85,$L$86)</f>
        <v>-27.886471528363153</v>
      </c>
      <c r="U54" s="17">
        <f>STDEV($L$15,$L$17,$L$28,$L$40,$L$52,$L$64,$L$80,$L$84,$L$85,$L$86)</f>
        <v>2.4072970685869017</v>
      </c>
      <c r="V54" s="17">
        <f t="shared" si="51"/>
        <v>-8.8426345702089026</v>
      </c>
      <c r="W54" s="17">
        <f>VAR($L$15,$L$17,$L$28,$L$40,$L$52,$L$64,$L$80,$L$84,$L$85,$L$86)</f>
        <v>5.795079176427091</v>
      </c>
      <c r="X54" s="17">
        <f>MAX($L$15,$L$17,$L$28,$L$40,$L$52,$L$64,$L$80,$L$84,$L$85,$L$86)</f>
        <v>-22.530256870887701</v>
      </c>
      <c r="Y54" s="17">
        <f>MIN($L$15,$L$17,$L$28,$L$40,$L$52,$L$64,$L$80,$L$84,$L$85,$L$86)</f>
        <v>-30.13063625020045</v>
      </c>
      <c r="Z54" s="17">
        <f t="shared" si="52"/>
        <v>7.6003793793127485</v>
      </c>
      <c r="AA54" s="17">
        <f>COUNT($L$15,$L$17,$L$28,$L$40,$L$52,$L$64,$L$80,$L$84,$L$85,$L$86)</f>
        <v>10</v>
      </c>
      <c r="AB54" s="17">
        <f t="shared" si="53"/>
        <v>0.76125417413811858</v>
      </c>
    </row>
    <row r="55" spans="1:28" x14ac:dyDescent="0.25">
      <c r="A55" s="23">
        <f>Alex_ITSD_count_data!A55</f>
        <v>8.427083332935581E-2</v>
      </c>
      <c r="B55" s="8" t="str">
        <f>Alex_ITSD_count_data!B55</f>
        <v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v>
      </c>
      <c r="C55" s="8" t="b">
        <f>Alex_ITSD_count_data!C55</f>
        <v>0</v>
      </c>
      <c r="D55" s="8" t="str">
        <f>Alex_ITSD_count_data!D55</f>
        <v>053SMPL.d</v>
      </c>
      <c r="E55" s="11">
        <f>Alex_ITSD_count_data!E55</f>
        <v>45246.564456018517</v>
      </c>
      <c r="F55" s="8" t="str">
        <f>Alex_ITSD_count_data!F55</f>
        <v>Sample</v>
      </c>
      <c r="G55" s="8">
        <f>Alex_ITSD_count_data!G55</f>
        <v>0</v>
      </c>
      <c r="H55" s="8" t="str">
        <f>Alex_ITSD_count_data!H55</f>
        <v>10-40-T</v>
      </c>
      <c r="I55" s="17">
        <f>Alex_ITSD_count_data!I55</f>
        <v>690354.27</v>
      </c>
      <c r="J55" s="17">
        <f>Alex_ITSD_count_data!J55</f>
        <v>1</v>
      </c>
      <c r="K55" s="47">
        <f t="shared" si="18"/>
        <v>681337.91148027161</v>
      </c>
      <c r="L55" s="17">
        <f t="shared" si="20"/>
        <v>1593.7459774321694</v>
      </c>
      <c r="M55" s="17">
        <f>[2]Alex_MS_FE_AL_data!H57</f>
        <v>1618.259</v>
      </c>
      <c r="N55" s="8">
        <v>5</v>
      </c>
      <c r="O55" s="17">
        <f t="shared" ref="O55:O63" si="54">IF(L55 &lt; $S$44, "NA", N55*L55)</f>
        <v>7968.7298871608473</v>
      </c>
      <c r="P55" s="17">
        <f t="shared" ref="P55:P63" si="55">IF(M55 &lt; $S$45, "NA", N55*M55)</f>
        <v>8091.2950000000001</v>
      </c>
      <c r="R55" s="59" t="s">
        <v>335</v>
      </c>
      <c r="S55" s="17">
        <f>AVERAGE($M$15,$M$17,$M$28,$M$40,$M$52,$M$64,$M$80,$M$84,$M$85,$M$86)</f>
        <v>2.4335</v>
      </c>
      <c r="T55" s="17">
        <f>MEDIAN($M$15,$M$17,$M$28,$M$40,$M$52,$M$64,$M$80,$M$84,$M$85,$M$86)</f>
        <v>1.9289999999999998</v>
      </c>
      <c r="U55" s="17">
        <f>STDEV($M$15,$M$17,$M$28,$M$40,$M$52,$M$64,$M$80,$M$84,$M$85,$M$86)</f>
        <v>1.6042486299407168</v>
      </c>
      <c r="V55" s="17">
        <f t="shared" si="51"/>
        <v>65.923510579030904</v>
      </c>
      <c r="W55" s="17">
        <f>VAR($M$15,$M$17,$M$28,$M$40,$M$52,$M$64,$M$80,$M$84,$M$85,$M$86)</f>
        <v>2.5736136666666667</v>
      </c>
      <c r="X55" s="17">
        <f>MAX($M$15,$M$17,$M$28,$M$40,$M$52,$M$64,$M$80,$M$84,$M$85,$M$86)</f>
        <v>4.7119999999999997</v>
      </c>
      <c r="Y55" s="17">
        <f>MIN($M$15,$M$17,$M$28,$M$40,$M$52,$M$64,$M$80,$M$84,$M$85,$M$86)</f>
        <v>1.1639999999999999</v>
      </c>
      <c r="Z55" s="17">
        <f t="shared" si="52"/>
        <v>3.548</v>
      </c>
      <c r="AA55" s="17">
        <f>COUNT($M$15,$M$17,$M$28,$M$40,$M$52,$M$64,$M$80,$M$84,$M$85,$M$86)</f>
        <v>4</v>
      </c>
      <c r="AB55" s="17">
        <f t="shared" si="53"/>
        <v>0.80212431497035841</v>
      </c>
    </row>
    <row r="56" spans="1:28" x14ac:dyDescent="0.25">
      <c r="A56" s="23">
        <f>Alex_ITSD_count_data!A56</f>
        <v>8.5451388884393964E-2</v>
      </c>
      <c r="B56" s="8" t="str">
        <f>Alex_ITSD_count_data!B56</f>
        <v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v>
      </c>
      <c r="C56" s="8" t="b">
        <f>Alex_ITSD_count_data!C56</f>
        <v>0</v>
      </c>
      <c r="D56" s="8" t="str">
        <f>Alex_ITSD_count_data!D56</f>
        <v>054SMPL.d</v>
      </c>
      <c r="E56" s="11">
        <f>Alex_ITSD_count_data!E56</f>
        <v>45246.565636574072</v>
      </c>
      <c r="F56" s="8" t="str">
        <f>Alex_ITSD_count_data!F56</f>
        <v>Sample</v>
      </c>
      <c r="G56" s="8">
        <f>Alex_ITSD_count_data!G56</f>
        <v>0</v>
      </c>
      <c r="H56" s="8" t="str">
        <f>Alex_ITSD_count_data!H56</f>
        <v>10-50-T</v>
      </c>
      <c r="I56" s="17">
        <f>Alex_ITSD_count_data!I56</f>
        <v>327527.3</v>
      </c>
      <c r="J56" s="17">
        <f>Alex_ITSD_count_data!J56</f>
        <v>1.3</v>
      </c>
      <c r="K56" s="47">
        <f t="shared" si="18"/>
        <v>318384.63073055964</v>
      </c>
      <c r="L56" s="17">
        <f t="shared" si="20"/>
        <v>739.84744330204614</v>
      </c>
      <c r="M56" s="17">
        <f>[2]Alex_MS_FE_AL_data!H58</f>
        <v>765.80200000000002</v>
      </c>
      <c r="N56" s="8">
        <v>5</v>
      </c>
      <c r="O56" s="17">
        <f t="shared" si="54"/>
        <v>3699.2372165102306</v>
      </c>
      <c r="P56" s="17">
        <f t="shared" si="55"/>
        <v>3829.01</v>
      </c>
      <c r="V56"/>
    </row>
    <row r="57" spans="1:28" x14ac:dyDescent="0.25">
      <c r="A57" s="23">
        <f>Alex_ITSD_count_data!A57</f>
        <v>8.6585648146865424E-2</v>
      </c>
      <c r="B57" s="8" t="str">
        <f>Alex_ITSD_count_data!B57</f>
        <v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v>
      </c>
      <c r="C57" s="8" t="b">
        <f>Alex_ITSD_count_data!C57</f>
        <v>0</v>
      </c>
      <c r="D57" s="8" t="str">
        <f>Alex_ITSD_count_data!D57</f>
        <v>055SMPL.d</v>
      </c>
      <c r="E57" s="11">
        <f>Alex_ITSD_count_data!E57</f>
        <v>45246.566770833335</v>
      </c>
      <c r="F57" s="8" t="str">
        <f>Alex_ITSD_count_data!F57</f>
        <v>Sample</v>
      </c>
      <c r="G57" s="8">
        <f>Alex_ITSD_count_data!G57</f>
        <v>0</v>
      </c>
      <c r="H57" s="8" t="str">
        <f>Alex_ITSD_count_data!H57</f>
        <v>10-80-T</v>
      </c>
      <c r="I57" s="17">
        <f>Alex_ITSD_count_data!I57</f>
        <v>289757.2</v>
      </c>
      <c r="J57" s="17">
        <f>Alex_ITSD_count_data!J57</f>
        <v>2.1</v>
      </c>
      <c r="K57" s="47">
        <f t="shared" si="18"/>
        <v>280493.1733431847</v>
      </c>
      <c r="L57" s="17">
        <f t="shared" si="20"/>
        <v>650.95704735394963</v>
      </c>
      <c r="M57" s="17">
        <f>[2]Alex_MS_FE_AL_data!H59</f>
        <v>677.06200000000001</v>
      </c>
      <c r="N57" s="8">
        <v>5</v>
      </c>
      <c r="O57" s="17">
        <f t="shared" si="54"/>
        <v>3254.7852367697483</v>
      </c>
      <c r="P57" s="17">
        <f t="shared" si="55"/>
        <v>3385.31</v>
      </c>
      <c r="R57" s="11"/>
      <c r="S57" s="7" t="s">
        <v>325</v>
      </c>
      <c r="T57" s="7" t="s">
        <v>338</v>
      </c>
      <c r="U57" s="7" t="s">
        <v>336</v>
      </c>
      <c r="V57" s="7" t="s">
        <v>343</v>
      </c>
      <c r="W57" s="7" t="s">
        <v>344</v>
      </c>
      <c r="X57" s="7" t="s">
        <v>347</v>
      </c>
      <c r="Y57" s="7" t="s">
        <v>348</v>
      </c>
    </row>
    <row r="58" spans="1:28" x14ac:dyDescent="0.25">
      <c r="A58" s="23">
        <f>Alex_ITSD_count_data!A58</f>
        <v>8.7719907402060926E-2</v>
      </c>
      <c r="B58" s="8" t="str">
        <f>Alex_ITSD_count_data!B58</f>
        <v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v>
      </c>
      <c r="C58" s="8" t="b">
        <f>Alex_ITSD_count_data!C58</f>
        <v>0</v>
      </c>
      <c r="D58" s="8" t="str">
        <f>Alex_ITSD_count_data!D58</f>
        <v>056SMPL.d</v>
      </c>
      <c r="E58" s="11">
        <f>Alex_ITSD_count_data!E58</f>
        <v>45246.56790509259</v>
      </c>
      <c r="F58" s="8" t="str">
        <f>Alex_ITSD_count_data!F58</f>
        <v>Sample</v>
      </c>
      <c r="G58" s="8">
        <f>Alex_ITSD_count_data!G58</f>
        <v>0</v>
      </c>
      <c r="H58" s="8" t="str">
        <f>Alex_ITSD_count_data!H58</f>
        <v>10-100-T</v>
      </c>
      <c r="I58" s="17">
        <f>Alex_ITSD_count_data!I58</f>
        <v>284383.96000000002</v>
      </c>
      <c r="J58" s="17">
        <f>Alex_ITSD_count_data!J58</f>
        <v>0.6</v>
      </c>
      <c r="K58" s="47">
        <f t="shared" si="18"/>
        <v>274998.57595658815</v>
      </c>
      <c r="L58" s="17">
        <f t="shared" si="20"/>
        <v>638.31134530062832</v>
      </c>
      <c r="M58" s="17">
        <f>[2]Alex_MS_FE_AL_data!H60</f>
        <v>664.43799999999999</v>
      </c>
      <c r="N58" s="8">
        <v>5</v>
      </c>
      <c r="O58" s="17">
        <f t="shared" si="54"/>
        <v>3191.5567265031414</v>
      </c>
      <c r="P58" s="17">
        <f t="shared" si="55"/>
        <v>3322.19</v>
      </c>
      <c r="R58" s="59" t="s">
        <v>337</v>
      </c>
      <c r="S58" s="17">
        <f>L16</f>
        <v>-27.503916706920709</v>
      </c>
      <c r="T58" s="17"/>
      <c r="U58" s="52">
        <v>9600</v>
      </c>
      <c r="V58" s="52">
        <v>500</v>
      </c>
      <c r="W58" s="17">
        <f>U58/(100*100)</f>
        <v>0.96</v>
      </c>
      <c r="X58" s="17">
        <f>T58/W58 *100</f>
        <v>0</v>
      </c>
      <c r="Y58" s="17">
        <f>S58/W58 *100</f>
        <v>-2864.9913236375737</v>
      </c>
    </row>
    <row r="59" spans="1:28" x14ac:dyDescent="0.25">
      <c r="A59" s="23">
        <f>Alex_ITSD_count_data!A59</f>
        <v>8.8854166664532386E-2</v>
      </c>
      <c r="B59" s="8" t="str">
        <f>Alex_ITSD_count_data!B59</f>
        <v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v>
      </c>
      <c r="C59" s="8" t="b">
        <f>Alex_ITSD_count_data!C59</f>
        <v>0</v>
      </c>
      <c r="D59" s="8" t="str">
        <f>Alex_ITSD_count_data!D59</f>
        <v>057SMPL.d</v>
      </c>
      <c r="E59" s="11">
        <f>Alex_ITSD_count_data!E59</f>
        <v>45246.569039351853</v>
      </c>
      <c r="F59" s="8" t="str">
        <f>Alex_ITSD_count_data!F59</f>
        <v>Sample</v>
      </c>
      <c r="G59" s="8">
        <f>Alex_ITSD_count_data!G59</f>
        <v>0</v>
      </c>
      <c r="H59" s="8" t="str">
        <f>Alex_ITSD_count_data!H59</f>
        <v>10-90-T</v>
      </c>
      <c r="I59" s="17">
        <f>Alex_ITSD_count_data!I59</f>
        <v>15976.62</v>
      </c>
      <c r="J59" s="17">
        <f>Alex_ITSD_count_data!J59</f>
        <v>1.8</v>
      </c>
      <c r="K59" s="47">
        <f t="shared" si="18"/>
        <v>6469.878569213115</v>
      </c>
      <c r="L59" s="17">
        <f t="shared" si="20"/>
        <v>6.6255745990579618</v>
      </c>
      <c r="M59" s="17">
        <f>[2]Alex_MS_FE_AL_data!H61</f>
        <v>33.819000000000003</v>
      </c>
      <c r="N59" s="8">
        <v>5</v>
      </c>
      <c r="O59" s="17">
        <f t="shared" si="54"/>
        <v>33.127872995289806</v>
      </c>
      <c r="P59" s="17">
        <f t="shared" si="55"/>
        <v>169.09500000000003</v>
      </c>
      <c r="R59" s="59" t="s">
        <v>342</v>
      </c>
      <c r="S59" s="17">
        <f>S51</f>
        <v>89.940119293486433</v>
      </c>
      <c r="T59" s="17">
        <f>S52</f>
        <v>116.99250000000001</v>
      </c>
      <c r="U59" s="52">
        <v>1000000</v>
      </c>
      <c r="V59" s="52"/>
      <c r="W59" s="17">
        <f>U59/(100*10*10)</f>
        <v>100</v>
      </c>
      <c r="X59" s="17">
        <f>T59/W59 *100</f>
        <v>116.99250000000001</v>
      </c>
      <c r="Y59" s="17">
        <f>S59/W59 *100</f>
        <v>89.940119293486433</v>
      </c>
    </row>
    <row r="60" spans="1:28" x14ac:dyDescent="0.25">
      <c r="A60" s="23">
        <f>Alex_ITSD_count_data!A60</f>
        <v>9.0046296296350192E-2</v>
      </c>
      <c r="B60" s="8" t="str">
        <f>Alex_ITSD_count_data!B60</f>
        <v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v>
      </c>
      <c r="C60" s="8" t="b">
        <f>Alex_ITSD_count_data!C60</f>
        <v>0</v>
      </c>
      <c r="D60" s="8" t="str">
        <f>Alex_ITSD_count_data!D60</f>
        <v>058SMPL.d</v>
      </c>
      <c r="E60" s="11">
        <f>Alex_ITSD_count_data!E60</f>
        <v>45246.570231481484</v>
      </c>
      <c r="F60" s="8" t="str">
        <f>Alex_ITSD_count_data!F60</f>
        <v>Sample</v>
      </c>
      <c r="G60" s="8">
        <f>Alex_ITSD_count_data!G60</f>
        <v>0</v>
      </c>
      <c r="H60" s="8" t="str">
        <f>Alex_ITSD_count_data!H60</f>
        <v>10-60-T</v>
      </c>
      <c r="I60" s="17">
        <f>Alex_ITSD_count_data!I60</f>
        <v>239938.97</v>
      </c>
      <c r="J60" s="17">
        <f>Alex_ITSD_count_data!J60</f>
        <v>0.5</v>
      </c>
      <c r="K60" s="47">
        <f t="shared" si="18"/>
        <v>230304.67947852772</v>
      </c>
      <c r="L60" s="17">
        <f t="shared" si="20"/>
        <v>533.71186690345189</v>
      </c>
      <c r="M60" s="17">
        <f>[2]Alex_MS_FE_AL_data!H62</f>
        <v>560.01499999999999</v>
      </c>
      <c r="N60" s="8">
        <v>5</v>
      </c>
      <c r="O60" s="17">
        <f t="shared" si="54"/>
        <v>2668.5593345172592</v>
      </c>
      <c r="P60" s="17">
        <f t="shared" si="55"/>
        <v>2800.0749999999998</v>
      </c>
    </row>
    <row r="61" spans="1:28" x14ac:dyDescent="0.25">
      <c r="A61" s="23">
        <f>Alex_ITSD_count_data!A61</f>
        <v>9.1180555551545694E-2</v>
      </c>
      <c r="B61" s="8" t="str">
        <f>Alex_ITSD_count_data!B61</f>
        <v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v>
      </c>
      <c r="C61" s="8" t="b">
        <f>Alex_ITSD_count_data!C61</f>
        <v>0</v>
      </c>
      <c r="D61" s="8" t="str">
        <f>Alex_ITSD_count_data!D61</f>
        <v>059SMPL.d</v>
      </c>
      <c r="E61" s="11">
        <f>Alex_ITSD_count_data!E61</f>
        <v>45246.57136574074</v>
      </c>
      <c r="F61" s="8" t="str">
        <f>Alex_ITSD_count_data!F61</f>
        <v>Sample</v>
      </c>
      <c r="G61" s="8">
        <f>Alex_ITSD_count_data!G61</f>
        <v>0</v>
      </c>
      <c r="H61" s="8" t="str">
        <f>Alex_ITSD_count_data!H61</f>
        <v>10-70-T</v>
      </c>
      <c r="I61" s="17">
        <f>Alex_ITSD_count_data!I61</f>
        <v>250918.46</v>
      </c>
      <c r="J61" s="17">
        <f>Alex_ITSD_count_data!J61</f>
        <v>1.8</v>
      </c>
      <c r="K61" s="47">
        <f t="shared" si="18"/>
        <v>241162.81209193115</v>
      </c>
      <c r="L61" s="17">
        <f t="shared" si="20"/>
        <v>559.55165057911506</v>
      </c>
      <c r="M61" s="17">
        <f>[2]Alex_MS_FE_AL_data!H63</f>
        <v>585.81100000000004</v>
      </c>
      <c r="N61" s="8">
        <v>5</v>
      </c>
      <c r="O61" s="17">
        <f t="shared" si="54"/>
        <v>2797.7582528955754</v>
      </c>
      <c r="P61" s="17">
        <f t="shared" si="55"/>
        <v>2929.0550000000003</v>
      </c>
    </row>
    <row r="62" spans="1:28" x14ac:dyDescent="0.25">
      <c r="A62" s="23">
        <f>Alex_ITSD_count_data!A62</f>
        <v>9.2303240737237502E-2</v>
      </c>
      <c r="B62" s="8" t="str">
        <f>Alex_ITSD_count_data!B62</f>
        <v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v>
      </c>
      <c r="C62" s="8" t="b">
        <f>Alex_ITSD_count_data!C62</f>
        <v>0</v>
      </c>
      <c r="D62" s="8" t="str">
        <f>Alex_ITSD_count_data!D62</f>
        <v>060SMPL.d</v>
      </c>
      <c r="E62" s="11">
        <f>Alex_ITSD_count_data!E62</f>
        <v>45246.572488425925</v>
      </c>
      <c r="F62" s="8" t="str">
        <f>Alex_ITSD_count_data!F62</f>
        <v>Sample</v>
      </c>
      <c r="G62" s="8">
        <f>Alex_ITSD_count_data!G62</f>
        <v>0</v>
      </c>
      <c r="H62" s="8" t="str">
        <f>Alex_ITSD_count_data!H62</f>
        <v>10-0-B</v>
      </c>
      <c r="I62" s="17">
        <f>Alex_ITSD_count_data!I62</f>
        <v>165465.04999999999</v>
      </c>
      <c r="J62" s="17">
        <f>Alex_ITSD_count_data!J62</f>
        <v>0.3</v>
      </c>
      <c r="K62" s="47">
        <f t="shared" si="18"/>
        <v>155589.28304552962</v>
      </c>
      <c r="L62" s="17">
        <f t="shared" si="20"/>
        <v>358.44052166987109</v>
      </c>
      <c r="M62" s="17">
        <f>[2]Alex_MS_FE_AL_data!H64</f>
        <v>385.03899999999999</v>
      </c>
      <c r="N62" s="8">
        <v>5</v>
      </c>
      <c r="O62" s="17">
        <f t="shared" si="54"/>
        <v>1792.2026083493554</v>
      </c>
      <c r="P62" s="17">
        <f t="shared" si="55"/>
        <v>1925.1949999999999</v>
      </c>
    </row>
    <row r="63" spans="1:28" x14ac:dyDescent="0.25">
      <c r="A63" s="23">
        <f>Alex_ITSD_count_data!A63</f>
        <v>9.3425925922929309E-2</v>
      </c>
      <c r="B63" s="8" t="str">
        <f>Alex_ITSD_count_data!B63</f>
        <v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v>
      </c>
      <c r="C63" s="8" t="b">
        <f>Alex_ITSD_count_data!C63</f>
        <v>0</v>
      </c>
      <c r="D63" s="8" t="str">
        <f>Alex_ITSD_count_data!D63</f>
        <v>061SMPL.d</v>
      </c>
      <c r="E63" s="11">
        <f>Alex_ITSD_count_data!E63</f>
        <v>45246.573611111111</v>
      </c>
      <c r="F63" s="8" t="str">
        <f>Alex_ITSD_count_data!F63</f>
        <v>Sample</v>
      </c>
      <c r="G63" s="8">
        <f>Alex_ITSD_count_data!G63</f>
        <v>0</v>
      </c>
      <c r="H63" s="8" t="str">
        <f>Alex_ITSD_count_data!H63</f>
        <v>10-20-B</v>
      </c>
      <c r="I63" s="17">
        <f>Alex_ITSD_count_data!I63</f>
        <v>209916.93</v>
      </c>
      <c r="J63" s="17">
        <f>Alex_ITSD_count_data!J63</f>
        <v>1.2</v>
      </c>
      <c r="K63" s="47">
        <f t="shared" si="18"/>
        <v>199921.04399912807</v>
      </c>
      <c r="L63" s="17">
        <f t="shared" si="20"/>
        <v>463.05621540214281</v>
      </c>
      <c r="M63" s="17">
        <f>[2]Alex_MS_FE_AL_data!H65</f>
        <v>489.47800000000001</v>
      </c>
      <c r="N63" s="8">
        <v>5</v>
      </c>
      <c r="O63" s="17">
        <f t="shared" si="54"/>
        <v>2315.2810770107139</v>
      </c>
      <c r="P63" s="17">
        <f t="shared" si="55"/>
        <v>2447.39</v>
      </c>
    </row>
    <row r="64" spans="1:28" x14ac:dyDescent="0.25">
      <c r="A64" s="23">
        <f>Alex_ITSD_count_data!A64</f>
        <v>9.4606481477967463E-2</v>
      </c>
      <c r="B64" s="8" t="str">
        <f>Alex_ITSD_count_data!B64</f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C64" s="8" t="b">
        <f>Alex_ITSD_count_data!C64</f>
        <v>0</v>
      </c>
      <c r="D64" s="8" t="str">
        <f>Alex_ITSD_count_data!D64</f>
        <v>062SMPL.d</v>
      </c>
      <c r="E64" s="11">
        <f>Alex_ITSD_count_data!E64</f>
        <v>45246.574791666666</v>
      </c>
      <c r="F64" s="8" t="str">
        <f>Alex_ITSD_count_data!F64</f>
        <v>Sample</v>
      </c>
      <c r="G64" s="8">
        <f>Alex_ITSD_count_data!G64</f>
        <v>0</v>
      </c>
      <c r="H64" s="40" t="str">
        <f>Alex_ITSD_count_data!H64</f>
        <v xml:space="preserve">blk </v>
      </c>
      <c r="I64" s="43">
        <f>Alex_ITSD_count_data!I64</f>
        <v>2211.17</v>
      </c>
      <c r="J64" s="43">
        <f>Alex_ITSD_count_data!J64</f>
        <v>6.7</v>
      </c>
      <c r="K64" s="48">
        <f t="shared" si="18"/>
        <v>-7911.0267505838492</v>
      </c>
      <c r="L64" s="43">
        <f t="shared" si="20"/>
        <v>-25.770852757600512</v>
      </c>
      <c r="M64" s="43">
        <f>[2]Alex_MS_FE_AL_data!H66</f>
        <v>1.4770000000000001</v>
      </c>
      <c r="N64" s="8"/>
      <c r="O64" s="17"/>
      <c r="P64" s="17"/>
    </row>
    <row r="65" spans="1:16" x14ac:dyDescent="0.25">
      <c r="A65" s="23">
        <f>Alex_ITSD_count_data!A65</f>
        <v>9.5740740740438923E-2</v>
      </c>
      <c r="B65" s="8" t="str">
        <f>Alex_ITSD_count_data!B65</f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C65" s="8" t="b">
        <f>Alex_ITSD_count_data!C65</f>
        <v>0</v>
      </c>
      <c r="D65" s="8" t="str">
        <f>Alex_ITSD_count_data!D65</f>
        <v>063SMPL.d</v>
      </c>
      <c r="E65" s="11">
        <f>Alex_ITSD_count_data!E65</f>
        <v>45246.575925925928</v>
      </c>
      <c r="F65" s="8" t="str">
        <f>Alex_ITSD_count_data!F65</f>
        <v>Sample</v>
      </c>
      <c r="G65" s="8">
        <f>Alex_ITSD_count_data!G65</f>
        <v>0</v>
      </c>
      <c r="H65" s="8" t="str">
        <f>Alex_ITSD_count_data!H65</f>
        <v>100 ppb check</v>
      </c>
      <c r="I65" s="17">
        <f>Alex_ITSD_count_data!I65</f>
        <v>55767.7</v>
      </c>
      <c r="J65" s="17">
        <f>Alex_ITSD_count_data!J65</f>
        <v>4.7</v>
      </c>
      <c r="K65" s="47">
        <f t="shared" si="18"/>
        <v>45524.145862041143</v>
      </c>
      <c r="L65" s="17">
        <f t="shared" si="20"/>
        <v>100.27226487529198</v>
      </c>
      <c r="M65" s="17">
        <f>[2]Alex_MS_FE_AL_data!H67</f>
        <v>127.307</v>
      </c>
      <c r="N65" s="8"/>
      <c r="O65" s="17"/>
      <c r="P65" s="17"/>
    </row>
    <row r="66" spans="1:16" x14ac:dyDescent="0.25">
      <c r="A66" s="23">
        <f>Alex_ITSD_count_data!A66</f>
        <v>9.6874999995634425E-2</v>
      </c>
      <c r="B66" s="8" t="str">
        <f>Alex_ITSD_count_data!B66</f>
        <v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v>
      </c>
      <c r="C66" s="8" t="b">
        <f>Alex_ITSD_count_data!C66</f>
        <v>0</v>
      </c>
      <c r="D66" s="8" t="str">
        <f>Alex_ITSD_count_data!D66</f>
        <v>064SMPL.d</v>
      </c>
      <c r="E66" s="11">
        <f>Alex_ITSD_count_data!E66</f>
        <v>45246.577060185184</v>
      </c>
      <c r="F66" s="8" t="str">
        <f>Alex_ITSD_count_data!F66</f>
        <v>Sample</v>
      </c>
      <c r="G66" s="8">
        <f>Alex_ITSD_count_data!G66</f>
        <v>0</v>
      </c>
      <c r="H66" s="8" t="str">
        <f>Alex_ITSD_count_data!H66</f>
        <v>10-80-B</v>
      </c>
      <c r="I66" s="17">
        <f>Alex_ITSD_count_data!I66</f>
        <v>1114982.54</v>
      </c>
      <c r="J66" s="17">
        <f>Alex_ITSD_count_data!J66</f>
        <v>1.4</v>
      </c>
      <c r="K66" s="47">
        <f t="shared" si="18"/>
        <v>1104617.6284754446</v>
      </c>
      <c r="L66" s="17">
        <f t="shared" si="20"/>
        <v>2593.0913604482394</v>
      </c>
      <c r="M66" s="17">
        <f>[2]Alex_MS_FE_AL_data!H68</f>
        <v>2615.9169999999999</v>
      </c>
      <c r="N66" s="8">
        <v>5</v>
      </c>
      <c r="O66" s="17">
        <f>IF(L66 &lt; $S$44, "NA", N66*L66)</f>
        <v>12965.456802241197</v>
      </c>
      <c r="P66" s="17">
        <f>IF(M66 &lt; $S$45, "NA", N66*M66)</f>
        <v>13079.584999999999</v>
      </c>
    </row>
    <row r="67" spans="1:16" x14ac:dyDescent="0.25">
      <c r="A67" s="23">
        <f>Alex_ITSD_count_data!A67</f>
        <v>9.7997685181326233E-2</v>
      </c>
      <c r="B67" s="8" t="str">
        <f>Alex_ITSD_count_data!B67</f>
        <v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v>
      </c>
      <c r="C67" s="8" t="b">
        <f>Alex_ITSD_count_data!C67</f>
        <v>0</v>
      </c>
      <c r="D67" s="8" t="str">
        <f>Alex_ITSD_count_data!D67</f>
        <v>065SMPL.d</v>
      </c>
      <c r="E67" s="11">
        <f>Alex_ITSD_count_data!E67</f>
        <v>45246.578182870369</v>
      </c>
      <c r="F67" s="8" t="str">
        <f>Alex_ITSD_count_data!F67</f>
        <v>Sample</v>
      </c>
      <c r="G67" s="8">
        <f>Alex_ITSD_count_data!G67</f>
        <v>0</v>
      </c>
      <c r="H67" s="8" t="str">
        <f>Alex_ITSD_count_data!H67</f>
        <v>10-90-B</v>
      </c>
      <c r="I67" s="17">
        <f>Alex_ITSD_count_data!I67</f>
        <v>43674.400000000001</v>
      </c>
      <c r="J67" s="17">
        <f>Alex_ITSD_count_data!J67</f>
        <v>2.8</v>
      </c>
      <c r="K67" s="47">
        <f t="shared" si="18"/>
        <v>33189.369429043072</v>
      </c>
      <c r="L67" s="17">
        <f t="shared" si="20"/>
        <v>71.811174612912055</v>
      </c>
      <c r="M67" s="17">
        <f>[2]Alex_MS_FE_AL_data!H69</f>
        <v>98.894000000000005</v>
      </c>
      <c r="N67" s="8">
        <v>5</v>
      </c>
      <c r="O67" s="17">
        <f t="shared" ref="O67:O75" si="56">IF(L67 &lt; $S$44, "NA", N67*L67)</f>
        <v>359.05587306456027</v>
      </c>
      <c r="P67" s="17">
        <f t="shared" ref="P67:P75" si="57">IF(M67 &lt; $S$45, "NA", N67*M67)</f>
        <v>494.47</v>
      </c>
    </row>
    <row r="68" spans="1:16" x14ac:dyDescent="0.25">
      <c r="A68" s="23">
        <f>Alex_ITSD_count_data!A68</f>
        <v>9.9178240736364387E-2</v>
      </c>
      <c r="B68" s="8" t="str">
        <f>Alex_ITSD_count_data!B68</f>
        <v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v>
      </c>
      <c r="C68" s="8" t="b">
        <f>Alex_ITSD_count_data!C68</f>
        <v>0</v>
      </c>
      <c r="D68" s="8" t="str">
        <f>Alex_ITSD_count_data!D68</f>
        <v>066SMPL.d</v>
      </c>
      <c r="E68" s="11">
        <f>Alex_ITSD_count_data!E68</f>
        <v>45246.579363425924</v>
      </c>
      <c r="F68" s="8" t="str">
        <f>Alex_ITSD_count_data!F68</f>
        <v>Sample</v>
      </c>
      <c r="G68" s="8">
        <f>Alex_ITSD_count_data!G68</f>
        <v>0</v>
      </c>
      <c r="H68" s="8" t="str">
        <f>Alex_ITSD_count_data!H68</f>
        <v>10-10-B</v>
      </c>
      <c r="I68" s="17">
        <f>Alex_ITSD_count_data!I68</f>
        <v>458195.19</v>
      </c>
      <c r="J68" s="17">
        <f>Alex_ITSD_count_data!J68</f>
        <v>1.4</v>
      </c>
      <c r="K68" s="47">
        <f t="shared" si="18"/>
        <v>447583.84867933113</v>
      </c>
      <c r="L68" s="17">
        <f t="shared" si="20"/>
        <v>1047.3690140631065</v>
      </c>
      <c r="M68" s="17">
        <f>[2]Alex_MS_FE_AL_data!H70</f>
        <v>1072.8050000000001</v>
      </c>
      <c r="N68" s="8">
        <v>5</v>
      </c>
      <c r="O68" s="17">
        <f t="shared" si="56"/>
        <v>5236.8450703155322</v>
      </c>
      <c r="P68" s="17">
        <f t="shared" si="57"/>
        <v>5364.0250000000005</v>
      </c>
    </row>
    <row r="69" spans="1:16" x14ac:dyDescent="0.25">
      <c r="A69" s="23">
        <f>Alex_ITSD_count_data!A69</f>
        <v>0.10030092592205619</v>
      </c>
      <c r="B69" s="8" t="str">
        <f>Alex_ITSD_count_data!B69</f>
        <v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v>
      </c>
      <c r="C69" s="8" t="b">
        <f>Alex_ITSD_count_data!C69</f>
        <v>0</v>
      </c>
      <c r="D69" s="8" t="str">
        <f>Alex_ITSD_count_data!D69</f>
        <v>067SMPL.d</v>
      </c>
      <c r="E69" s="11">
        <f>Alex_ITSD_count_data!E69</f>
        <v>45246.58048611111</v>
      </c>
      <c r="F69" s="8" t="str">
        <f>Alex_ITSD_count_data!F69</f>
        <v>Sample</v>
      </c>
      <c r="G69" s="8">
        <f>Alex_ITSD_count_data!G69</f>
        <v>0</v>
      </c>
      <c r="H69" s="8" t="str">
        <f>Alex_ITSD_count_data!H69</f>
        <v>10-50-B</v>
      </c>
      <c r="I69" s="17">
        <f>Alex_ITSD_count_data!I69</f>
        <v>468353.4</v>
      </c>
      <c r="J69" s="17">
        <f>Alex_ITSD_count_data!J69</f>
        <v>1.3</v>
      </c>
      <c r="K69" s="47">
        <f t="shared" si="18"/>
        <v>457621.93963292963</v>
      </c>
      <c r="L69" s="17">
        <f t="shared" si="20"/>
        <v>1071.2759486230871</v>
      </c>
      <c r="M69" s="17">
        <f>[2]Alex_MS_FE_AL_data!H71</f>
        <v>1096.671</v>
      </c>
      <c r="N69" s="8">
        <v>5</v>
      </c>
      <c r="O69" s="17">
        <f t="shared" si="56"/>
        <v>5356.3797431154353</v>
      </c>
      <c r="P69" s="17">
        <f t="shared" si="57"/>
        <v>5483.3550000000005</v>
      </c>
    </row>
    <row r="70" spans="1:16" x14ac:dyDescent="0.25">
      <c r="A70" s="23">
        <f>Alex_ITSD_count_data!A70</f>
        <v>0.10144675925403135</v>
      </c>
      <c r="B70" s="8" t="str">
        <f>Alex_ITSD_count_data!B70</f>
        <v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v>
      </c>
      <c r="C70" s="8" t="b">
        <f>Alex_ITSD_count_data!C70</f>
        <v>0</v>
      </c>
      <c r="D70" s="8" t="str">
        <f>Alex_ITSD_count_data!D70</f>
        <v>068SMPL.d</v>
      </c>
      <c r="E70" s="11">
        <f>Alex_ITSD_count_data!E70</f>
        <v>45246.581631944442</v>
      </c>
      <c r="F70" s="8" t="str">
        <f>Alex_ITSD_count_data!F70</f>
        <v>Sample</v>
      </c>
      <c r="G70" s="8">
        <f>Alex_ITSD_count_data!G70</f>
        <v>0</v>
      </c>
      <c r="H70" s="8" t="str">
        <f>Alex_ITSD_count_data!H70</f>
        <v>10-60-B</v>
      </c>
      <c r="I70" s="17">
        <f>Alex_ITSD_count_data!I70</f>
        <v>1166364.42</v>
      </c>
      <c r="J70" s="17">
        <f>Alex_ITSD_count_data!J70</f>
        <v>0.9</v>
      </c>
      <c r="K70" s="47">
        <f t="shared" si="18"/>
        <v>1155510.3639053595</v>
      </c>
      <c r="L70" s="17">
        <f t="shared" si="20"/>
        <v>2714.0165276508037</v>
      </c>
      <c r="M70" s="17">
        <f>[2]Alex_MS_FE_AL_data!H72</f>
        <v>2736.6379999999999</v>
      </c>
      <c r="N70" s="8">
        <v>5</v>
      </c>
      <c r="O70" s="17">
        <f t="shared" si="56"/>
        <v>13570.082638254018</v>
      </c>
      <c r="P70" s="17">
        <f t="shared" si="57"/>
        <v>13683.189999999999</v>
      </c>
    </row>
    <row r="71" spans="1:16" x14ac:dyDescent="0.25">
      <c r="A71" s="23">
        <f>Alex_ITSD_count_data!A71</f>
        <v>0.10255787037021946</v>
      </c>
      <c r="B71" s="8" t="str">
        <f>Alex_ITSD_count_data!B71</f>
        <v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v>
      </c>
      <c r="C71" s="8" t="b">
        <f>Alex_ITSD_count_data!C71</f>
        <v>0</v>
      </c>
      <c r="D71" s="8" t="str">
        <f>Alex_ITSD_count_data!D71</f>
        <v>069SMPL.d</v>
      </c>
      <c r="E71" s="11">
        <f>Alex_ITSD_count_data!E71</f>
        <v>45246.582743055558</v>
      </c>
      <c r="F71" s="8" t="str">
        <f>Alex_ITSD_count_data!F71</f>
        <v>Sample</v>
      </c>
      <c r="G71" s="8">
        <f>Alex_ITSD_count_data!G71</f>
        <v>0</v>
      </c>
      <c r="H71" s="8" t="str">
        <f>Alex_ITSD_count_data!H71</f>
        <v>10-70-B</v>
      </c>
      <c r="I71" s="17">
        <f>Alex_ITSD_count_data!I71</f>
        <v>265152.28000000003</v>
      </c>
      <c r="J71" s="17">
        <f>Alex_ITSD_count_data!J71</f>
        <v>1.3</v>
      </c>
      <c r="K71" s="47">
        <f t="shared" ref="K71:K86" si="58">I71-($AO$3*A71)</f>
        <v>254179.34319915308</v>
      </c>
      <c r="L71" s="17">
        <f t="shared" si="20"/>
        <v>593.05036770334664</v>
      </c>
      <c r="M71" s="17">
        <f>[2]Alex_MS_FE_AL_data!H73</f>
        <v>619.25300000000004</v>
      </c>
      <c r="N71" s="8">
        <v>5</v>
      </c>
      <c r="O71" s="17">
        <f t="shared" si="56"/>
        <v>2965.2518385167332</v>
      </c>
      <c r="P71" s="17">
        <f t="shared" si="57"/>
        <v>3096.2650000000003</v>
      </c>
    </row>
    <row r="72" spans="1:16" x14ac:dyDescent="0.25">
      <c r="A72" s="23">
        <f>Alex_ITSD_count_data!A72</f>
        <v>0.10373842592525762</v>
      </c>
      <c r="B72" s="8" t="str">
        <f>Alex_ITSD_count_data!B72</f>
        <v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v>
      </c>
      <c r="C72" s="8" t="b">
        <f>Alex_ITSD_count_data!C72</f>
        <v>0</v>
      </c>
      <c r="D72" s="8" t="str">
        <f>Alex_ITSD_count_data!D72</f>
        <v>070SMPL.d</v>
      </c>
      <c r="E72" s="11">
        <f>Alex_ITSD_count_data!E72</f>
        <v>45246.583923611113</v>
      </c>
      <c r="F72" s="8" t="str">
        <f>Alex_ITSD_count_data!F72</f>
        <v>Sample</v>
      </c>
      <c r="G72" s="8">
        <f>Alex_ITSD_count_data!G72</f>
        <v>0</v>
      </c>
      <c r="H72" s="8" t="str">
        <f>Alex_ITSD_count_data!H72</f>
        <v>10-100-B</v>
      </c>
      <c r="I72" s="17">
        <f>Alex_ITSD_count_data!I72</f>
        <v>231816.43</v>
      </c>
      <c r="J72" s="17">
        <f>Alex_ITSD_count_data!J72</f>
        <v>1.3</v>
      </c>
      <c r="K72" s="47">
        <f t="shared" si="58"/>
        <v>220717.18244944111</v>
      </c>
      <c r="L72" s="17">
        <f t="shared" ref="L72:L86" si="59">(I72-$AP$30)*(1/$AO$30)</f>
        <v>514.595798989831</v>
      </c>
      <c r="M72" s="17">
        <f>[2]Alex_MS_FE_AL_data!H74</f>
        <v>540.93100000000004</v>
      </c>
      <c r="N72" s="8">
        <v>5</v>
      </c>
      <c r="O72" s="17">
        <f t="shared" si="56"/>
        <v>2572.9789949491551</v>
      </c>
      <c r="P72" s="17">
        <f t="shared" si="57"/>
        <v>2704.6550000000002</v>
      </c>
    </row>
    <row r="73" spans="1:16" x14ac:dyDescent="0.25">
      <c r="A73" s="23">
        <f>Alex_ITSD_count_data!A73</f>
        <v>0.10488425925723277</v>
      </c>
      <c r="B73" s="8" t="str">
        <f>Alex_ITSD_count_data!B73</f>
        <v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v>
      </c>
      <c r="C73" s="8" t="b">
        <f>Alex_ITSD_count_data!C73</f>
        <v>0</v>
      </c>
      <c r="D73" s="8" t="str">
        <f>Alex_ITSD_count_data!D73</f>
        <v>071SMPL.d</v>
      </c>
      <c r="E73" s="11">
        <f>Alex_ITSD_count_data!E73</f>
        <v>45246.585069444445</v>
      </c>
      <c r="F73" s="8" t="str">
        <f>Alex_ITSD_count_data!F73</f>
        <v>Sample</v>
      </c>
      <c r="G73" s="8">
        <f>Alex_ITSD_count_data!G73</f>
        <v>0</v>
      </c>
      <c r="H73" s="8" t="str">
        <f>Alex_ITSD_count_data!H73</f>
        <v>20-10-T</v>
      </c>
      <c r="I73" s="17">
        <f>Alex_ITSD_count_data!I73</f>
        <v>471872.95</v>
      </c>
      <c r="J73" s="17">
        <f>Alex_ITSD_count_data!J73</f>
        <v>1.1000000000000001</v>
      </c>
      <c r="K73" s="47">
        <f t="shared" si="58"/>
        <v>460651.10672187113</v>
      </c>
      <c r="L73" s="17">
        <f t="shared" si="59"/>
        <v>1079.5590665671518</v>
      </c>
      <c r="M73" s="17">
        <f>[2]Alex_MS_FE_AL_data!H75</f>
        <v>1104.94</v>
      </c>
      <c r="N73" s="8">
        <v>5</v>
      </c>
      <c r="O73" s="17">
        <f t="shared" si="56"/>
        <v>5397.7953328357589</v>
      </c>
      <c r="P73" s="17">
        <f t="shared" si="57"/>
        <v>5524.7000000000007</v>
      </c>
    </row>
    <row r="74" spans="1:16" x14ac:dyDescent="0.25">
      <c r="A74" s="23">
        <f>Alex_ITSD_count_data!A74</f>
        <v>0.10601851851242827</v>
      </c>
      <c r="B74" s="8" t="str">
        <f>Alex_ITSD_count_data!B74</f>
        <v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v>
      </c>
      <c r="C74" s="8" t="b">
        <f>Alex_ITSD_count_data!C74</f>
        <v>0</v>
      </c>
      <c r="D74" s="8" t="str">
        <f>Alex_ITSD_count_data!D74</f>
        <v>072SMPL.d</v>
      </c>
      <c r="E74" s="11">
        <f>Alex_ITSD_count_data!E74</f>
        <v>45246.5862037037</v>
      </c>
      <c r="F74" s="8" t="str">
        <f>Alex_ITSD_count_data!F74</f>
        <v>Sample</v>
      </c>
      <c r="G74" s="8">
        <f>Alex_ITSD_count_data!G74</f>
        <v>0</v>
      </c>
      <c r="H74" s="8" t="str">
        <f>Alex_ITSD_count_data!H74</f>
        <v>20-50-T</v>
      </c>
      <c r="I74" s="17">
        <f>Alex_ITSD_count_data!I74</f>
        <v>264642.5</v>
      </c>
      <c r="J74" s="17">
        <f>Alex_ITSD_count_data!J74</f>
        <v>1.7</v>
      </c>
      <c r="K74" s="47">
        <f t="shared" si="58"/>
        <v>253299.29933527455</v>
      </c>
      <c r="L74" s="17">
        <f t="shared" si="59"/>
        <v>591.85062118304563</v>
      </c>
      <c r="M74" s="17">
        <f>[2]Alex_MS_FE_AL_data!H76</f>
        <v>618.05499999999995</v>
      </c>
      <c r="N74" s="8">
        <v>5</v>
      </c>
      <c r="O74" s="17">
        <f t="shared" si="56"/>
        <v>2959.2531059152279</v>
      </c>
      <c r="P74" s="17">
        <f t="shared" si="57"/>
        <v>3090.2749999999996</v>
      </c>
    </row>
    <row r="75" spans="1:16" x14ac:dyDescent="0.25">
      <c r="A75" s="23">
        <f>Alex_ITSD_count_data!A75</f>
        <v>0.10715277777489973</v>
      </c>
      <c r="B75" s="8" t="str">
        <f>Alex_ITSD_count_data!B75</f>
        <v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v>
      </c>
      <c r="C75" s="8" t="b">
        <f>Alex_ITSD_count_data!C75</f>
        <v>0</v>
      </c>
      <c r="D75" s="8" t="str">
        <f>Alex_ITSD_count_data!D75</f>
        <v>073SMPL.d</v>
      </c>
      <c r="E75" s="11">
        <f>Alex_ITSD_count_data!E75</f>
        <v>45246.587337962963</v>
      </c>
      <c r="F75" s="8" t="str">
        <f>Alex_ITSD_count_data!F75</f>
        <v>Sample</v>
      </c>
      <c r="G75" s="8">
        <f>Alex_ITSD_count_data!G75</f>
        <v>0</v>
      </c>
      <c r="H75" s="8" t="str">
        <f>Alex_ITSD_count_data!H75</f>
        <v>20-70-B</v>
      </c>
      <c r="I75" s="17">
        <f>Alex_ITSD_count_data!I75</f>
        <v>157034.44</v>
      </c>
      <c r="J75" s="17">
        <f>Alex_ITSD_count_data!J75</f>
        <v>1.1000000000000001</v>
      </c>
      <c r="K75" s="47">
        <f t="shared" si="58"/>
        <v>145569.88194789956</v>
      </c>
      <c r="L75" s="17">
        <f t="shared" si="59"/>
        <v>338.59942352652536</v>
      </c>
      <c r="M75" s="17">
        <f>[2]Alex_MS_FE_AL_data!H77</f>
        <v>365.23200000000003</v>
      </c>
      <c r="N75" s="8">
        <v>10</v>
      </c>
      <c r="O75" s="17">
        <f t="shared" si="56"/>
        <v>3385.9942352652533</v>
      </c>
      <c r="P75" s="17">
        <f t="shared" si="57"/>
        <v>3652.32</v>
      </c>
    </row>
    <row r="76" spans="1:16" x14ac:dyDescent="0.25">
      <c r="A76" s="23">
        <f>Alex_ITSD_count_data!A76</f>
        <v>0.10834490740671754</v>
      </c>
      <c r="B76" s="8" t="str">
        <f>Alex_ITSD_count_data!B76</f>
        <v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v>
      </c>
      <c r="C76" s="8" t="b">
        <f>Alex_ITSD_count_data!C76</f>
        <v>0</v>
      </c>
      <c r="D76" s="8" t="str">
        <f>Alex_ITSD_count_data!D76</f>
        <v>074SMPL.d</v>
      </c>
      <c r="E76" s="11">
        <f>Alex_ITSD_count_data!E76</f>
        <v>45246.588530092595</v>
      </c>
      <c r="F76" s="8" t="str">
        <f>Alex_ITSD_count_data!F76</f>
        <v>Sample</v>
      </c>
      <c r="G76" s="8">
        <f>Alex_ITSD_count_data!G76</f>
        <v>0</v>
      </c>
      <c r="H76" s="8" t="str">
        <f>Alex_ITSD_count_data!H76</f>
        <v>20-60-B</v>
      </c>
      <c r="I76" s="17">
        <f>Alex_ITSD_count_data!I76</f>
        <v>109361.55</v>
      </c>
      <c r="J76" s="17">
        <f>Alex_ITSD_count_data!J76</f>
        <v>3</v>
      </c>
      <c r="K76" s="47">
        <f t="shared" si="58"/>
        <v>97769.442857214148</v>
      </c>
      <c r="L76" s="17">
        <f t="shared" si="59"/>
        <v>226.40321361206782</v>
      </c>
      <c r="M76" s="17">
        <f>[2]Alex_MS_FE_AL_data!H78</f>
        <v>253.22499999999999</v>
      </c>
      <c r="N76" s="8">
        <v>10</v>
      </c>
      <c r="O76" s="17">
        <f>IF(L76 &lt; $S$44, "NA", N76*L76)</f>
        <v>2264.0321361206779</v>
      </c>
      <c r="P76" s="17">
        <f>IF(M76 &lt; $S$45, "NA", N76*M76)</f>
        <v>2532.25</v>
      </c>
    </row>
    <row r="77" spans="1:16" x14ac:dyDescent="0.25">
      <c r="A77" s="23">
        <f>Alex_ITSD_count_data!A77</f>
        <v>0.10947916666191304</v>
      </c>
      <c r="B77" s="8" t="str">
        <f>Alex_ITSD_count_data!B77</f>
        <v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v>
      </c>
      <c r="C77" s="8" t="b">
        <f>Alex_ITSD_count_data!C77</f>
        <v>0</v>
      </c>
      <c r="D77" s="8" t="str">
        <f>Alex_ITSD_count_data!D77</f>
        <v>075SMPL.d</v>
      </c>
      <c r="E77" s="11">
        <f>Alex_ITSD_count_data!E77</f>
        <v>45246.58966435185</v>
      </c>
      <c r="F77" s="8" t="str">
        <f>Alex_ITSD_count_data!F77</f>
        <v>Sample</v>
      </c>
      <c r="G77" s="8">
        <f>Alex_ITSD_count_data!G77</f>
        <v>0</v>
      </c>
      <c r="H77" s="8" t="str">
        <f>Alex_ITSD_count_data!H77</f>
        <v>20-80-B</v>
      </c>
      <c r="I77" s="17">
        <f>Alex_ITSD_count_data!I77</f>
        <v>94960.31</v>
      </c>
      <c r="J77" s="17">
        <f>Alex_ITSD_count_data!J77</f>
        <v>1.6</v>
      </c>
      <c r="K77" s="47">
        <f t="shared" si="58"/>
        <v>83246.845470617613</v>
      </c>
      <c r="L77" s="17">
        <f t="shared" si="59"/>
        <v>192.51048031923651</v>
      </c>
      <c r="M77" s="17">
        <f>[2]Alex_MS_FE_AL_data!H79</f>
        <v>219.39</v>
      </c>
      <c r="N77" s="8">
        <v>10</v>
      </c>
      <c r="O77" s="17">
        <f t="shared" ref="O77:O78" si="60">IF(L77 &lt; $S$44, "NA", N77*L77)</f>
        <v>1925.1048031923651</v>
      </c>
      <c r="P77" s="17">
        <f t="shared" ref="P77:P78" si="61">IF(M77 &lt; $S$45, "NA", N77*M77)</f>
        <v>2193.8999999999996</v>
      </c>
    </row>
    <row r="78" spans="1:16" x14ac:dyDescent="0.25">
      <c r="A78" s="23">
        <f>Alex_ITSD_count_data!A78</f>
        <v>0.1106134259243845</v>
      </c>
      <c r="B78" s="8" t="str">
        <f>Alex_ITSD_count_data!B78</f>
        <v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v>
      </c>
      <c r="C78" s="8" t="b">
        <f>Alex_ITSD_count_data!C78</f>
        <v>0</v>
      </c>
      <c r="D78" s="8" t="str">
        <f>Alex_ITSD_count_data!D78</f>
        <v>076SMPL.d</v>
      </c>
      <c r="E78" s="11">
        <f>Alex_ITSD_count_data!E78</f>
        <v>45246.590798611112</v>
      </c>
      <c r="F78" s="8" t="str">
        <f>Alex_ITSD_count_data!F78</f>
        <v>Sample</v>
      </c>
      <c r="G78" s="8">
        <f>Alex_ITSD_count_data!G78</f>
        <v>0</v>
      </c>
      <c r="H78" s="8" t="str">
        <f>Alex_ITSD_count_data!H78</f>
        <v>20-90-T</v>
      </c>
      <c r="I78" s="17">
        <f>Alex_ITSD_count_data!I78</f>
        <v>171069.99</v>
      </c>
      <c r="J78" s="17">
        <f>Alex_ITSD_count_data!J78</f>
        <v>1.3</v>
      </c>
      <c r="K78" s="47">
        <f t="shared" si="58"/>
        <v>159235.16808324261</v>
      </c>
      <c r="L78" s="17">
        <f t="shared" si="59"/>
        <v>371.63152026043144</v>
      </c>
      <c r="M78" s="17">
        <f>[2]Alex_MS_FE_AL_data!H80</f>
        <v>398.20800000000003</v>
      </c>
      <c r="N78" s="8">
        <v>10</v>
      </c>
      <c r="O78" s="17">
        <f t="shared" si="60"/>
        <v>3716.3152026043144</v>
      </c>
      <c r="P78" s="17">
        <f t="shared" si="61"/>
        <v>3982.0800000000004</v>
      </c>
    </row>
    <row r="79" spans="1:16" x14ac:dyDescent="0.25">
      <c r="A79" s="23">
        <f>Alex_ITSD_count_data!A79</f>
        <v>0.11174768517958</v>
      </c>
      <c r="B79" s="8" t="str">
        <f>Alex_ITSD_count_data!B79</f>
        <v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v>
      </c>
      <c r="C79" s="8" t="b">
        <f>Alex_ITSD_count_data!C79</f>
        <v>0</v>
      </c>
      <c r="D79" s="8" t="str">
        <f>Alex_ITSD_count_data!D79</f>
        <v>077SMPL.d</v>
      </c>
      <c r="E79" s="11">
        <f>Alex_ITSD_count_data!E79</f>
        <v>45246.591932870368</v>
      </c>
      <c r="F79" s="8" t="str">
        <f>Alex_ITSD_count_data!F79</f>
        <v>Sample</v>
      </c>
      <c r="G79" s="8">
        <f>Alex_ITSD_count_data!G79</f>
        <v>0</v>
      </c>
      <c r="H79" s="8" t="str">
        <f>Alex_ITSD_count_data!H79</f>
        <v>DI H2O</v>
      </c>
      <c r="I79" s="17">
        <f>Alex_ITSD_count_data!I79</f>
        <v>1426.08</v>
      </c>
      <c r="J79" s="17">
        <f>Alex_ITSD_count_data!J79</f>
        <v>1.2</v>
      </c>
      <c r="K79" s="47">
        <f t="shared" si="58"/>
        <v>-10530.099303353931</v>
      </c>
      <c r="L79" s="17">
        <f t="shared" si="59"/>
        <v>-27.618530178494051</v>
      </c>
      <c r="M79" s="17" t="str">
        <f>[2]Alex_MS_FE_AL_data!H81</f>
        <v>&lt;0.000</v>
      </c>
      <c r="N79" s="8"/>
      <c r="O79" s="17"/>
      <c r="P79" s="17"/>
    </row>
    <row r="80" spans="1:16" x14ac:dyDescent="0.25">
      <c r="A80" s="23">
        <f>Alex_ITSD_count_data!A80</f>
        <v>0.11293981481139781</v>
      </c>
      <c r="B80" s="8" t="str">
        <f>Alex_ITSD_count_data!B80</f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C80" s="8" t="b">
        <f>Alex_ITSD_count_data!C80</f>
        <v>0</v>
      </c>
      <c r="D80" s="8" t="str">
        <f>Alex_ITSD_count_data!D80</f>
        <v>078SMPL.d</v>
      </c>
      <c r="E80" s="11">
        <f>Alex_ITSD_count_data!E80</f>
        <v>45246.593124999999</v>
      </c>
      <c r="F80" s="8" t="str">
        <f>Alex_ITSD_count_data!F80</f>
        <v>Sample</v>
      </c>
      <c r="G80" s="8">
        <f>Alex_ITSD_count_data!G80</f>
        <v>0</v>
      </c>
      <c r="H80" s="40" t="str">
        <f>Alex_ITSD_count_data!H80</f>
        <v>blk</v>
      </c>
      <c r="I80" s="43">
        <f>Alex_ITSD_count_data!I80</f>
        <v>3588.12</v>
      </c>
      <c r="J80" s="43">
        <f>Alex_ITSD_count_data!J80</f>
        <v>1.6</v>
      </c>
      <c r="K80" s="48">
        <f t="shared" si="58"/>
        <v>-8495.6083940393437</v>
      </c>
      <c r="L80" s="43">
        <f t="shared" si="59"/>
        <v>-22.530256870887701</v>
      </c>
      <c r="M80" s="43">
        <f>[2]Alex_MS_FE_AL_data!H82</f>
        <v>4.7119999999999997</v>
      </c>
      <c r="N80" s="8"/>
      <c r="O80" s="17"/>
      <c r="P80" s="17"/>
    </row>
    <row r="81" spans="1:16" x14ac:dyDescent="0.25">
      <c r="A81" s="23">
        <f>Alex_ITSD_count_data!A81</f>
        <v>0.11407407407386927</v>
      </c>
      <c r="B81" s="8" t="str">
        <f>Alex_ITSD_count_data!B81</f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C81" s="8" t="b">
        <f>Alex_ITSD_count_data!C81</f>
        <v>0</v>
      </c>
      <c r="D81" s="8" t="str">
        <f>Alex_ITSD_count_data!D81</f>
        <v>079SMPL.d</v>
      </c>
      <c r="E81" s="11">
        <f>Alex_ITSD_count_data!E81</f>
        <v>45246.594259259262</v>
      </c>
      <c r="F81" s="8" t="str">
        <f>Alex_ITSD_count_data!F81</f>
        <v>Sample</v>
      </c>
      <c r="G81" s="8">
        <f>Alex_ITSD_count_data!G81</f>
        <v>0</v>
      </c>
      <c r="H81" s="8" t="str">
        <f>Alex_ITSD_count_data!H81</f>
        <v>100 ppb check</v>
      </c>
      <c r="I81" s="17">
        <f>Alex_ITSD_count_data!I81</f>
        <v>55509.13</v>
      </c>
      <c r="J81" s="17">
        <f>Alex_ITSD_count_data!J81</f>
        <v>2.7</v>
      </c>
      <c r="K81" s="47">
        <f t="shared" si="58"/>
        <v>43304.044218585645</v>
      </c>
      <c r="L81" s="17">
        <f t="shared" si="59"/>
        <v>99.663730884640671</v>
      </c>
      <c r="M81" s="17">
        <f>[2]Alex_MS_FE_AL_data!H83</f>
        <v>126.7</v>
      </c>
      <c r="N81" s="8"/>
      <c r="O81" s="17"/>
      <c r="P81" s="17"/>
    </row>
    <row r="82" spans="1:16" x14ac:dyDescent="0.25">
      <c r="A82" s="23">
        <f>Alex_ITSD_count_data!A82</f>
        <v>0.11520833332906477</v>
      </c>
      <c r="B82" s="8" t="str">
        <f>Alex_ITSD_count_data!B82</f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C82" s="8" t="b">
        <f>Alex_ITSD_count_data!C82</f>
        <v>0</v>
      </c>
      <c r="D82" s="8" t="str">
        <f>Alex_ITSD_count_data!D82</f>
        <v>080SMPL.d</v>
      </c>
      <c r="E82" s="11">
        <f>Alex_ITSD_count_data!E82</f>
        <v>45246.595393518517</v>
      </c>
      <c r="F82" s="8" t="str">
        <f>Alex_ITSD_count_data!F82</f>
        <v>CalStd</v>
      </c>
      <c r="G82" s="8">
        <f>Alex_ITSD_count_data!G82</f>
        <v>10</v>
      </c>
      <c r="H82" s="8" t="str">
        <f>Alex_ITSD_count_data!H82</f>
        <v>level 10 m6</v>
      </c>
      <c r="I82" s="17">
        <f>Alex_ITSD_count_data!I82</f>
        <v>499922.79</v>
      </c>
      <c r="J82" s="17">
        <f>Alex_ITSD_count_data!J82</f>
        <v>1.5</v>
      </c>
      <c r="K82" s="47">
        <f t="shared" si="58"/>
        <v>487596.34683198907</v>
      </c>
      <c r="L82" s="17">
        <f t="shared" si="59"/>
        <v>1145.5732254886468</v>
      </c>
      <c r="M82" s="17">
        <f>[2]Alex_MS_FE_AL_data!H15</f>
        <v>1170.8430000000001</v>
      </c>
      <c r="N82" s="8"/>
      <c r="O82" s="17"/>
      <c r="P82" s="17"/>
    </row>
    <row r="83" spans="1:16" x14ac:dyDescent="0.25">
      <c r="A83" s="23">
        <f>Alex_ITSD_count_data!A83</f>
        <v>0.11633101851475658</v>
      </c>
      <c r="B83" s="8" t="str">
        <f>Alex_ITSD_count_data!B83</f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C83" s="8" t="b">
        <f>Alex_ITSD_count_data!C83</f>
        <v>0</v>
      </c>
      <c r="D83" s="8" t="str">
        <f>Alex_ITSD_count_data!D83</f>
        <v>081SMPL.d</v>
      </c>
      <c r="E83" s="11">
        <f>Alex_ITSD_count_data!E83</f>
        <v>45246.596516203703</v>
      </c>
      <c r="F83" s="8" t="str">
        <f>Alex_ITSD_count_data!F83</f>
        <v>CalStd</v>
      </c>
      <c r="G83" s="8">
        <f>Alex_ITSD_count_data!G83</f>
        <v>11</v>
      </c>
      <c r="H83" s="8" t="str">
        <f>Alex_ITSD_count_data!H83</f>
        <v>level 11 m6</v>
      </c>
      <c r="I83" s="17">
        <f>Alex_ITSD_count_data!I83</f>
        <v>4255675.33</v>
      </c>
      <c r="J83" s="17">
        <f>Alex_ITSD_count_data!J83</f>
        <v>0.5</v>
      </c>
      <c r="K83" s="47">
        <f t="shared" si="58"/>
        <v>4243228.7677855873</v>
      </c>
      <c r="L83" s="17">
        <f t="shared" si="59"/>
        <v>9984.5842517678848</v>
      </c>
      <c r="M83" s="17">
        <f>[2]Alex_MS_FE_AL_data!H16</f>
        <v>9994.9290000000001</v>
      </c>
      <c r="N83" s="8"/>
      <c r="O83" s="17"/>
      <c r="P83" s="17"/>
    </row>
    <row r="84" spans="1:16" x14ac:dyDescent="0.25">
      <c r="A84" s="23">
        <f>Alex_ITSD_count_data!A84</f>
        <v>0.11753472221607808</v>
      </c>
      <c r="B84" s="8" t="str">
        <f>Alex_ITSD_count_data!B84</f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C84" s="8" t="b">
        <f>Alex_ITSD_count_data!C84</f>
        <v>0</v>
      </c>
      <c r="D84" s="8" t="str">
        <f>Alex_ITSD_count_data!D84</f>
        <v>082SMPL.d</v>
      </c>
      <c r="E84" s="11">
        <f>Alex_ITSD_count_data!E84</f>
        <v>45246.597719907404</v>
      </c>
      <c r="F84" s="8" t="str">
        <f>Alex_ITSD_count_data!F84</f>
        <v>Sample</v>
      </c>
      <c r="G84" s="8">
        <f>Alex_ITSD_count_data!G84</f>
        <v>0</v>
      </c>
      <c r="H84" s="40" t="str">
        <f>Alex_ITSD_count_data!H84</f>
        <v>blk</v>
      </c>
      <c r="I84" s="43">
        <f>Alex_ITSD_count_data!I84</f>
        <v>1385.4</v>
      </c>
      <c r="J84" s="43">
        <f>Alex_ITSD_count_data!J84</f>
        <v>7.8</v>
      </c>
      <c r="K84" s="48">
        <f t="shared" si="58"/>
        <v>-11189.949645292831</v>
      </c>
      <c r="L84" s="43">
        <f>(I84-$AP$30)*(1/$AO$30)</f>
        <v>-27.714268905878111</v>
      </c>
      <c r="M84" s="43" t="str">
        <f>[2]Alex_MS_FE_AL_data!H84</f>
        <v>&lt;0.000</v>
      </c>
      <c r="N84" s="8"/>
      <c r="O84" s="8"/>
      <c r="P84" s="8"/>
    </row>
    <row r="85" spans="1:16" x14ac:dyDescent="0.25">
      <c r="A85" s="23">
        <f>Alex_ITSD_count_data!A85</f>
        <v>0.11868055555532919</v>
      </c>
      <c r="B85" s="8" t="str">
        <f>Alex_ITSD_count_data!B85</f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C85" s="8" t="b">
        <f>Alex_ITSD_count_data!C85</f>
        <v>0</v>
      </c>
      <c r="D85" s="8" t="str">
        <f>Alex_ITSD_count_data!D85</f>
        <v>083SMPL.d</v>
      </c>
      <c r="E85" s="11">
        <f>Alex_ITSD_count_data!E85</f>
        <v>45246.598865740743</v>
      </c>
      <c r="F85" s="8" t="str">
        <f>Alex_ITSD_count_data!F85</f>
        <v>Sample</v>
      </c>
      <c r="G85" s="8">
        <f>Alex_ITSD_count_data!G85</f>
        <v>0</v>
      </c>
      <c r="H85" s="40" t="str">
        <f>Alex_ITSD_count_data!H85</f>
        <v>blk</v>
      </c>
      <c r="I85" s="43">
        <f>Alex_ITSD_count_data!I85</f>
        <v>1239.06</v>
      </c>
      <c r="J85" s="43">
        <f>Alex_ITSD_count_data!J85</f>
        <v>4.5</v>
      </c>
      <c r="K85" s="48">
        <f t="shared" si="58"/>
        <v>-11458.885373641309</v>
      </c>
      <c r="L85" s="43">
        <f t="shared" si="59"/>
        <v>-28.058674150848191</v>
      </c>
      <c r="M85" s="43" t="str">
        <f>[2]Alex_MS_FE_AL_data!H85</f>
        <v>&lt;0.000</v>
      </c>
      <c r="N85" s="8"/>
      <c r="O85" s="8"/>
      <c r="P85" s="8"/>
    </row>
    <row r="86" spans="1:16" x14ac:dyDescent="0.25">
      <c r="A86" s="23">
        <f>Alex_ITSD_count_data!A86</f>
        <v>0.119803240741021</v>
      </c>
      <c r="B86" s="8" t="str">
        <f>Alex_ITSD_count_data!B86</f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C86" s="8" t="b">
        <f>Alex_ITSD_count_data!C86</f>
        <v>0</v>
      </c>
      <c r="D86" s="8" t="str">
        <f>Alex_ITSD_count_data!D86</f>
        <v>084SMPL.d</v>
      </c>
      <c r="E86" s="11">
        <f>Alex_ITSD_count_data!E86</f>
        <v>45246.599988425929</v>
      </c>
      <c r="F86" s="8" t="str">
        <f>Alex_ITSD_count_data!F86</f>
        <v>Sample</v>
      </c>
      <c r="G86" s="8">
        <f>Alex_ITSD_count_data!G86</f>
        <v>0</v>
      </c>
      <c r="H86" s="40" t="str">
        <f>Alex_ITSD_count_data!H86</f>
        <v>blk</v>
      </c>
      <c r="I86" s="43">
        <f>Alex_ITSD_count_data!I86</f>
        <v>914.03</v>
      </c>
      <c r="J86" s="43">
        <f>Alex_ITSD_count_data!J86</f>
        <v>6.7</v>
      </c>
      <c r="K86" s="48">
        <f t="shared" si="58"/>
        <v>-11904.034420042846</v>
      </c>
      <c r="L86" s="43">
        <f t="shared" si="59"/>
        <v>-28.823619051576802</v>
      </c>
      <c r="M86" s="43" t="str">
        <f>[2]Alex_MS_FE_AL_data!H86</f>
        <v>&lt;0.000</v>
      </c>
      <c r="N86" s="8"/>
      <c r="O86" s="8"/>
      <c r="P86" s="8"/>
    </row>
  </sheetData>
  <autoFilter ref="A1:J86" xr:uid="{831C3614-7E82-469C-9EC7-2C530BF5CE48}"/>
  <conditionalFormatting sqref="I1:I86">
    <cfRule type="cellIs" dxfId="35" priority="14" operator="lessThan">
      <formula>$S$43</formula>
    </cfRule>
  </conditionalFormatting>
  <conditionalFormatting sqref="I3:I86">
    <cfRule type="cellIs" dxfId="34" priority="17" operator="lessThan">
      <formula>$T$43</formula>
    </cfRule>
  </conditionalFormatting>
  <conditionalFormatting sqref="L1:L86">
    <cfRule type="cellIs" dxfId="33" priority="15" operator="lessThan">
      <formula>$S$44</formula>
    </cfRule>
    <cfRule type="cellIs" dxfId="32" priority="16" operator="lessThan">
      <formula>$T$44</formula>
    </cfRule>
  </conditionalFormatting>
  <conditionalFormatting sqref="M1:M86">
    <cfRule type="cellIs" dxfId="31" priority="11" operator="equal">
      <formula>$M$28</formula>
    </cfRule>
    <cfRule type="cellIs" dxfId="30" priority="12" operator="lessThan">
      <formula>$S$45</formula>
    </cfRule>
    <cfRule type="cellIs" dxfId="29" priority="13" operator="lessThan">
      <formula>$T$45</formula>
    </cfRule>
  </conditionalFormatting>
  <conditionalFormatting sqref="O1:O2">
    <cfRule type="cellIs" dxfId="28" priority="4" operator="lessThan">
      <formula>$S$44</formula>
    </cfRule>
    <cfRule type="cellIs" dxfId="27" priority="5" operator="lessThan">
      <formula>$T$44</formula>
    </cfRule>
  </conditionalFormatting>
  <conditionalFormatting sqref="P1:P2">
    <cfRule type="cellIs" dxfId="26" priority="1" operator="equal">
      <formula>$M$28</formula>
    </cfRule>
    <cfRule type="cellIs" dxfId="25" priority="2" operator="lessThan">
      <formula>$S$45</formula>
    </cfRule>
    <cfRule type="cellIs" dxfId="24" priority="3" operator="lessThan">
      <formula>$T$45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5131-AB43-46CB-A28F-777D1F1E706F}">
  <dimension ref="A1:BU86"/>
  <sheetViews>
    <sheetView topLeftCell="H16" zoomScale="55" zoomScaleNormal="55" workbookViewId="0">
      <selection activeCell="O66" sqref="O66:P78"/>
    </sheetView>
  </sheetViews>
  <sheetFormatPr defaultRowHeight="15" x14ac:dyDescent="0.25"/>
  <cols>
    <col min="1" max="1" width="9.140625" style="24"/>
    <col min="5" max="5" width="9.140625" style="1"/>
    <col min="8" max="8" width="17.42578125" customWidth="1"/>
    <col min="9" max="9" width="13.42578125" bestFit="1" customWidth="1"/>
    <col min="10" max="10" width="9.28515625" bestFit="1" customWidth="1"/>
    <col min="13" max="16" width="12.140625" customWidth="1"/>
    <col min="17" max="17" width="27.85546875" customWidth="1"/>
    <col min="18" max="18" width="20.85546875" style="1" customWidth="1"/>
    <col min="19" max="19" width="12.140625" customWidth="1"/>
    <col min="20" max="20" width="16.140625" customWidth="1"/>
    <col min="21" max="21" width="12.85546875" customWidth="1"/>
    <col min="22" max="22" width="11.7109375" style="1" customWidth="1"/>
    <col min="23" max="23" width="18.28515625" customWidth="1"/>
    <col min="24" max="24" width="12.42578125" customWidth="1"/>
    <col min="25" max="25" width="13.5703125" customWidth="1"/>
    <col min="26" max="26" width="14.140625" customWidth="1"/>
    <col min="29" max="29" width="13.42578125" bestFit="1" customWidth="1"/>
    <col min="31" max="31" width="13.42578125" bestFit="1" customWidth="1"/>
    <col min="40" max="40" width="13.85546875" customWidth="1"/>
    <col min="41" max="41" width="16.85546875" customWidth="1"/>
    <col min="42" max="42" width="18.28515625" customWidth="1"/>
    <col min="43" max="43" width="27.85546875" customWidth="1"/>
    <col min="45" max="45" width="22.140625" customWidth="1"/>
    <col min="46" max="46" width="14" style="1" customWidth="1"/>
    <col min="50" max="50" width="9.140625" style="1"/>
    <col min="52" max="52" width="15" customWidth="1"/>
    <col min="54" max="54" width="35.85546875" customWidth="1"/>
    <col min="55" max="55" width="13" customWidth="1"/>
    <col min="56" max="56" width="13.28515625" style="20" customWidth="1"/>
    <col min="57" max="57" width="11.7109375" style="20" bestFit="1" customWidth="1"/>
    <col min="58" max="58" width="11.42578125" style="20" bestFit="1" customWidth="1"/>
    <col min="59" max="59" width="12.5703125" style="20" bestFit="1" customWidth="1"/>
    <col min="60" max="60" width="11.7109375" style="20" bestFit="1" customWidth="1"/>
    <col min="61" max="61" width="10.5703125" style="20" bestFit="1" customWidth="1"/>
    <col min="62" max="62" width="9.28515625" style="20" bestFit="1" customWidth="1"/>
    <col min="63" max="63" width="11.5703125" style="20" customWidth="1"/>
    <col min="64" max="66" width="9.28515625" style="20" bestFit="1" customWidth="1"/>
    <col min="67" max="67" width="10" style="20" bestFit="1" customWidth="1"/>
    <col min="68" max="68" width="11.85546875" bestFit="1" customWidth="1"/>
    <col min="69" max="69" width="18.140625" bestFit="1" customWidth="1"/>
    <col min="70" max="70" width="15" bestFit="1" customWidth="1"/>
  </cols>
  <sheetData>
    <row r="1" spans="1:73" x14ac:dyDescent="0.25">
      <c r="A1" s="22"/>
      <c r="B1" s="7" t="str">
        <f>Alex_ITSD_count_data!B1</f>
        <v>Sample</v>
      </c>
      <c r="C1" s="7"/>
      <c r="D1" s="7"/>
      <c r="E1" s="10"/>
      <c r="F1" s="7"/>
      <c r="G1" s="7"/>
      <c r="H1" s="7"/>
      <c r="I1" s="14" t="str">
        <f>Alex_ITSD_count_data!M1</f>
        <v xml:space="preserve">56  Fe  [ He ] </v>
      </c>
      <c r="J1" s="14">
        <f>Alex_ITSD_count_data!N1</f>
        <v>0</v>
      </c>
      <c r="K1" s="60" t="s">
        <v>357</v>
      </c>
      <c r="L1" s="61" t="s">
        <v>358</v>
      </c>
      <c r="M1" s="61" t="s">
        <v>359</v>
      </c>
      <c r="N1" s="7" t="s">
        <v>362</v>
      </c>
      <c r="O1" s="14" t="s">
        <v>370</v>
      </c>
      <c r="P1" s="14" t="s">
        <v>371</v>
      </c>
      <c r="Q1" s="2" t="s">
        <v>275</v>
      </c>
      <c r="R1" s="10"/>
      <c r="S1" s="7" t="str">
        <f>B1</f>
        <v>Sample</v>
      </c>
      <c r="T1" s="7"/>
      <c r="U1" s="7"/>
      <c r="V1" s="10"/>
      <c r="W1" s="7"/>
      <c r="X1" s="7"/>
      <c r="Y1" s="7"/>
      <c r="Z1" s="14" t="str">
        <f>I1</f>
        <v xml:space="preserve">56  Fe  [ He ] </v>
      </c>
      <c r="AA1" s="14"/>
      <c r="AB1" s="36"/>
      <c r="AC1" s="36"/>
      <c r="AD1" s="36"/>
      <c r="AE1" s="36"/>
      <c r="AF1" s="36"/>
      <c r="AG1" s="36"/>
      <c r="AH1" s="36"/>
      <c r="AI1" s="36"/>
      <c r="AJ1" s="36"/>
      <c r="AO1" s="2" t="s">
        <v>288</v>
      </c>
      <c r="AS1" s="2" t="s">
        <v>274</v>
      </c>
      <c r="AT1" s="10"/>
      <c r="AU1" s="7" t="str">
        <f>S1</f>
        <v>Sample</v>
      </c>
      <c r="AV1" s="7"/>
      <c r="AW1" s="7"/>
      <c r="AX1" s="10"/>
      <c r="AY1" s="7"/>
      <c r="AZ1" s="7"/>
      <c r="BA1" s="7"/>
      <c r="BB1" s="14" t="s">
        <v>293</v>
      </c>
      <c r="BC1" s="14"/>
      <c r="BD1" s="36"/>
      <c r="BE1" s="36"/>
      <c r="BF1" s="36"/>
      <c r="BG1" s="36"/>
      <c r="BH1" s="36"/>
      <c r="BI1" s="36"/>
      <c r="BJ1" s="36"/>
      <c r="BK1" s="36"/>
      <c r="BL1" s="36"/>
      <c r="BM1"/>
      <c r="BN1"/>
      <c r="BO1"/>
      <c r="BQ1" s="2" t="s">
        <v>288</v>
      </c>
      <c r="BU1" s="2"/>
    </row>
    <row r="2" spans="1:73" x14ac:dyDescent="0.25">
      <c r="A2" s="22" t="str">
        <f>Alex_ITSD_count_data!A2</f>
        <v>Number</v>
      </c>
      <c r="B2" s="7"/>
      <c r="C2" s="7" t="str">
        <f>Alex_ITSD_count_data!C2</f>
        <v>Rjct</v>
      </c>
      <c r="D2" s="7" t="str">
        <f>Alex_ITSD_count_data!D2</f>
        <v>Data File</v>
      </c>
      <c r="E2" s="10" t="str">
        <f>Alex_ITSD_count_data!E2</f>
        <v>Acq. Date-Time</v>
      </c>
      <c r="F2" s="7" t="str">
        <f>Alex_ITSD_count_data!F2</f>
        <v>Type</v>
      </c>
      <c r="G2" s="7" t="str">
        <f>Alex_ITSD_count_data!G2</f>
        <v>Level</v>
      </c>
      <c r="H2" s="7" t="str">
        <f>Alex_ITSD_count_data!H2</f>
        <v>Sample Name</v>
      </c>
      <c r="I2" s="14" t="str">
        <f>Alex_ITSD_count_data!M2</f>
        <v>CPS</v>
      </c>
      <c r="J2" s="14" t="str">
        <f>Alex_ITSD_count_data!N2</f>
        <v>CPS RSD</v>
      </c>
      <c r="K2" s="60" t="s">
        <v>296</v>
      </c>
      <c r="L2" s="61" t="s">
        <v>326</v>
      </c>
      <c r="M2" s="61" t="s">
        <v>327</v>
      </c>
      <c r="N2" s="28"/>
      <c r="O2" s="61" t="s">
        <v>326</v>
      </c>
      <c r="P2" s="61" t="s">
        <v>327</v>
      </c>
      <c r="R2" s="10" t="str">
        <f>A2</f>
        <v>Number</v>
      </c>
      <c r="S2" s="7"/>
      <c r="T2" s="7" t="str">
        <f t="shared" ref="T2:Y2" si="0">C2</f>
        <v>Rjct</v>
      </c>
      <c r="U2" s="7" t="str">
        <f t="shared" si="0"/>
        <v>Data File</v>
      </c>
      <c r="V2" s="10" t="str">
        <f t="shared" si="0"/>
        <v>Acq. Date-Time</v>
      </c>
      <c r="W2" s="7" t="str">
        <f t="shared" si="0"/>
        <v>Type</v>
      </c>
      <c r="X2" s="7" t="str">
        <f t="shared" si="0"/>
        <v>Level</v>
      </c>
      <c r="Y2" s="7" t="str">
        <f t="shared" si="0"/>
        <v>Sample Name</v>
      </c>
      <c r="Z2" s="14" t="str">
        <f>I2</f>
        <v>CPS</v>
      </c>
      <c r="AA2" s="14" t="str">
        <f>J2</f>
        <v>CPS RSD</v>
      </c>
      <c r="AB2" s="27" t="s">
        <v>256</v>
      </c>
      <c r="AC2" s="27" t="s">
        <v>264</v>
      </c>
      <c r="AD2" s="27" t="s">
        <v>265</v>
      </c>
      <c r="AE2" s="27" t="s">
        <v>266</v>
      </c>
      <c r="AF2" s="27" t="s">
        <v>267</v>
      </c>
      <c r="AG2" s="28" t="s">
        <v>257</v>
      </c>
      <c r="AH2" s="28" t="s">
        <v>260</v>
      </c>
      <c r="AI2" s="28" t="s">
        <v>261</v>
      </c>
      <c r="AJ2" s="28" t="s">
        <v>287</v>
      </c>
      <c r="AO2" s="7" t="s">
        <v>272</v>
      </c>
      <c r="AP2" s="7" t="s">
        <v>273</v>
      </c>
      <c r="AT2" s="10" t="str">
        <f t="shared" ref="AT2:AT8" si="1">R2</f>
        <v>Number</v>
      </c>
      <c r="AU2" s="7"/>
      <c r="AV2" s="7" t="str">
        <f t="shared" ref="AV2:BK2" si="2">T2</f>
        <v>Rjct</v>
      </c>
      <c r="AW2" s="7" t="str">
        <f t="shared" si="2"/>
        <v>Data File</v>
      </c>
      <c r="AX2" s="10" t="str">
        <f t="shared" si="2"/>
        <v>Acq. Date-Time</v>
      </c>
      <c r="AY2" s="7" t="str">
        <f t="shared" si="2"/>
        <v>Type</v>
      </c>
      <c r="AZ2" s="7" t="str">
        <f t="shared" si="2"/>
        <v>Level</v>
      </c>
      <c r="BA2" s="7" t="str">
        <f t="shared" si="2"/>
        <v>Sample Name</v>
      </c>
      <c r="BB2" s="14" t="str">
        <f t="shared" si="2"/>
        <v>CPS</v>
      </c>
      <c r="BC2" s="14" t="str">
        <f t="shared" si="2"/>
        <v>CPS RSD</v>
      </c>
      <c r="BD2" s="27" t="str">
        <f t="shared" si="2"/>
        <v>Mean</v>
      </c>
      <c r="BE2" s="27" t="str">
        <f t="shared" si="2"/>
        <v>120% Mean</v>
      </c>
      <c r="BF2" s="27" t="str">
        <f t="shared" si="2"/>
        <v>80% Mean</v>
      </c>
      <c r="BG2" s="27" t="str">
        <f t="shared" si="2"/>
        <v>110% Mean</v>
      </c>
      <c r="BH2" s="27" t="str">
        <f t="shared" si="2"/>
        <v>90% Mean</v>
      </c>
      <c r="BI2" s="28" t="str">
        <f t="shared" si="2"/>
        <v>Stdev</v>
      </c>
      <c r="BJ2" s="28" t="str">
        <f t="shared" si="2"/>
        <v>RelStdev</v>
      </c>
      <c r="BK2" s="28" t="str">
        <f t="shared" si="2"/>
        <v>Range</v>
      </c>
      <c r="BL2" s="28" t="s">
        <v>287</v>
      </c>
      <c r="BM2"/>
      <c r="BN2"/>
      <c r="BO2"/>
      <c r="BQ2" s="7" t="s">
        <v>272</v>
      </c>
      <c r="BR2" s="7" t="s">
        <v>273</v>
      </c>
      <c r="BU2" s="2"/>
    </row>
    <row r="3" spans="1:73" x14ac:dyDescent="0.25">
      <c r="A3" s="23">
        <f>Alex_ITSD_count_data!A3</f>
        <v>0</v>
      </c>
      <c r="B3" s="8"/>
      <c r="C3" s="8" t="b">
        <f>Alex_ITSD_count_data!C3</f>
        <v>0</v>
      </c>
      <c r="D3" s="8" t="str">
        <f>Alex_ITSD_count_data!D3</f>
        <v>001SMPL.d</v>
      </c>
      <c r="E3" s="11">
        <f>Alex_ITSD_count_data!E3</f>
        <v>45246.480185185188</v>
      </c>
      <c r="F3" s="8" t="str">
        <f>Alex_ITSD_count_data!F3</f>
        <v>Sample</v>
      </c>
      <c r="G3" s="8">
        <f>Alex_ITSD_count_data!G3</f>
        <v>0</v>
      </c>
      <c r="H3" s="8" t="str">
        <f>Alex_ITSD_count_data!H3</f>
        <v>blk</v>
      </c>
      <c r="I3" s="17">
        <f>Alex_ITSD_count_data!M3</f>
        <v>17354.310000000001</v>
      </c>
      <c r="J3" s="17">
        <f>Alex_ITSD_count_data!N3</f>
        <v>1</v>
      </c>
      <c r="K3" s="46"/>
      <c r="L3" s="17"/>
      <c r="M3" s="17"/>
      <c r="N3" s="8"/>
      <c r="O3" s="8"/>
      <c r="P3" s="8"/>
      <c r="R3" s="23">
        <f t="shared" ref="R3:AA3" si="3">A12</f>
        <v>1.0532407402934041E-2</v>
      </c>
      <c r="S3" s="8" t="str">
        <f t="shared" si="3"/>
        <v>45  Sc ( ISTD )  [ He ] :  ISTD Recovery Percent value = 294.14 is outside the allowed range [80.00, 120.00]103  Rh ( ISTD )  [ He ] :  ISTD Recovery Percent value = 306.45 is outside the allowed range [80.00, 120.00]</v>
      </c>
      <c r="T3" s="8" t="b">
        <f t="shared" si="3"/>
        <v>0</v>
      </c>
      <c r="U3" s="8" t="str">
        <f t="shared" si="3"/>
        <v>010CALS.d</v>
      </c>
      <c r="V3" s="11">
        <f t="shared" si="3"/>
        <v>45246.490717592591</v>
      </c>
      <c r="W3" s="8" t="str">
        <f t="shared" si="3"/>
        <v>CalStd</v>
      </c>
      <c r="X3" s="8">
        <f t="shared" si="3"/>
        <v>7</v>
      </c>
      <c r="Y3" s="8" t="str">
        <f t="shared" si="3"/>
        <v>100 ppb m16 + Al</v>
      </c>
      <c r="Z3" s="17">
        <f t="shared" si="3"/>
        <v>1535866.96</v>
      </c>
      <c r="AA3" s="8">
        <f t="shared" si="3"/>
        <v>1.4</v>
      </c>
      <c r="AB3" s="8">
        <f>AVERAGE(Z3:Z8)</f>
        <v>1665822.1233333333</v>
      </c>
      <c r="AC3" s="8">
        <f>1.2*AB3</f>
        <v>1998986.548</v>
      </c>
      <c r="AD3" s="8">
        <f>0.8*AB3</f>
        <v>1332657.6986666666</v>
      </c>
      <c r="AE3" s="8">
        <f>1.1*AB3</f>
        <v>1832404.3356666667</v>
      </c>
      <c r="AF3" s="8">
        <f>0.9*AB3</f>
        <v>1499239.9110000001</v>
      </c>
      <c r="AG3" s="8">
        <f>STDEV(Z3:Z8)</f>
        <v>94831.39882742503</v>
      </c>
      <c r="AH3" s="8">
        <f>AG3/AB3 * 100</f>
        <v>5.6927686035088829</v>
      </c>
      <c r="AI3" s="8">
        <f>MAX(Z3:Z8)-MIN(Z3:Z8)</f>
        <v>251730.05000000005</v>
      </c>
      <c r="AJ3" s="8">
        <f>AG3/SQRT(COUNT(Z3:Z8))</f>
        <v>38714.756453593058</v>
      </c>
      <c r="AN3" t="s">
        <v>280</v>
      </c>
      <c r="AO3" s="17" cm="1">
        <f t="array" ref="AO3:AP7">LINEST(Z3:Z8,V3:V8, TRUE, TRUE)</f>
        <v>2393875.627797327</v>
      </c>
      <c r="AP3" s="17">
        <v>-108312943687.41661</v>
      </c>
      <c r="AQ3" s="20" t="s">
        <v>281</v>
      </c>
      <c r="AT3" s="23">
        <f t="shared" si="1"/>
        <v>1.0532407402934041E-2</v>
      </c>
      <c r="AU3" s="8" t="str">
        <f t="shared" ref="AU3:BA8" si="4">S3</f>
        <v>45  Sc ( ISTD )  [ He ] :  ISTD Recovery Percent value = 294.14 is outside the allowed range [80.00, 120.00]103  Rh ( ISTD )  [ He ] :  ISTD Recovery Percent value = 306.45 is outside the allowed range [80.00, 120.00]</v>
      </c>
      <c r="AV3" s="8" t="b">
        <f t="shared" si="4"/>
        <v>0</v>
      </c>
      <c r="AW3" s="8" t="str">
        <f t="shared" si="4"/>
        <v>010CALS.d</v>
      </c>
      <c r="AX3" s="11">
        <f t="shared" si="4"/>
        <v>45246.490717592591</v>
      </c>
      <c r="AY3" s="8" t="str">
        <f t="shared" si="4"/>
        <v>CalStd</v>
      </c>
      <c r="AZ3" s="8">
        <f t="shared" si="4"/>
        <v>7</v>
      </c>
      <c r="BA3" s="8" t="str">
        <f t="shared" si="4"/>
        <v>100 ppb m16 + Al</v>
      </c>
      <c r="BB3" s="8">
        <f t="shared" ref="BB3:BB8" si="5">Z3-($AO$3*AT3)</f>
        <v>1510653.6866160841</v>
      </c>
      <c r="BC3" s="8"/>
      <c r="BD3" s="8">
        <f>AVERAGE(BB3:BB8)</f>
        <v>1502471.5128886506</v>
      </c>
      <c r="BE3" s="8">
        <f>1.2*BD3</f>
        <v>1802965.8154663807</v>
      </c>
      <c r="BF3" s="8">
        <f>0.8*BD3</f>
        <v>1201977.2103109206</v>
      </c>
      <c r="BG3" s="8">
        <f>1.1*BD3</f>
        <v>1652718.6641775158</v>
      </c>
      <c r="BH3" s="8">
        <f>0.9*BD3</f>
        <v>1352224.3615997855</v>
      </c>
      <c r="BI3" s="8">
        <f>STDEV(BB3:BB8)</f>
        <v>30084.533194287498</v>
      </c>
      <c r="BJ3" s="8">
        <f>BI3/BD3 * 100</f>
        <v>2.0023363462277564</v>
      </c>
      <c r="BK3" s="8">
        <f>MAX(BB3:BB8)-MIN(BB3:BB8)</f>
        <v>80819.230031583225</v>
      </c>
      <c r="BL3" s="8">
        <f>BI3/SQRT(COUNT(BB3:BB8))</f>
        <v>12281.959245971213</v>
      </c>
      <c r="BM3"/>
      <c r="BN3"/>
      <c r="BO3"/>
      <c r="BP3" t="s">
        <v>280</v>
      </c>
      <c r="BQ3" s="17" cm="1">
        <f t="array" ref="BQ3:BR7">LINEST(BB3:BB8,AX3:AX8, TRUE, TRUE)</f>
        <v>-1.0826758846589239E-9</v>
      </c>
      <c r="BR3" s="17">
        <v>1502471.512937638</v>
      </c>
      <c r="BS3" s="20" t="s">
        <v>281</v>
      </c>
      <c r="BU3" s="20"/>
    </row>
    <row r="4" spans="1:73" x14ac:dyDescent="0.25">
      <c r="A4" s="23">
        <f>Alex_ITSD_count_data!A4</f>
        <v>1.1458333319751546E-3</v>
      </c>
      <c r="B4" s="8" t="str">
        <f>Alex_ITSD_count_data!B4</f>
        <v>56  Fe  [ He ] :  CPS RSD value = 5.02 is over the allowed maximum = 5.00</v>
      </c>
      <c r="C4" s="8" t="b">
        <f>Alex_ITSD_count_data!C4</f>
        <v>0</v>
      </c>
      <c r="D4" s="8" t="str">
        <f>Alex_ITSD_count_data!D4</f>
        <v>002SMPL.d</v>
      </c>
      <c r="E4" s="11">
        <f>Alex_ITSD_count_data!E4</f>
        <v>45246.48133101852</v>
      </c>
      <c r="F4" s="8" t="str">
        <f>Alex_ITSD_count_data!F4</f>
        <v>Sample</v>
      </c>
      <c r="G4" s="8">
        <f>Alex_ITSD_count_data!G4</f>
        <v>0</v>
      </c>
      <c r="H4" s="8" t="str">
        <f>Alex_ITSD_count_data!H4</f>
        <v>blk</v>
      </c>
      <c r="I4" s="17">
        <f>Alex_ITSD_count_data!M4</f>
        <v>19800.71</v>
      </c>
      <c r="J4" s="17">
        <f>Alex_ITSD_count_data!N4</f>
        <v>5</v>
      </c>
      <c r="K4" s="46"/>
      <c r="L4" s="17"/>
      <c r="M4" s="17"/>
      <c r="N4" s="8"/>
      <c r="O4" s="8"/>
      <c r="P4" s="8"/>
      <c r="R4" s="23">
        <f t="shared" ref="R4:AA4" si="6">A29</f>
        <v>4.2407407403516117E-2</v>
      </c>
      <c r="S4" s="8" t="str">
        <f t="shared" si="6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T4" s="8" t="b">
        <f t="shared" si="6"/>
        <v>0</v>
      </c>
      <c r="U4" s="8" t="str">
        <f t="shared" si="6"/>
        <v>027SMPL.d</v>
      </c>
      <c r="V4" s="11">
        <f t="shared" si="6"/>
        <v>45246.522592592592</v>
      </c>
      <c r="W4" s="8" t="str">
        <f t="shared" si="6"/>
        <v>Sample</v>
      </c>
      <c r="X4" s="8">
        <f t="shared" si="6"/>
        <v>0</v>
      </c>
      <c r="Y4" s="8" t="str">
        <f t="shared" si="6"/>
        <v>100 ppb check</v>
      </c>
      <c r="Z4" s="8">
        <f t="shared" si="6"/>
        <v>1601132.48</v>
      </c>
      <c r="AA4" s="8">
        <f t="shared" si="6"/>
        <v>2.1</v>
      </c>
      <c r="AB4" s="8">
        <f>$AB$3</f>
        <v>1665822.1233333333</v>
      </c>
      <c r="AC4" s="8">
        <f t="shared" ref="AC4:AJ4" si="7">AC$3</f>
        <v>1998986.548</v>
      </c>
      <c r="AD4" s="8">
        <f t="shared" si="7"/>
        <v>1332657.6986666666</v>
      </c>
      <c r="AE4" s="8">
        <f t="shared" si="7"/>
        <v>1832404.3356666667</v>
      </c>
      <c r="AF4" s="8">
        <f t="shared" si="7"/>
        <v>1499239.9110000001</v>
      </c>
      <c r="AG4" s="8">
        <f t="shared" si="7"/>
        <v>94831.39882742503</v>
      </c>
      <c r="AH4" s="8">
        <f t="shared" si="7"/>
        <v>5.6927686035088829</v>
      </c>
      <c r="AI4" s="8">
        <f t="shared" si="7"/>
        <v>251730.05000000005</v>
      </c>
      <c r="AJ4" s="8">
        <f t="shared" si="7"/>
        <v>38714.756453593058</v>
      </c>
      <c r="AN4" t="s">
        <v>286</v>
      </c>
      <c r="AO4" s="17">
        <v>400402.30941536161</v>
      </c>
      <c r="AP4" s="17">
        <v>18116822481.275181</v>
      </c>
      <c r="AQ4" t="s">
        <v>282</v>
      </c>
      <c r="AT4" s="23">
        <f t="shared" si="1"/>
        <v>4.2407407403516117E-2</v>
      </c>
      <c r="AU4" s="8" t="str">
        <f t="shared" si="4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AV4" s="8" t="b">
        <f t="shared" si="4"/>
        <v>0</v>
      </c>
      <c r="AW4" s="8" t="str">
        <f t="shared" si="4"/>
        <v>027SMPL.d</v>
      </c>
      <c r="AX4" s="11">
        <f t="shared" si="4"/>
        <v>45246.522592592592</v>
      </c>
      <c r="AY4" s="8" t="str">
        <f t="shared" si="4"/>
        <v>Sample</v>
      </c>
      <c r="AZ4" s="8">
        <f t="shared" si="4"/>
        <v>0</v>
      </c>
      <c r="BA4" s="8" t="str">
        <f t="shared" si="4"/>
        <v>100 ppb check</v>
      </c>
      <c r="BB4" s="8">
        <f t="shared" si="5"/>
        <v>1499614.4209786509</v>
      </c>
      <c r="BC4" s="8"/>
      <c r="BD4" s="8">
        <f t="shared" ref="BD4:BL4" si="8">BD$3</f>
        <v>1502471.5128886506</v>
      </c>
      <c r="BE4" s="8">
        <f t="shared" si="8"/>
        <v>1802965.8154663807</v>
      </c>
      <c r="BF4" s="8">
        <f t="shared" si="8"/>
        <v>1201977.2103109206</v>
      </c>
      <c r="BG4" s="8">
        <f t="shared" si="8"/>
        <v>1652718.6641775158</v>
      </c>
      <c r="BH4" s="8">
        <f t="shared" si="8"/>
        <v>1352224.3615997855</v>
      </c>
      <c r="BI4" s="8">
        <f t="shared" si="8"/>
        <v>30084.533194287498</v>
      </c>
      <c r="BJ4" s="8">
        <f t="shared" si="8"/>
        <v>2.0023363462277564</v>
      </c>
      <c r="BK4" s="8">
        <f t="shared" si="8"/>
        <v>80819.230031583225</v>
      </c>
      <c r="BL4" s="8">
        <f t="shared" si="8"/>
        <v>12281.959245971213</v>
      </c>
      <c r="BM4"/>
      <c r="BN4"/>
      <c r="BO4"/>
      <c r="BP4" t="s">
        <v>286</v>
      </c>
      <c r="BQ4" s="17">
        <v>400402.30941536225</v>
      </c>
      <c r="BR4" s="17">
        <v>18116822481.275208</v>
      </c>
      <c r="BS4" t="s">
        <v>282</v>
      </c>
      <c r="BU4" s="20"/>
    </row>
    <row r="5" spans="1:73" x14ac:dyDescent="0.25">
      <c r="A5" s="23">
        <f>Alex_ITSD_count_data!A5</f>
        <v>2.3263888870133087E-3</v>
      </c>
      <c r="B5" s="8"/>
      <c r="C5" s="8" t="b">
        <f>Alex_ITSD_count_data!C5</f>
        <v>0</v>
      </c>
      <c r="D5" s="8" t="str">
        <f>Alex_ITSD_count_data!D5</f>
        <v>003SMPL.d</v>
      </c>
      <c r="E5" s="11">
        <f>Alex_ITSD_count_data!E5</f>
        <v>45246.482511574075</v>
      </c>
      <c r="F5" s="8" t="str">
        <f>Alex_ITSD_count_data!F5</f>
        <v>Sample</v>
      </c>
      <c r="G5" s="8">
        <f>Alex_ITSD_count_data!G5</f>
        <v>0</v>
      </c>
      <c r="H5" s="8" t="str">
        <f>Alex_ITSD_count_data!H5</f>
        <v>blk</v>
      </c>
      <c r="I5" s="17">
        <f>Alex_ITSD_count_data!M5</f>
        <v>16036.1</v>
      </c>
      <c r="J5" s="17">
        <f>Alex_ITSD_count_data!N5</f>
        <v>1.6</v>
      </c>
      <c r="K5" s="46"/>
      <c r="L5" s="17"/>
      <c r="M5" s="17"/>
      <c r="N5" s="8"/>
      <c r="O5" s="8"/>
      <c r="P5" s="8"/>
      <c r="R5" s="23">
        <f t="shared" ref="R5:AA5" si="9">A41</f>
        <v>6.4664351848477963E-2</v>
      </c>
      <c r="S5" s="8" t="str">
        <f t="shared" si="9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T5" s="8" t="b">
        <f t="shared" si="9"/>
        <v>0</v>
      </c>
      <c r="U5" s="8" t="str">
        <f t="shared" si="9"/>
        <v>039SMPL.d</v>
      </c>
      <c r="V5" s="11">
        <f t="shared" si="9"/>
        <v>45246.544849537036</v>
      </c>
      <c r="W5" s="8" t="str">
        <f t="shared" si="9"/>
        <v>Sample</v>
      </c>
      <c r="X5" s="8">
        <f t="shared" si="9"/>
        <v>0</v>
      </c>
      <c r="Y5" s="8" t="str">
        <f t="shared" si="9"/>
        <v>100 ppb check</v>
      </c>
      <c r="Z5" s="8">
        <f t="shared" si="9"/>
        <v>1632384.77</v>
      </c>
      <c r="AA5" s="8">
        <f t="shared" si="9"/>
        <v>2.5</v>
      </c>
      <c r="AB5" s="8">
        <f t="shared" ref="AB5:AB8" si="10">$AB$3</f>
        <v>1665822.1233333333</v>
      </c>
      <c r="AC5" s="8">
        <f t="shared" ref="AC5:AF8" si="11">AC$3</f>
        <v>1998986.548</v>
      </c>
      <c r="AD5" s="8">
        <f t="shared" si="11"/>
        <v>1332657.6986666666</v>
      </c>
      <c r="AE5" s="8">
        <f t="shared" si="11"/>
        <v>1832404.3356666667</v>
      </c>
      <c r="AF5" s="8">
        <f t="shared" si="11"/>
        <v>1499239.9110000001</v>
      </c>
      <c r="AG5" s="8">
        <f t="shared" ref="AG5:AI8" si="12">AG$3</f>
        <v>94831.39882742503</v>
      </c>
      <c r="AH5" s="8">
        <f t="shared" si="12"/>
        <v>5.6927686035088829</v>
      </c>
      <c r="AI5" s="8">
        <f t="shared" si="12"/>
        <v>251730.05000000005</v>
      </c>
      <c r="AJ5" s="8">
        <f t="shared" ref="AJ5:AJ8" si="13">AJ$3</f>
        <v>38714.756453593058</v>
      </c>
      <c r="AN5" t="s">
        <v>277</v>
      </c>
      <c r="AO5" s="17">
        <v>0.89935730891950572</v>
      </c>
      <c r="AP5" s="17">
        <v>33635.530646887812</v>
      </c>
      <c r="AQ5" t="s">
        <v>285</v>
      </c>
      <c r="AT5" s="23">
        <f t="shared" si="1"/>
        <v>6.4664351848477963E-2</v>
      </c>
      <c r="AU5" s="8" t="str">
        <f t="shared" si="4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AV5" s="8" t="b">
        <f t="shared" si="4"/>
        <v>0</v>
      </c>
      <c r="AW5" s="8" t="str">
        <f t="shared" si="4"/>
        <v>039SMPL.d</v>
      </c>
      <c r="AX5" s="11">
        <f t="shared" si="4"/>
        <v>45246.544849537036</v>
      </c>
      <c r="AY5" s="8" t="str">
        <f t="shared" si="4"/>
        <v>Sample</v>
      </c>
      <c r="AZ5" s="8">
        <f t="shared" si="4"/>
        <v>0</v>
      </c>
      <c r="BA5" s="8" t="str">
        <f t="shared" si="4"/>
        <v>100 ppb check</v>
      </c>
      <c r="BB5" s="8">
        <f t="shared" si="5"/>
        <v>1477586.3541226175</v>
      </c>
      <c r="BC5" s="8"/>
      <c r="BD5" s="8">
        <f t="shared" ref="BD5:BH8" si="14">BD$3</f>
        <v>1502471.5128886506</v>
      </c>
      <c r="BE5" s="8">
        <f t="shared" si="14"/>
        <v>1802965.8154663807</v>
      </c>
      <c r="BF5" s="8">
        <f t="shared" si="14"/>
        <v>1201977.2103109206</v>
      </c>
      <c r="BG5" s="8">
        <f t="shared" si="14"/>
        <v>1652718.6641775158</v>
      </c>
      <c r="BH5" s="8">
        <f t="shared" si="14"/>
        <v>1352224.3615997855</v>
      </c>
      <c r="BI5" s="8">
        <f t="shared" ref="BI5:BK8" si="15">BI$3</f>
        <v>30084.533194287498</v>
      </c>
      <c r="BJ5" s="8">
        <f t="shared" si="15"/>
        <v>2.0023363462277564</v>
      </c>
      <c r="BK5" s="8">
        <f t="shared" si="15"/>
        <v>80819.230031583225</v>
      </c>
      <c r="BL5" s="8">
        <f t="shared" ref="BL5:BL8" si="16">BL$3</f>
        <v>12281.959245971213</v>
      </c>
      <c r="BM5"/>
      <c r="BN5"/>
      <c r="BO5"/>
      <c r="BP5" t="s">
        <v>277</v>
      </c>
      <c r="BQ5" s="17">
        <v>2.1073832704205651E-16</v>
      </c>
      <c r="BR5" s="17">
        <v>33635.530646887863</v>
      </c>
      <c r="BS5" t="s">
        <v>285</v>
      </c>
      <c r="BU5" s="20"/>
    </row>
    <row r="6" spans="1:73" x14ac:dyDescent="0.25">
      <c r="A6" s="23">
        <f>Alex_ITSD_count_data!A6</f>
        <v>3.4490740727051161E-3</v>
      </c>
      <c r="B6" s="8"/>
      <c r="C6" s="8" t="b">
        <f>Alex_ITSD_count_data!C6</f>
        <v>0</v>
      </c>
      <c r="D6" s="8" t="str">
        <f>Alex_ITSD_count_data!D6</f>
        <v>004CALB.d</v>
      </c>
      <c r="E6" s="11">
        <f>Alex_ITSD_count_data!E6</f>
        <v>45246.483634259261</v>
      </c>
      <c r="F6" s="8" t="str">
        <f>Alex_ITSD_count_data!F6</f>
        <v>CalBlk</v>
      </c>
      <c r="G6" s="8">
        <f>Alex_ITSD_count_data!G6</f>
        <v>1</v>
      </c>
      <c r="H6" s="8" t="str">
        <f>Alex_ITSD_count_data!H6</f>
        <v xml:space="preserve">0 ppb </v>
      </c>
      <c r="I6" s="17">
        <f>Alex_ITSD_count_data!M6</f>
        <v>37050.129999999997</v>
      </c>
      <c r="J6" s="17">
        <f>Alex_ITSD_count_data!N6</f>
        <v>2.8</v>
      </c>
      <c r="K6" s="47">
        <f>I6-($AO$3*A6)</f>
        <v>28793.475638883552</v>
      </c>
      <c r="L6" s="17">
        <f>(I6-$AP$30)*(1/$AO$30)</f>
        <v>-169.16904782767423</v>
      </c>
      <c r="M6" s="17">
        <f>[2]Alex_MS_FE_AL_data!L6</f>
        <v>0</v>
      </c>
      <c r="N6" s="8"/>
      <c r="O6" s="8"/>
      <c r="P6" s="8"/>
      <c r="R6" s="23">
        <f t="shared" ref="R6:AA6" si="17">A53</f>
        <v>8.2002314811688848E-2</v>
      </c>
      <c r="S6" s="8" t="str">
        <f t="shared" si="17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T6" s="8" t="b">
        <f t="shared" si="17"/>
        <v>0</v>
      </c>
      <c r="U6" s="8" t="str">
        <f t="shared" si="17"/>
        <v>051SMPL.d</v>
      </c>
      <c r="V6" s="11">
        <f t="shared" si="17"/>
        <v>45246.5621875</v>
      </c>
      <c r="W6" s="8" t="str">
        <f t="shared" si="17"/>
        <v>Sample</v>
      </c>
      <c r="X6" s="8">
        <f t="shared" si="17"/>
        <v>0</v>
      </c>
      <c r="Y6" s="8" t="str">
        <f t="shared" si="17"/>
        <v>100 ppb check</v>
      </c>
      <c r="Z6" s="8">
        <f t="shared" si="17"/>
        <v>1685107.79</v>
      </c>
      <c r="AA6" s="8">
        <f t="shared" si="17"/>
        <v>1.4</v>
      </c>
      <c r="AB6" s="8">
        <f t="shared" si="10"/>
        <v>1665822.1233333333</v>
      </c>
      <c r="AC6" s="8">
        <f t="shared" si="11"/>
        <v>1998986.548</v>
      </c>
      <c r="AD6" s="8">
        <f t="shared" si="11"/>
        <v>1332657.6986666666</v>
      </c>
      <c r="AE6" s="8">
        <f t="shared" si="11"/>
        <v>1832404.3356666667</v>
      </c>
      <c r="AF6" s="8">
        <f t="shared" si="11"/>
        <v>1499239.9110000001</v>
      </c>
      <c r="AG6" s="8">
        <f t="shared" si="12"/>
        <v>94831.39882742503</v>
      </c>
      <c r="AH6" s="8">
        <f t="shared" si="12"/>
        <v>5.6927686035088829</v>
      </c>
      <c r="AI6" s="8">
        <f t="shared" si="12"/>
        <v>251730.05000000005</v>
      </c>
      <c r="AJ6" s="8">
        <f t="shared" si="13"/>
        <v>38714.756453593058</v>
      </c>
      <c r="AN6" t="s">
        <v>278</v>
      </c>
      <c r="AO6" s="17">
        <v>35.744565224322052</v>
      </c>
      <c r="AP6" s="17">
        <v>4</v>
      </c>
      <c r="AQ6" t="s">
        <v>283</v>
      </c>
      <c r="AT6" s="23">
        <f t="shared" si="1"/>
        <v>8.2002314811688848E-2</v>
      </c>
      <c r="AU6" s="8" t="str">
        <f t="shared" si="4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AV6" s="8" t="b">
        <f t="shared" si="4"/>
        <v>0</v>
      </c>
      <c r="AW6" s="8" t="str">
        <f t="shared" si="4"/>
        <v>051SMPL.d</v>
      </c>
      <c r="AX6" s="11">
        <f t="shared" si="4"/>
        <v>45246.5621875</v>
      </c>
      <c r="AY6" s="8" t="str">
        <f t="shared" si="4"/>
        <v>Sample</v>
      </c>
      <c r="AZ6" s="8">
        <f t="shared" si="4"/>
        <v>0</v>
      </c>
      <c r="BA6" s="8" t="str">
        <f t="shared" si="4"/>
        <v>100 ppb check</v>
      </c>
      <c r="BB6" s="8">
        <f t="shared" si="5"/>
        <v>1488804.4471493345</v>
      </c>
      <c r="BC6" s="8"/>
      <c r="BD6" s="8">
        <f t="shared" si="14"/>
        <v>1502471.5128886506</v>
      </c>
      <c r="BE6" s="8">
        <f t="shared" si="14"/>
        <v>1802965.8154663807</v>
      </c>
      <c r="BF6" s="8">
        <f t="shared" si="14"/>
        <v>1201977.2103109206</v>
      </c>
      <c r="BG6" s="8">
        <f t="shared" si="14"/>
        <v>1652718.6641775158</v>
      </c>
      <c r="BH6" s="8">
        <f t="shared" si="14"/>
        <v>1352224.3615997855</v>
      </c>
      <c r="BI6" s="8">
        <f t="shared" si="15"/>
        <v>30084.533194287498</v>
      </c>
      <c r="BJ6" s="8">
        <f t="shared" si="15"/>
        <v>2.0023363462277564</v>
      </c>
      <c r="BK6" s="8">
        <f t="shared" si="15"/>
        <v>80819.230031583225</v>
      </c>
      <c r="BL6" s="8">
        <f t="shared" si="16"/>
        <v>12281.959245971213</v>
      </c>
      <c r="BM6"/>
      <c r="BN6"/>
      <c r="BO6"/>
      <c r="BP6" t="s">
        <v>278</v>
      </c>
      <c r="BQ6" s="17">
        <v>8.4295330816822624E-16</v>
      </c>
      <c r="BR6" s="17">
        <v>4</v>
      </c>
      <c r="BS6" t="s">
        <v>283</v>
      </c>
      <c r="BU6" s="20"/>
    </row>
    <row r="7" spans="1:73" x14ac:dyDescent="0.25">
      <c r="A7" s="23">
        <f>Alex_ITSD_count_data!A7</f>
        <v>4.6180555509636179E-3</v>
      </c>
      <c r="B7" s="8"/>
      <c r="C7" s="8" t="b">
        <f>Alex_ITSD_count_data!C7</f>
        <v>0</v>
      </c>
      <c r="D7" s="8" t="str">
        <f>Alex_ITSD_count_data!D7</f>
        <v>005CALS.d</v>
      </c>
      <c r="E7" s="11">
        <f>Alex_ITSD_count_data!E7</f>
        <v>45246.484803240739</v>
      </c>
      <c r="F7" s="8" t="str">
        <f>Alex_ITSD_count_data!F7</f>
        <v>CalStd</v>
      </c>
      <c r="G7" s="8">
        <f>Alex_ITSD_count_data!G7</f>
        <v>2</v>
      </c>
      <c r="H7" s="8" t="str">
        <f>Alex_ITSD_count_data!H7</f>
        <v>0.5 ppb m16 + Al</v>
      </c>
      <c r="I7" s="17">
        <f>Alex_ITSD_count_data!M7</f>
        <v>25336.75</v>
      </c>
      <c r="J7" s="17">
        <f>Alex_ITSD_count_data!N7</f>
        <v>2.8</v>
      </c>
      <c r="K7" s="47">
        <f t="shared" ref="K7:K70" si="18">I7-($AO$3*A7)</f>
        <v>14281.699368734038</v>
      </c>
      <c r="L7" s="17">
        <f>(I7-$AP$30)*(1/$AO$30)</f>
        <v>-170.0940611863293</v>
      </c>
      <c r="M7" s="17" t="str">
        <f>[2]Alex_MS_FE_AL_data!L7</f>
        <v>&lt;0.000</v>
      </c>
      <c r="N7" s="8"/>
      <c r="O7" s="8"/>
      <c r="P7" s="8"/>
      <c r="R7" s="23">
        <f t="shared" ref="R7:AA7" si="19">A65</f>
        <v>9.5740740740438923E-2</v>
      </c>
      <c r="S7" s="8" t="str">
        <f t="shared" si="19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T7" s="8" t="b">
        <f t="shared" si="19"/>
        <v>0</v>
      </c>
      <c r="U7" s="8" t="str">
        <f t="shared" si="19"/>
        <v>063SMPL.d</v>
      </c>
      <c r="V7" s="11">
        <f t="shared" si="19"/>
        <v>45246.575925925928</v>
      </c>
      <c r="W7" s="8" t="str">
        <f t="shared" si="19"/>
        <v>Sample</v>
      </c>
      <c r="X7" s="8">
        <f t="shared" si="19"/>
        <v>0</v>
      </c>
      <c r="Y7" s="8" t="str">
        <f t="shared" si="19"/>
        <v>100 ppb check</v>
      </c>
      <c r="Z7" s="8">
        <f t="shared" si="19"/>
        <v>1787597.01</v>
      </c>
      <c r="AA7" s="8">
        <f t="shared" si="19"/>
        <v>4.2</v>
      </c>
      <c r="AB7" s="8">
        <f t="shared" si="10"/>
        <v>1665822.1233333333</v>
      </c>
      <c r="AC7" s="8">
        <f t="shared" si="11"/>
        <v>1998986.548</v>
      </c>
      <c r="AD7" s="8">
        <f t="shared" si="11"/>
        <v>1332657.6986666666</v>
      </c>
      <c r="AE7" s="8">
        <f t="shared" si="11"/>
        <v>1832404.3356666667</v>
      </c>
      <c r="AF7" s="8">
        <f t="shared" si="11"/>
        <v>1499239.9110000001</v>
      </c>
      <c r="AG7" s="8">
        <f t="shared" si="12"/>
        <v>94831.39882742503</v>
      </c>
      <c r="AH7" s="8">
        <f t="shared" si="12"/>
        <v>5.6927686035088829</v>
      </c>
      <c r="AI7" s="8">
        <f t="shared" si="12"/>
        <v>251730.05000000005</v>
      </c>
      <c r="AJ7" s="8">
        <f t="shared" si="13"/>
        <v>38714.756453593058</v>
      </c>
      <c r="AN7" t="s">
        <v>279</v>
      </c>
      <c r="AO7" s="17">
        <v>40439575330.239822</v>
      </c>
      <c r="AP7" s="17">
        <v>4525395687.5909176</v>
      </c>
      <c r="AQ7" t="s">
        <v>284</v>
      </c>
      <c r="AT7" s="23">
        <f t="shared" si="1"/>
        <v>9.5740740740438923E-2</v>
      </c>
      <c r="AU7" s="8" t="str">
        <f t="shared" si="4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AV7" s="8" t="b">
        <f t="shared" si="4"/>
        <v>0</v>
      </c>
      <c r="AW7" s="8" t="str">
        <f t="shared" si="4"/>
        <v>063SMPL.d</v>
      </c>
      <c r="AX7" s="11">
        <f t="shared" si="4"/>
        <v>45246.575925925928</v>
      </c>
      <c r="AY7" s="8" t="str">
        <f t="shared" si="4"/>
        <v>Sample</v>
      </c>
      <c r="AZ7" s="8">
        <f t="shared" si="4"/>
        <v>0</v>
      </c>
      <c r="BA7" s="8" t="str">
        <f t="shared" si="4"/>
        <v>100 ppb check</v>
      </c>
      <c r="BB7" s="8">
        <f t="shared" si="5"/>
        <v>1558405.5841542007</v>
      </c>
      <c r="BC7" s="8"/>
      <c r="BD7" s="8">
        <f t="shared" si="14"/>
        <v>1502471.5128886506</v>
      </c>
      <c r="BE7" s="8">
        <f t="shared" si="14"/>
        <v>1802965.8154663807</v>
      </c>
      <c r="BF7" s="8">
        <f t="shared" si="14"/>
        <v>1201977.2103109206</v>
      </c>
      <c r="BG7" s="8">
        <f t="shared" si="14"/>
        <v>1652718.6641775158</v>
      </c>
      <c r="BH7" s="8">
        <f t="shared" si="14"/>
        <v>1352224.3615997855</v>
      </c>
      <c r="BI7" s="8">
        <f t="shared" si="15"/>
        <v>30084.533194287498</v>
      </c>
      <c r="BJ7" s="8">
        <f t="shared" si="15"/>
        <v>2.0023363462277564</v>
      </c>
      <c r="BK7" s="8">
        <f t="shared" si="15"/>
        <v>80819.230031583225</v>
      </c>
      <c r="BL7" s="8">
        <f t="shared" si="16"/>
        <v>12281.959245971213</v>
      </c>
      <c r="BM7"/>
      <c r="BN7"/>
      <c r="BO7"/>
      <c r="BP7" t="s">
        <v>279</v>
      </c>
      <c r="BQ7" s="17">
        <v>9.5367431640625E-7</v>
      </c>
      <c r="BR7" s="17">
        <v>4525395687.5909309</v>
      </c>
      <c r="BS7" t="s">
        <v>284</v>
      </c>
      <c r="BU7" s="20"/>
    </row>
    <row r="8" spans="1:73" x14ac:dyDescent="0.25">
      <c r="A8" s="23">
        <f>Alex_ITSD_count_data!A8</f>
        <v>5.7870370364980772E-3</v>
      </c>
      <c r="B8" s="8" t="str">
        <f>Alex_ITSD_count_data!B8</f>
        <v>45  Sc ( ISTD )  [ He ] :  ISTD Recovery Percent value = 135.23 is outside the allowed range [80.00, 120.00]103  Rh ( ISTD )  [ He ] :  ISTD Recovery Percent value = 137.11 is outside the allowed range [80.00, 120.00]</v>
      </c>
      <c r="C8" s="8" t="b">
        <f>Alex_ITSD_count_data!C8</f>
        <v>0</v>
      </c>
      <c r="D8" s="8" t="str">
        <f>Alex_ITSD_count_data!D8</f>
        <v>006CALS.d</v>
      </c>
      <c r="E8" s="11">
        <f>Alex_ITSD_count_data!E8</f>
        <v>45246.485972222225</v>
      </c>
      <c r="F8" s="8" t="str">
        <f>Alex_ITSD_count_data!F8</f>
        <v>CalStd</v>
      </c>
      <c r="G8" s="8">
        <f>Alex_ITSD_count_data!G8</f>
        <v>3</v>
      </c>
      <c r="H8" s="8" t="str">
        <f>Alex_ITSD_count_data!H8</f>
        <v>1 ppb m16 + Al</v>
      </c>
      <c r="I8" s="17">
        <f>Alex_ITSD_count_data!M8</f>
        <v>34793.449999999997</v>
      </c>
      <c r="J8" s="17">
        <f>Alex_ITSD_count_data!N8</f>
        <v>2.6</v>
      </c>
      <c r="K8" s="47">
        <f t="shared" si="18"/>
        <v>20940.003081166782</v>
      </c>
      <c r="L8" s="17">
        <f t="shared" ref="L8:L71" si="20">(I8-$AP$30)*(1/$AO$30)</f>
        <v>-169.34725933846016</v>
      </c>
      <c r="M8" s="17" t="str">
        <f>[2]Alex_MS_FE_AL_data!L8</f>
        <v>&lt;0.000</v>
      </c>
      <c r="N8" s="8"/>
      <c r="O8" s="8"/>
      <c r="P8" s="8"/>
      <c r="R8" s="23">
        <f t="shared" ref="R8:AA8" si="21">A81</f>
        <v>0.11407407407386927</v>
      </c>
      <c r="S8" s="8" t="str">
        <f t="shared" si="21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T8" s="8" t="b">
        <f t="shared" si="21"/>
        <v>0</v>
      </c>
      <c r="U8" s="8" t="str">
        <f t="shared" si="21"/>
        <v>079SMPL.d</v>
      </c>
      <c r="V8" s="11">
        <f t="shared" si="21"/>
        <v>45246.594259259262</v>
      </c>
      <c r="W8" s="8" t="str">
        <f t="shared" si="21"/>
        <v>Sample</v>
      </c>
      <c r="X8" s="8">
        <f t="shared" si="21"/>
        <v>0</v>
      </c>
      <c r="Y8" s="8" t="str">
        <f t="shared" si="21"/>
        <v>100 ppb check</v>
      </c>
      <c r="Z8" s="8">
        <f t="shared" si="21"/>
        <v>1752843.73</v>
      </c>
      <c r="AA8" s="8">
        <f t="shared" si="21"/>
        <v>3.7</v>
      </c>
      <c r="AB8" s="8">
        <f t="shared" si="10"/>
        <v>1665822.1233333333</v>
      </c>
      <c r="AC8" s="8">
        <f t="shared" si="11"/>
        <v>1998986.548</v>
      </c>
      <c r="AD8" s="8">
        <f t="shared" si="11"/>
        <v>1332657.6986666666</v>
      </c>
      <c r="AE8" s="8">
        <f t="shared" si="11"/>
        <v>1832404.3356666667</v>
      </c>
      <c r="AF8" s="8">
        <f t="shared" si="11"/>
        <v>1499239.9110000001</v>
      </c>
      <c r="AG8" s="8">
        <f t="shared" si="12"/>
        <v>94831.39882742503</v>
      </c>
      <c r="AH8" s="8">
        <f t="shared" si="12"/>
        <v>5.6927686035088829</v>
      </c>
      <c r="AI8" s="8">
        <f t="shared" si="12"/>
        <v>251730.05000000005</v>
      </c>
      <c r="AJ8" s="8">
        <f t="shared" si="13"/>
        <v>38714.756453593058</v>
      </c>
      <c r="AT8" s="23">
        <f t="shared" si="1"/>
        <v>0.11407407407386927</v>
      </c>
      <c r="AU8" s="8" t="str">
        <f t="shared" si="4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AV8" s="8" t="b">
        <f t="shared" si="4"/>
        <v>0</v>
      </c>
      <c r="AW8" s="8" t="str">
        <f t="shared" si="4"/>
        <v>079SMPL.d</v>
      </c>
      <c r="AX8" s="11">
        <f t="shared" si="4"/>
        <v>45246.594259259262</v>
      </c>
      <c r="AY8" s="8" t="str">
        <f t="shared" si="4"/>
        <v>Sample</v>
      </c>
      <c r="AZ8" s="8">
        <f t="shared" si="4"/>
        <v>0</v>
      </c>
      <c r="BA8" s="8" t="str">
        <f t="shared" si="4"/>
        <v>100 ppb check</v>
      </c>
      <c r="BB8" s="8">
        <f t="shared" si="5"/>
        <v>1479764.5843110173</v>
      </c>
      <c r="BC8" s="8"/>
      <c r="BD8" s="8">
        <f t="shared" si="14"/>
        <v>1502471.5128886506</v>
      </c>
      <c r="BE8" s="8">
        <f t="shared" si="14"/>
        <v>1802965.8154663807</v>
      </c>
      <c r="BF8" s="8">
        <f t="shared" si="14"/>
        <v>1201977.2103109206</v>
      </c>
      <c r="BG8" s="8">
        <f t="shared" si="14"/>
        <v>1652718.6641775158</v>
      </c>
      <c r="BH8" s="8">
        <f t="shared" si="14"/>
        <v>1352224.3615997855</v>
      </c>
      <c r="BI8" s="8">
        <f t="shared" si="15"/>
        <v>30084.533194287498</v>
      </c>
      <c r="BJ8" s="8">
        <f t="shared" si="15"/>
        <v>2.0023363462277564</v>
      </c>
      <c r="BK8" s="8">
        <f t="shared" si="15"/>
        <v>80819.230031583225</v>
      </c>
      <c r="BL8" s="8">
        <f t="shared" si="16"/>
        <v>12281.959245971213</v>
      </c>
      <c r="BM8"/>
      <c r="BN8"/>
      <c r="BO8"/>
    </row>
    <row r="9" spans="1:73" x14ac:dyDescent="0.25">
      <c r="A9" s="23">
        <f>Alex_ITSD_count_data!A9</f>
        <v>7.0023148145992309E-3</v>
      </c>
      <c r="B9" s="8" t="str">
        <f>Alex_ITSD_count_data!B9</f>
        <v>45  Sc ( ISTD )  [ He ] :  ISTD Recovery Percent value = 158.50 is outside the allowed range [80.00, 120.00]103  Rh ( ISTD )  [ He ] :  ISTD Recovery Percent value = 166.42 is outside the allowed range [80.00, 120.00]</v>
      </c>
      <c r="C9" s="8" t="b">
        <f>Alex_ITSD_count_data!C9</f>
        <v>0</v>
      </c>
      <c r="D9" s="8" t="str">
        <f>Alex_ITSD_count_data!D9</f>
        <v>007CALS.d</v>
      </c>
      <c r="E9" s="11">
        <f>Alex_ITSD_count_data!E9</f>
        <v>45246.487187500003</v>
      </c>
      <c r="F9" s="8" t="str">
        <f>Alex_ITSD_count_data!F9</f>
        <v>CalStd</v>
      </c>
      <c r="G9" s="8">
        <f>Alex_ITSD_count_data!G9</f>
        <v>4</v>
      </c>
      <c r="H9" s="8" t="str">
        <f>Alex_ITSD_count_data!H9</f>
        <v>5 ppb m16 + Al</v>
      </c>
      <c r="I9" s="17">
        <f>Alex_ITSD_count_data!M9</f>
        <v>94460.08</v>
      </c>
      <c r="J9" s="17">
        <f>Alex_ITSD_count_data!N9</f>
        <v>1.6</v>
      </c>
      <c r="K9" s="47">
        <f t="shared" si="18"/>
        <v>77697.409227166747</v>
      </c>
      <c r="L9" s="17">
        <f t="shared" si="20"/>
        <v>-164.63534614039702</v>
      </c>
      <c r="M9" s="17">
        <f>[2]Alex_MS_FE_AL_data!L9</f>
        <v>3.9060000000000001</v>
      </c>
      <c r="N9" s="8"/>
      <c r="O9" s="8"/>
      <c r="P9" s="8"/>
      <c r="BD9"/>
      <c r="BE9"/>
      <c r="BF9"/>
      <c r="BG9"/>
      <c r="BH9"/>
      <c r="BI9"/>
      <c r="BJ9"/>
      <c r="BK9"/>
      <c r="BL9"/>
      <c r="BM9"/>
      <c r="BN9"/>
      <c r="BO9"/>
    </row>
    <row r="10" spans="1:73" x14ac:dyDescent="0.25">
      <c r="A10" s="23">
        <f>Alex_ITSD_count_data!A10</f>
        <v>8.182870369637385E-3</v>
      </c>
      <c r="B10" s="8" t="str">
        <f>Alex_ITSD_count_data!B10</f>
        <v>45  Sc ( ISTD )  [ He ] :  ISTD Recovery Percent value = 191.39 is outside the allowed range [80.00, 120.00]103  Rh ( ISTD )  [ He ] :  ISTD Recovery Percent value = 202.01 is outside the allowed range [80.00, 120.00]</v>
      </c>
      <c r="C10" s="8" t="b">
        <f>Alex_ITSD_count_data!C10</f>
        <v>0</v>
      </c>
      <c r="D10" s="8" t="str">
        <f>Alex_ITSD_count_data!D10</f>
        <v>008CALS.d</v>
      </c>
      <c r="E10" s="11">
        <f>Alex_ITSD_count_data!E10</f>
        <v>45246.488368055558</v>
      </c>
      <c r="F10" s="8" t="str">
        <f>Alex_ITSD_count_data!F10</f>
        <v>CalStd</v>
      </c>
      <c r="G10" s="8">
        <f>Alex_ITSD_count_data!G10</f>
        <v>5</v>
      </c>
      <c r="H10" s="8" t="str">
        <f>Alex_ITSD_count_data!H10</f>
        <v>10 ppb m16 + Al</v>
      </c>
      <c r="I10" s="17">
        <f>Alex_ITSD_count_data!M10</f>
        <v>175602.19</v>
      </c>
      <c r="J10" s="17">
        <f>Alex_ITSD_count_data!N10</f>
        <v>1.7</v>
      </c>
      <c r="K10" s="47">
        <f t="shared" si="18"/>
        <v>156013.41605670017</v>
      </c>
      <c r="L10" s="17">
        <f t="shared" si="20"/>
        <v>-158.22750009600517</v>
      </c>
      <c r="M10" s="17">
        <f>[2]Alex_MS_FE_AL_data!L10</f>
        <v>9.4260000000000002</v>
      </c>
      <c r="N10" s="8"/>
      <c r="O10" s="8"/>
      <c r="P10" s="8"/>
      <c r="Q10" s="2" t="s">
        <v>263</v>
      </c>
      <c r="R10" s="10"/>
      <c r="S10" s="7" t="str">
        <f>B1</f>
        <v>Sample</v>
      </c>
      <c r="T10" s="7"/>
      <c r="U10" s="7"/>
      <c r="V10" s="10"/>
      <c r="W10" s="7"/>
      <c r="X10" s="7"/>
      <c r="Y10" s="7"/>
      <c r="Z10" s="14" t="str">
        <f>I1</f>
        <v xml:space="preserve">56  Fe  [ He ] </v>
      </c>
      <c r="AA10" s="14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O10" s="2" t="s">
        <v>290</v>
      </c>
      <c r="AS10" s="2" t="s">
        <v>289</v>
      </c>
      <c r="AT10" s="10"/>
      <c r="AU10" s="7" t="str">
        <f t="shared" ref="AU10" si="22">S10</f>
        <v>Sample</v>
      </c>
      <c r="AV10" s="7"/>
      <c r="AW10" s="7"/>
      <c r="AX10" s="10"/>
      <c r="AY10" s="7"/>
      <c r="AZ10" s="7"/>
      <c r="BA10" s="7"/>
      <c r="BB10" s="14" t="str">
        <f t="shared" ref="BB10:BO11" si="23">Z10</f>
        <v xml:space="preserve">56  Fe  [ He ] </v>
      </c>
      <c r="BC10" s="14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Q10" s="2" t="s">
        <v>288</v>
      </c>
      <c r="BU10" s="2"/>
    </row>
    <row r="11" spans="1:73" x14ac:dyDescent="0.25">
      <c r="A11" s="23">
        <f>Alex_ITSD_count_data!A11</f>
        <v>9.3287037016125396E-3</v>
      </c>
      <c r="B11" s="8" t="str">
        <f>Alex_ITSD_count_data!B11</f>
        <v>45  Sc ( ISTD )  [ He ] :  ISTD Recovery Percent value = 226.75 is outside the allowed range [80.00, 120.00]103  Rh ( ISTD )  [ He ] :  ISTD Recovery Percent value = 246.55 is outside the allowed range [80.00, 120.00]</v>
      </c>
      <c r="C11" s="8" t="b">
        <f>Alex_ITSD_count_data!C11</f>
        <v>0</v>
      </c>
      <c r="D11" s="8" t="str">
        <f>Alex_ITSD_count_data!D11</f>
        <v>009CALS.d</v>
      </c>
      <c r="E11" s="11">
        <f>Alex_ITSD_count_data!E11</f>
        <v>45246.48951388889</v>
      </c>
      <c r="F11" s="8" t="str">
        <f>Alex_ITSD_count_data!F11</f>
        <v>CalStd</v>
      </c>
      <c r="G11" s="8">
        <f>Alex_ITSD_count_data!G11</f>
        <v>6</v>
      </c>
      <c r="H11" s="8" t="str">
        <f>Alex_ITSD_count_data!H11</f>
        <v>50 ppb m16 + Al</v>
      </c>
      <c r="I11" s="17">
        <f>Alex_ITSD_count_data!M11</f>
        <v>788426.84</v>
      </c>
      <c r="J11" s="17">
        <f>Alex_ITSD_count_data!N11</f>
        <v>1.2</v>
      </c>
      <c r="K11" s="47">
        <f t="shared" si="18"/>
        <v>766095.08356976695</v>
      </c>
      <c r="L11" s="17">
        <f t="shared" si="20"/>
        <v>-109.83233253863804</v>
      </c>
      <c r="M11" s="17">
        <f>[2]Alex_MS_FE_AL_data!L11</f>
        <v>51.116</v>
      </c>
      <c r="N11" s="8"/>
      <c r="O11" s="8"/>
      <c r="P11" s="8"/>
      <c r="R11" s="10" t="str">
        <f>A2</f>
        <v>Number</v>
      </c>
      <c r="S11" s="7"/>
      <c r="T11" s="7" t="str">
        <f t="shared" ref="T11:Y14" si="24">C2</f>
        <v>Rjct</v>
      </c>
      <c r="U11" s="7" t="str">
        <f t="shared" si="24"/>
        <v>Data File</v>
      </c>
      <c r="V11" s="10" t="str">
        <f t="shared" si="24"/>
        <v>Acq. Date-Time</v>
      </c>
      <c r="W11" s="7" t="str">
        <f t="shared" si="24"/>
        <v>Type</v>
      </c>
      <c r="X11" s="7" t="str">
        <f t="shared" si="24"/>
        <v>Level</v>
      </c>
      <c r="Y11" s="7" t="str">
        <f t="shared" si="24"/>
        <v>Sample Name</v>
      </c>
      <c r="Z11" s="14" t="str">
        <f>I2</f>
        <v>CPS</v>
      </c>
      <c r="AA11" s="14" t="str">
        <f>J2</f>
        <v>CPS RSD</v>
      </c>
      <c r="AB11" s="27" t="s">
        <v>256</v>
      </c>
      <c r="AC11" s="27" t="s">
        <v>264</v>
      </c>
      <c r="AD11" s="27" t="s">
        <v>265</v>
      </c>
      <c r="AE11" s="27" t="s">
        <v>266</v>
      </c>
      <c r="AF11" s="27" t="s">
        <v>267</v>
      </c>
      <c r="AG11" s="28" t="s">
        <v>257</v>
      </c>
      <c r="AH11" s="28" t="s">
        <v>260</v>
      </c>
      <c r="AI11" s="28" t="s">
        <v>261</v>
      </c>
      <c r="AJ11" s="28" t="s">
        <v>269</v>
      </c>
      <c r="AK11" s="28" t="s">
        <v>270</v>
      </c>
      <c r="AL11" s="28" t="s">
        <v>271</v>
      </c>
      <c r="AM11" s="28" t="s">
        <v>268</v>
      </c>
      <c r="AO11" s="7" t="s">
        <v>272</v>
      </c>
      <c r="AP11" s="7" t="s">
        <v>273</v>
      </c>
      <c r="AT11" s="10" t="str">
        <f t="shared" ref="AT11" si="25">R11</f>
        <v>Number</v>
      </c>
      <c r="AU11" s="7"/>
      <c r="AV11" s="7" t="str">
        <f t="shared" ref="AV11:BA24" si="26">T11</f>
        <v>Rjct</v>
      </c>
      <c r="AW11" s="7" t="str">
        <f t="shared" si="26"/>
        <v>Data File</v>
      </c>
      <c r="AX11" s="10" t="str">
        <f t="shared" si="26"/>
        <v>Acq. Date-Time</v>
      </c>
      <c r="AY11" s="7" t="str">
        <f t="shared" si="26"/>
        <v>Type</v>
      </c>
      <c r="AZ11" s="7" t="str">
        <f t="shared" si="26"/>
        <v>Level</v>
      </c>
      <c r="BA11" s="7" t="str">
        <f t="shared" si="26"/>
        <v>Sample Name</v>
      </c>
      <c r="BB11" s="14" t="str">
        <f t="shared" si="23"/>
        <v>CPS</v>
      </c>
      <c r="BC11" s="14" t="str">
        <f t="shared" si="23"/>
        <v>CPS RSD</v>
      </c>
      <c r="BD11" s="27" t="str">
        <f t="shared" si="23"/>
        <v>Mean</v>
      </c>
      <c r="BE11" s="27" t="str">
        <f t="shared" si="23"/>
        <v>120% Mean</v>
      </c>
      <c r="BF11" s="27" t="str">
        <f t="shared" si="23"/>
        <v>80% Mean</v>
      </c>
      <c r="BG11" s="27" t="str">
        <f t="shared" si="23"/>
        <v>110% Mean</v>
      </c>
      <c r="BH11" s="27" t="str">
        <f t="shared" si="23"/>
        <v>90% Mean</v>
      </c>
      <c r="BI11" s="28" t="str">
        <f t="shared" si="23"/>
        <v>Stdev</v>
      </c>
      <c r="BJ11" s="28" t="str">
        <f t="shared" si="23"/>
        <v>RelStdev</v>
      </c>
      <c r="BK11" s="28" t="str">
        <f t="shared" si="23"/>
        <v>Range</v>
      </c>
      <c r="BL11" s="28" t="str">
        <f t="shared" si="23"/>
        <v>plus 1 Std</v>
      </c>
      <c r="BM11" s="28" t="str">
        <f t="shared" si="23"/>
        <v>minus 1 Std</v>
      </c>
      <c r="BN11" s="28" t="str">
        <f t="shared" si="23"/>
        <v>plus 2 Std</v>
      </c>
      <c r="BO11" s="28" t="str">
        <f t="shared" si="23"/>
        <v>minus 2 Std</v>
      </c>
      <c r="BQ11" s="7" t="s">
        <v>272</v>
      </c>
      <c r="BR11" s="7" t="s">
        <v>273</v>
      </c>
      <c r="BU11" s="2"/>
    </row>
    <row r="12" spans="1:73" x14ac:dyDescent="0.25">
      <c r="A12" s="23">
        <f>Alex_ITSD_count_data!A12</f>
        <v>1.0532407402934041E-2</v>
      </c>
      <c r="B12" s="8" t="str">
        <f>Alex_ITSD_count_data!B12</f>
        <v>45  Sc ( ISTD )  [ He ] :  ISTD Recovery Percent value = 294.14 is outside the allowed range [80.00, 120.00]103  Rh ( ISTD )  [ He ] :  ISTD Recovery Percent value = 306.45 is outside the allowed range [80.00, 120.00]</v>
      </c>
      <c r="C12" s="8" t="b">
        <f>Alex_ITSD_count_data!C12</f>
        <v>0</v>
      </c>
      <c r="D12" s="8" t="str">
        <f>Alex_ITSD_count_data!D12</f>
        <v>010CALS.d</v>
      </c>
      <c r="E12" s="11">
        <f>Alex_ITSD_count_data!E12</f>
        <v>45246.490717592591</v>
      </c>
      <c r="F12" s="8" t="str">
        <f>Alex_ITSD_count_data!F12</f>
        <v>CalStd</v>
      </c>
      <c r="G12" s="8">
        <f>Alex_ITSD_count_data!G12</f>
        <v>7</v>
      </c>
      <c r="H12" s="8" t="str">
        <f>Alex_ITSD_count_data!H12</f>
        <v>100 ppb m16 + Al</v>
      </c>
      <c r="I12" s="17">
        <f>Alex_ITSD_count_data!M12</f>
        <v>1535866.96</v>
      </c>
      <c r="J12" s="17">
        <f>Alex_ITSD_count_data!N12</f>
        <v>1.4</v>
      </c>
      <c r="K12" s="47">
        <f t="shared" si="18"/>
        <v>1510653.6866160841</v>
      </c>
      <c r="L12" s="17">
        <f t="shared" si="20"/>
        <v>-50.806492363151285</v>
      </c>
      <c r="M12" s="17">
        <f>[2]Alex_MS_FE_AL_data!L12</f>
        <v>101.96299999999999</v>
      </c>
      <c r="N12" s="8"/>
      <c r="O12" s="8"/>
      <c r="P12" s="8"/>
      <c r="R12" s="26">
        <f>A3</f>
        <v>0</v>
      </c>
      <c r="S12" s="18"/>
      <c r="T12" s="18" t="b">
        <f t="shared" si="24"/>
        <v>0</v>
      </c>
      <c r="U12" s="18" t="str">
        <f t="shared" si="24"/>
        <v>001SMPL.d</v>
      </c>
      <c r="V12" s="19">
        <f t="shared" si="24"/>
        <v>45246.480185185188</v>
      </c>
      <c r="W12" s="18" t="str">
        <f t="shared" si="24"/>
        <v>Sample</v>
      </c>
      <c r="X12" s="18">
        <f t="shared" si="24"/>
        <v>0</v>
      </c>
      <c r="Y12" s="18" t="str">
        <f t="shared" si="24"/>
        <v>blk</v>
      </c>
      <c r="Z12" s="18">
        <f>I3</f>
        <v>17354.310000000001</v>
      </c>
      <c r="AA12" s="18">
        <f>J3</f>
        <v>1</v>
      </c>
      <c r="AB12" s="18"/>
      <c r="AC12" s="18"/>
      <c r="AD12" s="18"/>
      <c r="AE12" s="18"/>
      <c r="AF12" s="18"/>
      <c r="AG12" s="18"/>
      <c r="AH12" s="18"/>
      <c r="AI12" s="18"/>
      <c r="AJ12" s="31"/>
      <c r="AK12" s="31"/>
      <c r="AL12" s="31"/>
      <c r="AM12" s="31"/>
      <c r="AN12" t="s">
        <v>280</v>
      </c>
      <c r="AO12" s="17" cm="1">
        <f t="array" ref="AO12:AP16">LINEST(Z15:Z24,V15:V24, TRUE, TRUE)</f>
        <v>1317433.4497090529</v>
      </c>
      <c r="AP12" s="17">
        <v>-59609230228.338768</v>
      </c>
      <c r="AQ12" s="20" t="s">
        <v>281</v>
      </c>
      <c r="AT12" s="26">
        <f>R12</f>
        <v>0</v>
      </c>
      <c r="AU12" s="18"/>
      <c r="AV12" s="18" t="b">
        <f t="shared" si="26"/>
        <v>0</v>
      </c>
      <c r="AW12" s="18" t="str">
        <f t="shared" si="26"/>
        <v>001SMPL.d</v>
      </c>
      <c r="AX12" s="19">
        <f t="shared" si="26"/>
        <v>45246.480185185188</v>
      </c>
      <c r="AY12" s="18" t="str">
        <f t="shared" si="26"/>
        <v>Sample</v>
      </c>
      <c r="AZ12" s="18"/>
      <c r="BA12" s="18" t="str">
        <f t="shared" si="26"/>
        <v>blk</v>
      </c>
      <c r="BB12" s="18">
        <f>Z12-($AO$12*AT12)</f>
        <v>17354.310000000001</v>
      </c>
      <c r="BC12" s="18"/>
      <c r="BD12" s="18"/>
      <c r="BE12" s="18"/>
      <c r="BF12" s="18"/>
      <c r="BG12" s="18"/>
      <c r="BH12" s="18"/>
      <c r="BI12" s="18"/>
      <c r="BJ12" s="18"/>
      <c r="BK12" s="18"/>
      <c r="BL12" s="31"/>
      <c r="BM12" s="31"/>
      <c r="BN12" s="31"/>
      <c r="BO12" s="31"/>
      <c r="BP12" t="s">
        <v>280</v>
      </c>
      <c r="BQ12" s="17" cm="1">
        <f t="array" ref="BQ12:BR16">LINEST(BB15:BB24,AX15:AX24, TRUE, TRUE)</f>
        <v>2.1120700862108646E-10</v>
      </c>
      <c r="BR12" s="17">
        <v>-3750.7779561150564</v>
      </c>
      <c r="BS12" s="20" t="s">
        <v>281</v>
      </c>
      <c r="BU12" s="20"/>
    </row>
    <row r="13" spans="1:73" x14ac:dyDescent="0.25">
      <c r="A13" s="23">
        <f>Alex_ITSD_count_data!A13</f>
        <v>1.1689814811688848E-2</v>
      </c>
      <c r="B13" s="8" t="str">
        <f>Alex_ITSD_count_data!B13</f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C13" s="8" t="b">
        <f>Alex_ITSD_count_data!C13</f>
        <v>0</v>
      </c>
      <c r="D13" s="8" t="str">
        <f>Alex_ITSD_count_data!D13</f>
        <v>011CALS.d</v>
      </c>
      <c r="E13" s="11">
        <f>Alex_ITSD_count_data!E13</f>
        <v>45246.491875</v>
      </c>
      <c r="F13" s="8" t="str">
        <f>Alex_ITSD_count_data!F13</f>
        <v>CalStd</v>
      </c>
      <c r="G13" s="8">
        <f>Alex_ITSD_count_data!G13</f>
        <v>8</v>
      </c>
      <c r="H13" s="8" t="str">
        <f>Alex_ITSD_count_data!H13</f>
        <v>500 ppb m16 + Al</v>
      </c>
      <c r="I13" s="17">
        <f>Alex_ITSD_count_data!M13</f>
        <v>7280120.9400000004</v>
      </c>
      <c r="J13" s="17">
        <f>Alex_ITSD_count_data!N13</f>
        <v>1</v>
      </c>
      <c r="K13" s="47">
        <f t="shared" si="18"/>
        <v>7252136.9772288343</v>
      </c>
      <c r="L13" s="17">
        <f t="shared" si="20"/>
        <v>402.82104016866367</v>
      </c>
      <c r="M13" s="17">
        <f>[2]Alex_MS_FE_AL_data!L13</f>
        <v>492.74099999999999</v>
      </c>
      <c r="N13" s="8"/>
      <c r="O13" s="8"/>
      <c r="P13" s="8"/>
      <c r="R13" s="26">
        <f>A4</f>
        <v>1.1458333319751546E-3</v>
      </c>
      <c r="S13" s="18" t="str">
        <f>B4</f>
        <v>56  Fe  [ He ] :  CPS RSD value = 5.02 is over the allowed maximum = 5.00</v>
      </c>
      <c r="T13" s="18" t="b">
        <f t="shared" si="24"/>
        <v>0</v>
      </c>
      <c r="U13" s="18" t="str">
        <f t="shared" si="24"/>
        <v>002SMPL.d</v>
      </c>
      <c r="V13" s="19">
        <f t="shared" si="24"/>
        <v>45246.48133101852</v>
      </c>
      <c r="W13" s="18" t="str">
        <f t="shared" si="24"/>
        <v>Sample</v>
      </c>
      <c r="X13" s="18">
        <f t="shared" si="24"/>
        <v>0</v>
      </c>
      <c r="Y13" s="18" t="str">
        <f t="shared" si="24"/>
        <v>blk</v>
      </c>
      <c r="Z13" s="18">
        <f>I4</f>
        <v>19800.71</v>
      </c>
      <c r="AA13" s="18">
        <f>J4</f>
        <v>5</v>
      </c>
      <c r="AB13" s="18"/>
      <c r="AC13" s="18"/>
      <c r="AD13" s="18"/>
      <c r="AE13" s="18"/>
      <c r="AF13" s="18"/>
      <c r="AG13" s="18"/>
      <c r="AH13" s="18"/>
      <c r="AI13" s="18"/>
      <c r="AJ13" s="31"/>
      <c r="AK13" s="31"/>
      <c r="AL13" s="31"/>
      <c r="AM13" s="31"/>
      <c r="AN13" t="s">
        <v>286</v>
      </c>
      <c r="AO13" s="17">
        <v>359297.29419218062</v>
      </c>
      <c r="AP13" s="17">
        <v>16256966357.028381</v>
      </c>
      <c r="AQ13" t="s">
        <v>282</v>
      </c>
      <c r="AT13" s="26">
        <f t="shared" ref="AT13:AU24" si="27">R13</f>
        <v>1.1458333319751546E-3</v>
      </c>
      <c r="AU13" s="18" t="str">
        <f t="shared" si="27"/>
        <v>56  Fe  [ He ] :  CPS RSD value = 5.02 is over the allowed maximum = 5.00</v>
      </c>
      <c r="AV13" s="18" t="b">
        <f t="shared" si="26"/>
        <v>0</v>
      </c>
      <c r="AW13" s="18" t="str">
        <f t="shared" si="26"/>
        <v>002SMPL.d</v>
      </c>
      <c r="AX13" s="19">
        <f t="shared" si="26"/>
        <v>45246.48133101852</v>
      </c>
      <c r="AY13" s="18" t="str">
        <f t="shared" si="26"/>
        <v>Sample</v>
      </c>
      <c r="AZ13" s="18"/>
      <c r="BA13" s="18" t="str">
        <f t="shared" si="26"/>
        <v>blk</v>
      </c>
      <c r="BB13" s="18">
        <f t="shared" ref="BB13:BB23" si="28">Z13-($AO$12*AT13)</f>
        <v>18291.150840664352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31"/>
      <c r="BM13" s="31"/>
      <c r="BN13" s="31"/>
      <c r="BO13" s="31"/>
      <c r="BP13" t="s">
        <v>286</v>
      </c>
      <c r="BQ13" s="17">
        <v>359297.29419218062</v>
      </c>
      <c r="BR13" s="17">
        <v>16256966357.028381</v>
      </c>
      <c r="BS13" t="s">
        <v>282</v>
      </c>
      <c r="BU13" s="20"/>
    </row>
    <row r="14" spans="1:73" x14ac:dyDescent="0.25">
      <c r="A14" s="23">
        <f>Alex_ITSD_count_data!A14</f>
        <v>1.2847222220443655E-2</v>
      </c>
      <c r="B14" s="8" t="str">
        <f>Alex_ITSD_count_data!B14</f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C14" s="8" t="b">
        <f>Alex_ITSD_count_data!C14</f>
        <v>0</v>
      </c>
      <c r="D14" s="8" t="str">
        <f>Alex_ITSD_count_data!D14</f>
        <v>012CALS.d</v>
      </c>
      <c r="E14" s="11">
        <f>Alex_ITSD_count_data!E14</f>
        <v>45246.493032407408</v>
      </c>
      <c r="F14" s="8" t="str">
        <f>Alex_ITSD_count_data!F14</f>
        <v>CalStd</v>
      </c>
      <c r="G14" s="8">
        <f>Alex_ITSD_count_data!G14</f>
        <v>9</v>
      </c>
      <c r="H14" s="8" t="str">
        <f>Alex_ITSD_count_data!H14</f>
        <v>1000 ppb m16 + Al</v>
      </c>
      <c r="I14" s="17">
        <f>Alex_ITSD_count_data!M14</f>
        <v>14282137.699999999</v>
      </c>
      <c r="J14" s="17">
        <f>Alex_ITSD_count_data!N14</f>
        <v>2.2999999999999998</v>
      </c>
      <c r="K14" s="47">
        <f t="shared" si="18"/>
        <v>14251383.047841582</v>
      </c>
      <c r="L14" s="17">
        <f t="shared" si="20"/>
        <v>955.77493055099887</v>
      </c>
      <c r="M14" s="17">
        <f>[2]Alex_MS_FE_AL_data!L14</f>
        <v>969.08299999999997</v>
      </c>
      <c r="N14" s="8"/>
      <c r="O14" s="8"/>
      <c r="P14" s="8"/>
      <c r="R14" s="26">
        <f>A5</f>
        <v>2.3263888870133087E-3</v>
      </c>
      <c r="S14" s="18"/>
      <c r="T14" s="18" t="b">
        <f t="shared" si="24"/>
        <v>0</v>
      </c>
      <c r="U14" s="18" t="str">
        <f t="shared" si="24"/>
        <v>003SMPL.d</v>
      </c>
      <c r="V14" s="19">
        <f t="shared" si="24"/>
        <v>45246.482511574075</v>
      </c>
      <c r="W14" s="18" t="str">
        <f t="shared" si="24"/>
        <v>Sample</v>
      </c>
      <c r="X14" s="18">
        <f t="shared" si="24"/>
        <v>0</v>
      </c>
      <c r="Y14" s="18" t="str">
        <f t="shared" si="24"/>
        <v>blk</v>
      </c>
      <c r="Z14" s="18">
        <f>I5</f>
        <v>16036.1</v>
      </c>
      <c r="AA14" s="18">
        <f>J5</f>
        <v>1.6</v>
      </c>
      <c r="AB14" s="18"/>
      <c r="AC14" s="18"/>
      <c r="AD14" s="18"/>
      <c r="AE14" s="18"/>
      <c r="AF14" s="18"/>
      <c r="AG14" s="18"/>
      <c r="AH14" s="18"/>
      <c r="AI14" s="18"/>
      <c r="AJ14" s="31"/>
      <c r="AK14" s="31"/>
      <c r="AL14" s="31"/>
      <c r="AM14" s="31"/>
      <c r="AN14" t="s">
        <v>277</v>
      </c>
      <c r="AO14" s="17">
        <v>0.62694656918657299</v>
      </c>
      <c r="AP14" s="17">
        <v>43321.533938445013</v>
      </c>
      <c r="AQ14" t="s">
        <v>285</v>
      </c>
      <c r="AT14" s="26">
        <f t="shared" si="27"/>
        <v>2.3263888870133087E-3</v>
      </c>
      <c r="AU14" s="18"/>
      <c r="AV14" s="18" t="b">
        <f t="shared" si="26"/>
        <v>0</v>
      </c>
      <c r="AW14" s="18" t="str">
        <f t="shared" si="26"/>
        <v>003SMPL.d</v>
      </c>
      <c r="AX14" s="19">
        <f t="shared" si="26"/>
        <v>45246.482511574075</v>
      </c>
      <c r="AY14" s="18" t="str">
        <f t="shared" si="26"/>
        <v>Sample</v>
      </c>
      <c r="AZ14" s="18"/>
      <c r="BA14" s="18" t="str">
        <f t="shared" si="26"/>
        <v>blk</v>
      </c>
      <c r="BB14" s="18">
        <f t="shared" si="28"/>
        <v>12971.237463217252</v>
      </c>
      <c r="BC14" s="18"/>
      <c r="BD14" s="18"/>
      <c r="BE14" s="18"/>
      <c r="BF14" s="18"/>
      <c r="BG14" s="18"/>
      <c r="BH14" s="18"/>
      <c r="BI14" s="18"/>
      <c r="BJ14" s="18"/>
      <c r="BK14" s="18"/>
      <c r="BL14" s="31"/>
      <c r="BM14" s="31"/>
      <c r="BN14" s="31"/>
      <c r="BO14" s="31"/>
      <c r="BP14" t="s">
        <v>277</v>
      </c>
      <c r="BQ14" s="17">
        <v>0</v>
      </c>
      <c r="BR14" s="17">
        <v>43321.533938445013</v>
      </c>
      <c r="BS14" t="s">
        <v>285</v>
      </c>
      <c r="BU14" s="20"/>
    </row>
    <row r="15" spans="1:73" x14ac:dyDescent="0.25">
      <c r="A15" s="23">
        <f>Alex_ITSD_count_data!A15</f>
        <v>1.395833332935581E-2</v>
      </c>
      <c r="B15" s="8" t="str">
        <f>Alex_ITSD_count_data!B15</f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C15" s="8" t="b">
        <f>Alex_ITSD_count_data!C15</f>
        <v>0</v>
      </c>
      <c r="D15" s="8" t="str">
        <f>Alex_ITSD_count_data!D15</f>
        <v>013SMPL.d</v>
      </c>
      <c r="E15" s="11">
        <f>Alex_ITSD_count_data!E15</f>
        <v>45246.494143518517</v>
      </c>
      <c r="F15" s="8" t="str">
        <f>Alex_ITSD_count_data!F15</f>
        <v>Sample</v>
      </c>
      <c r="G15" s="8">
        <f>Alex_ITSD_count_data!G15</f>
        <v>0</v>
      </c>
      <c r="H15" s="40" t="str">
        <f>Alex_ITSD_count_data!H15</f>
        <v>blk</v>
      </c>
      <c r="I15" s="43">
        <f>Alex_ITSD_count_data!M15</f>
        <v>12582.58</v>
      </c>
      <c r="J15" s="43">
        <f>Alex_ITSD_count_data!N15</f>
        <v>3.9</v>
      </c>
      <c r="K15" s="48">
        <f t="shared" si="18"/>
        <v>-20831.933961815994</v>
      </c>
      <c r="L15" s="43">
        <f t="shared" si="20"/>
        <v>-171.10126641902536</v>
      </c>
      <c r="M15" s="43" t="str">
        <f>[2]Alex_MS_FE_AL_data!L17</f>
        <v>&lt;0.000</v>
      </c>
      <c r="N15" s="8"/>
      <c r="O15" s="8"/>
      <c r="P15" s="8"/>
      <c r="R15" s="23">
        <f t="shared" ref="R15:AA15" si="29">A15</f>
        <v>1.395833332935581E-2</v>
      </c>
      <c r="S15" s="8" t="str">
        <f t="shared" si="29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T15" s="8" t="b">
        <f t="shared" si="29"/>
        <v>0</v>
      </c>
      <c r="U15" s="8" t="str">
        <f t="shared" si="29"/>
        <v>013SMPL.d</v>
      </c>
      <c r="V15" s="11">
        <f t="shared" si="29"/>
        <v>45246.494143518517</v>
      </c>
      <c r="W15" s="8" t="str">
        <f t="shared" si="29"/>
        <v>Sample</v>
      </c>
      <c r="X15" s="8">
        <f t="shared" si="29"/>
        <v>0</v>
      </c>
      <c r="Y15" s="8" t="str">
        <f t="shared" si="29"/>
        <v>blk</v>
      </c>
      <c r="Z15" s="8">
        <f t="shared" si="29"/>
        <v>12582.58</v>
      </c>
      <c r="AA15" s="8">
        <f t="shared" si="29"/>
        <v>3.9</v>
      </c>
      <c r="AB15" s="8">
        <f>AVERAGE(Z15:Z24)</f>
        <v>100584.15700000001</v>
      </c>
      <c r="AC15" s="8">
        <f>1.2*AB15</f>
        <v>120700.9884</v>
      </c>
      <c r="AD15" s="8">
        <f>0.8*AB15</f>
        <v>80467.325600000011</v>
      </c>
      <c r="AE15" s="8">
        <f>1.1*AB15</f>
        <v>110642.57270000002</v>
      </c>
      <c r="AF15" s="8">
        <f>0.9*AB15</f>
        <v>90525.741300000009</v>
      </c>
      <c r="AG15" s="8">
        <f>STDEV(Z15:Z24)</f>
        <v>66871.650961156294</v>
      </c>
      <c r="AH15" s="8">
        <f>AG15/AB15 * 100</f>
        <v>66.483284202656577</v>
      </c>
      <c r="AI15" s="8">
        <f>MAX(Z15:Z24)-MIN(Z15:Z24)</f>
        <v>182712.08000000002</v>
      </c>
      <c r="AJ15" s="8">
        <f>AE15+AG15</f>
        <v>177514.22366115631</v>
      </c>
      <c r="AK15" s="8">
        <f>AB15-AG15</f>
        <v>33712.506038843712</v>
      </c>
      <c r="AL15" s="8">
        <f>AB15+2*AG15</f>
        <v>234327.45892231259</v>
      </c>
      <c r="AM15" s="8">
        <f>AB15-2*AG15</f>
        <v>-33159.144922312582</v>
      </c>
      <c r="AN15" t="s">
        <v>278</v>
      </c>
      <c r="AO15" s="17">
        <v>13.444649316202087</v>
      </c>
      <c r="AP15" s="17">
        <v>8</v>
      </c>
      <c r="AQ15" t="s">
        <v>283</v>
      </c>
      <c r="AT15" s="23">
        <f t="shared" si="27"/>
        <v>1.395833332935581E-2</v>
      </c>
      <c r="AU15" s="8" t="str">
        <f t="shared" si="27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AV15" s="8" t="b">
        <f t="shared" si="26"/>
        <v>0</v>
      </c>
      <c r="AW15" s="8" t="str">
        <f t="shared" si="26"/>
        <v>013SMPL.d</v>
      </c>
      <c r="AX15" s="11">
        <f t="shared" si="26"/>
        <v>45246.494143518517</v>
      </c>
      <c r="AY15" s="8" t="str">
        <f t="shared" si="26"/>
        <v>Sample</v>
      </c>
      <c r="AZ15" s="8">
        <f t="shared" si="26"/>
        <v>0</v>
      </c>
      <c r="BA15" s="8" t="str">
        <f t="shared" si="26"/>
        <v>blk</v>
      </c>
      <c r="BB15" s="8">
        <f t="shared" si="28"/>
        <v>-5806.5952302820751</v>
      </c>
      <c r="BC15" s="8"/>
      <c r="BD15" s="8">
        <f>AVERAGE(BB15:BB24)</f>
        <v>-3750.7779465586659</v>
      </c>
      <c r="BE15" s="8">
        <f>1.2*BD15</f>
        <v>-4500.9335358703993</v>
      </c>
      <c r="BF15" s="8">
        <f>0.8*BD15</f>
        <v>-3000.622357246933</v>
      </c>
      <c r="BG15" s="8">
        <f>1.1*BD15</f>
        <v>-4125.8557412145328</v>
      </c>
      <c r="BH15" s="8">
        <f>0.9*BD15</f>
        <v>-3375.7001519027995</v>
      </c>
      <c r="BI15" s="8">
        <f>STDEV(BB15:BB24)</f>
        <v>40843.933892370173</v>
      </c>
      <c r="BJ15" s="8">
        <f>BI15/BD15 * 100</f>
        <v>-1088.9456660542762</v>
      </c>
      <c r="BK15" s="8">
        <f>MAX(BB15:BB24)-MIN(BB15:BB24)</f>
        <v>128215.40347741316</v>
      </c>
      <c r="BL15" s="8">
        <f>BG15+BI15</f>
        <v>36718.078151155642</v>
      </c>
      <c r="BM15" s="8">
        <f>BD15-BI15</f>
        <v>-44594.711838928837</v>
      </c>
      <c r="BN15" s="8">
        <f>BD15+2*BI15</f>
        <v>77937.089838181681</v>
      </c>
      <c r="BO15" s="8">
        <f>BD15-2*BI15</f>
        <v>-85438.64573129901</v>
      </c>
      <c r="BP15" t="s">
        <v>278</v>
      </c>
      <c r="BQ15" s="17">
        <v>0</v>
      </c>
      <c r="BR15" s="17">
        <v>8</v>
      </c>
      <c r="BS15" t="s">
        <v>283</v>
      </c>
      <c r="BU15" s="20"/>
    </row>
    <row r="16" spans="1:73" x14ac:dyDescent="0.25">
      <c r="A16" s="23">
        <f>Alex_ITSD_count_data!A16</f>
        <v>1.5127314814890269E-2</v>
      </c>
      <c r="B16" s="8" t="str">
        <f>Alex_ITSD_count_data!B16</f>
        <v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v>
      </c>
      <c r="C16" s="8" t="b">
        <f>Alex_ITSD_count_data!C16</f>
        <v>0</v>
      </c>
      <c r="D16" s="8" t="str">
        <f>Alex_ITSD_count_data!D16</f>
        <v>014SMPL.d</v>
      </c>
      <c r="E16" s="11">
        <f>Alex_ITSD_count_data!E16</f>
        <v>45246.495312500003</v>
      </c>
      <c r="F16" s="8" t="str">
        <f>Alex_ITSD_count_data!F16</f>
        <v>Sample</v>
      </c>
      <c r="G16" s="8">
        <f>Alex_ITSD_count_data!G16</f>
        <v>0</v>
      </c>
      <c r="H16" s="8" t="str">
        <f>Alex_ITSD_count_data!H16</f>
        <v>m6 x100 x100</v>
      </c>
      <c r="I16" s="17">
        <f>Alex_ITSD_count_data!M16</f>
        <v>173578.07</v>
      </c>
      <c r="J16" s="17">
        <f>Alex_ITSD_count_data!N16</f>
        <v>1.3</v>
      </c>
      <c r="K16" s="47">
        <f t="shared" si="18"/>
        <v>137365.15975061676</v>
      </c>
      <c r="L16" s="17">
        <f t="shared" si="20"/>
        <v>-158.38734618991836</v>
      </c>
      <c r="M16" s="17">
        <f>[2]Alex_MS_FE_AL_data!L18</f>
        <v>9.2880000000000003</v>
      </c>
      <c r="N16" s="8"/>
      <c r="O16" s="8"/>
      <c r="P16" s="8"/>
      <c r="R16" s="23">
        <f t="shared" ref="R16:AA16" si="30">A17</f>
        <v>2.880787036701804E-2</v>
      </c>
      <c r="S16" s="8" t="str">
        <f t="shared" si="30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T16" s="8" t="b">
        <f t="shared" si="30"/>
        <v>0</v>
      </c>
      <c r="U16" s="8" t="str">
        <f t="shared" si="30"/>
        <v>015SMPL.d</v>
      </c>
      <c r="V16" s="11">
        <f t="shared" si="30"/>
        <v>45246.508993055555</v>
      </c>
      <c r="W16" s="8" t="str">
        <f t="shared" si="30"/>
        <v>Sample</v>
      </c>
      <c r="X16" s="8">
        <f t="shared" si="30"/>
        <v>0</v>
      </c>
      <c r="Y16" s="8" t="str">
        <f t="shared" si="30"/>
        <v>blk</v>
      </c>
      <c r="Z16" s="8">
        <f t="shared" si="30"/>
        <v>13316.49</v>
      </c>
      <c r="AA16" s="8">
        <f t="shared" si="30"/>
        <v>1.5</v>
      </c>
      <c r="AB16" s="8">
        <f t="shared" ref="AB16:AM16" si="31">AB$15</f>
        <v>100584.15700000001</v>
      </c>
      <c r="AC16" s="8">
        <f t="shared" si="31"/>
        <v>120700.9884</v>
      </c>
      <c r="AD16" s="8">
        <f t="shared" si="31"/>
        <v>80467.325600000011</v>
      </c>
      <c r="AE16" s="8">
        <f t="shared" si="31"/>
        <v>110642.57270000002</v>
      </c>
      <c r="AF16" s="8">
        <f t="shared" si="31"/>
        <v>90525.741300000009</v>
      </c>
      <c r="AG16" s="8">
        <f t="shared" si="31"/>
        <v>66871.650961156294</v>
      </c>
      <c r="AH16" s="8">
        <f t="shared" si="31"/>
        <v>66.483284202656577</v>
      </c>
      <c r="AI16" s="8">
        <f t="shared" si="31"/>
        <v>182712.08000000002</v>
      </c>
      <c r="AJ16" s="8">
        <f t="shared" si="31"/>
        <v>177514.22366115631</v>
      </c>
      <c r="AK16" s="8">
        <f t="shared" si="31"/>
        <v>33712.506038843712</v>
      </c>
      <c r="AL16" s="8">
        <f t="shared" si="31"/>
        <v>234327.45892231259</v>
      </c>
      <c r="AM16" s="8">
        <f t="shared" si="31"/>
        <v>-33159.144922312582</v>
      </c>
      <c r="AN16" t="s">
        <v>279</v>
      </c>
      <c r="AO16" s="17">
        <v>25232316898.197662</v>
      </c>
      <c r="AP16" s="17">
        <v>15014042422.238747</v>
      </c>
      <c r="AQ16" t="s">
        <v>284</v>
      </c>
      <c r="AT16" s="23">
        <f t="shared" si="27"/>
        <v>2.880787036701804E-2</v>
      </c>
      <c r="AU16" s="8" t="str">
        <f t="shared" si="27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AV16" s="8" t="b">
        <f t="shared" si="26"/>
        <v>0</v>
      </c>
      <c r="AW16" s="8" t="str">
        <f t="shared" si="26"/>
        <v>015SMPL.d</v>
      </c>
      <c r="AX16" s="11">
        <f t="shared" si="26"/>
        <v>45246.508993055555</v>
      </c>
      <c r="AY16" s="8" t="str">
        <f t="shared" si="26"/>
        <v>Sample</v>
      </c>
      <c r="AZ16" s="8">
        <f t="shared" si="26"/>
        <v>0</v>
      </c>
      <c r="BA16" s="8" t="str">
        <f t="shared" si="26"/>
        <v>blk</v>
      </c>
      <c r="BB16" s="8">
        <f t="shared" si="28"/>
        <v>-24635.962036391778</v>
      </c>
      <c r="BC16" s="8"/>
      <c r="BD16" s="8">
        <f>BD$15</f>
        <v>-3750.7779465586659</v>
      </c>
      <c r="BE16" s="8">
        <f t="shared" ref="BE16:BO24" si="32">BE$15</f>
        <v>-4500.9335358703993</v>
      </c>
      <c r="BF16" s="8">
        <f t="shared" si="32"/>
        <v>-3000.622357246933</v>
      </c>
      <c r="BG16" s="8">
        <f t="shared" si="32"/>
        <v>-4125.8557412145328</v>
      </c>
      <c r="BH16" s="8">
        <f t="shared" si="32"/>
        <v>-3375.7001519027995</v>
      </c>
      <c r="BI16" s="8">
        <f t="shared" si="32"/>
        <v>40843.933892370173</v>
      </c>
      <c r="BJ16" s="8">
        <f t="shared" si="32"/>
        <v>-1088.9456660542762</v>
      </c>
      <c r="BK16" s="8">
        <f t="shared" si="32"/>
        <v>128215.40347741316</v>
      </c>
      <c r="BL16" s="8">
        <f t="shared" si="32"/>
        <v>36718.078151155642</v>
      </c>
      <c r="BM16" s="8">
        <f t="shared" si="32"/>
        <v>-44594.711838928837</v>
      </c>
      <c r="BN16" s="8">
        <f t="shared" si="32"/>
        <v>77937.089838181681</v>
      </c>
      <c r="BO16" s="8">
        <f t="shared" si="32"/>
        <v>-85438.64573129901</v>
      </c>
      <c r="BP16" t="s">
        <v>279</v>
      </c>
      <c r="BQ16" s="17">
        <v>0</v>
      </c>
      <c r="BR16" s="17">
        <v>15014042422.238747</v>
      </c>
      <c r="BS16" t="s">
        <v>284</v>
      </c>
      <c r="BU16" s="20"/>
    </row>
    <row r="17" spans="1:67" x14ac:dyDescent="0.25">
      <c r="A17" s="23">
        <f>Alex_ITSD_count_data!A17</f>
        <v>2.880787036701804E-2</v>
      </c>
      <c r="B17" s="8" t="str">
        <f>Alex_ITSD_count_data!B17</f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C17" s="8" t="b">
        <f>Alex_ITSD_count_data!C17</f>
        <v>0</v>
      </c>
      <c r="D17" s="8" t="str">
        <f>Alex_ITSD_count_data!D17</f>
        <v>015SMPL.d</v>
      </c>
      <c r="E17" s="11">
        <f>Alex_ITSD_count_data!E17</f>
        <v>45246.508993055555</v>
      </c>
      <c r="F17" s="8" t="str">
        <f>Alex_ITSD_count_data!F17</f>
        <v>Sample</v>
      </c>
      <c r="G17" s="8">
        <f>Alex_ITSD_count_data!G17</f>
        <v>0</v>
      </c>
      <c r="H17" s="40" t="str">
        <f>Alex_ITSD_count_data!H17</f>
        <v>blk</v>
      </c>
      <c r="I17" s="43">
        <f>Alex_ITSD_count_data!M17</f>
        <v>13316.49</v>
      </c>
      <c r="J17" s="43">
        <f>Alex_ITSD_count_data!N17</f>
        <v>1.5</v>
      </c>
      <c r="K17" s="48">
        <f t="shared" si="18"/>
        <v>-55645.968760349329</v>
      </c>
      <c r="L17" s="43">
        <f t="shared" si="20"/>
        <v>-171.04330906136681</v>
      </c>
      <c r="M17" s="43" t="str">
        <f>[2]Alex_MS_FE_AL_data!L19</f>
        <v>&lt;0.000</v>
      </c>
      <c r="N17" s="8"/>
      <c r="O17" s="8"/>
      <c r="P17" s="8"/>
      <c r="R17" s="23">
        <f t="shared" ref="R17:AA17" si="33">A28</f>
        <v>4.1238425925257616E-2</v>
      </c>
      <c r="S17" s="8" t="str">
        <f t="shared" si="33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T17" s="8" t="b">
        <f t="shared" si="33"/>
        <v>0</v>
      </c>
      <c r="U17" s="8" t="str">
        <f t="shared" si="33"/>
        <v>026SMPL.d</v>
      </c>
      <c r="V17" s="11">
        <f t="shared" si="33"/>
        <v>45246.521423611113</v>
      </c>
      <c r="W17" s="8" t="str">
        <f t="shared" si="33"/>
        <v>Sample</v>
      </c>
      <c r="X17" s="8">
        <f t="shared" si="33"/>
        <v>0</v>
      </c>
      <c r="Y17" s="8" t="str">
        <f t="shared" si="33"/>
        <v xml:space="preserve">blk </v>
      </c>
      <c r="Z17" s="8">
        <f t="shared" si="33"/>
        <v>73514.63</v>
      </c>
      <c r="AA17" s="8">
        <f t="shared" si="33"/>
        <v>2.8</v>
      </c>
      <c r="AB17" s="8">
        <f t="shared" ref="AB17:AI24" si="34">AB$15</f>
        <v>100584.15700000001</v>
      </c>
      <c r="AC17" s="8">
        <f t="shared" si="34"/>
        <v>120700.9884</v>
      </c>
      <c r="AD17" s="8">
        <f t="shared" si="34"/>
        <v>80467.325600000011</v>
      </c>
      <c r="AE17" s="8">
        <f t="shared" si="34"/>
        <v>110642.57270000002</v>
      </c>
      <c r="AF17" s="8">
        <f t="shared" si="34"/>
        <v>90525.741300000009</v>
      </c>
      <c r="AG17" s="8">
        <f t="shared" si="34"/>
        <v>66871.650961156294</v>
      </c>
      <c r="AH17" s="8">
        <f t="shared" si="34"/>
        <v>66.483284202656577</v>
      </c>
      <c r="AI17" s="8">
        <f t="shared" si="34"/>
        <v>182712.08000000002</v>
      </c>
      <c r="AJ17" s="8">
        <f t="shared" ref="AJ17:AM24" si="35">AJ$15</f>
        <v>177514.22366115631</v>
      </c>
      <c r="AK17" s="8">
        <f t="shared" si="35"/>
        <v>33712.506038843712</v>
      </c>
      <c r="AL17" s="8">
        <f t="shared" si="35"/>
        <v>234327.45892231259</v>
      </c>
      <c r="AM17" s="8">
        <f t="shared" si="35"/>
        <v>-33159.144922312582</v>
      </c>
      <c r="AT17" s="23">
        <f t="shared" si="27"/>
        <v>4.1238425925257616E-2</v>
      </c>
      <c r="AU17" s="8" t="str">
        <f t="shared" si="27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AV17" s="8" t="b">
        <f t="shared" si="26"/>
        <v>0</v>
      </c>
      <c r="AW17" s="8" t="str">
        <f t="shared" si="26"/>
        <v>026SMPL.d</v>
      </c>
      <c r="AX17" s="11">
        <f t="shared" si="26"/>
        <v>45246.521423611113</v>
      </c>
      <c r="AY17" s="8" t="str">
        <f t="shared" si="26"/>
        <v>Sample</v>
      </c>
      <c r="AZ17" s="8">
        <f t="shared" si="26"/>
        <v>0</v>
      </c>
      <c r="BA17" s="8" t="str">
        <f t="shared" si="26"/>
        <v xml:space="preserve">blk </v>
      </c>
      <c r="BB17" s="8">
        <f t="shared" si="28"/>
        <v>19185.748272716621</v>
      </c>
      <c r="BC17" s="8"/>
      <c r="BD17" s="8">
        <f t="shared" ref="BD17:BD24" si="36">BD$15</f>
        <v>-3750.7779465586659</v>
      </c>
      <c r="BE17" s="8">
        <f t="shared" si="32"/>
        <v>-4500.9335358703993</v>
      </c>
      <c r="BF17" s="8">
        <f t="shared" si="32"/>
        <v>-3000.622357246933</v>
      </c>
      <c r="BG17" s="8">
        <f t="shared" si="32"/>
        <v>-4125.8557412145328</v>
      </c>
      <c r="BH17" s="8">
        <f t="shared" si="32"/>
        <v>-3375.7001519027995</v>
      </c>
      <c r="BI17" s="8">
        <f t="shared" si="32"/>
        <v>40843.933892370173</v>
      </c>
      <c r="BJ17" s="8">
        <f t="shared" si="32"/>
        <v>-1088.9456660542762</v>
      </c>
      <c r="BK17" s="8">
        <f t="shared" si="32"/>
        <v>128215.40347741316</v>
      </c>
      <c r="BL17" s="8">
        <f t="shared" si="32"/>
        <v>36718.078151155642</v>
      </c>
      <c r="BM17" s="8">
        <f t="shared" si="32"/>
        <v>-44594.711838928837</v>
      </c>
      <c r="BN17" s="8">
        <f t="shared" si="32"/>
        <v>77937.089838181681</v>
      </c>
      <c r="BO17" s="8">
        <f t="shared" si="32"/>
        <v>-85438.64573129901</v>
      </c>
    </row>
    <row r="18" spans="1:67" x14ac:dyDescent="0.25">
      <c r="A18" s="23">
        <f>Alex_ITSD_count_data!A18</f>
        <v>2.9930555552709848E-2</v>
      </c>
      <c r="B18" s="8" t="str">
        <f>Alex_ITSD_count_data!B18</f>
        <v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v>
      </c>
      <c r="C18" s="8" t="b">
        <f>Alex_ITSD_count_data!C18</f>
        <v>0</v>
      </c>
      <c r="D18" s="8" t="str">
        <f>Alex_ITSD_count_data!D18</f>
        <v>016SMPL.d</v>
      </c>
      <c r="E18" s="11">
        <f>Alex_ITSD_count_data!E18</f>
        <v>45246.510115740741</v>
      </c>
      <c r="F18" s="8" t="str">
        <f>Alex_ITSD_count_data!F18</f>
        <v>Sample</v>
      </c>
      <c r="G18" s="8">
        <f>Alex_ITSD_count_data!G18</f>
        <v>0</v>
      </c>
      <c r="H18" s="8" t="str">
        <f>Alex_ITSD_count_data!H18</f>
        <v>0-10-T</v>
      </c>
      <c r="I18" s="17">
        <f>Alex_ITSD_count_data!M18</f>
        <v>10692970.26</v>
      </c>
      <c r="J18" s="17">
        <f>Alex_ITSD_count_data!N18</f>
        <v>0.4</v>
      </c>
      <c r="K18" s="47">
        <f t="shared" si="18"/>
        <v>10621320.232535934</v>
      </c>
      <c r="L18" s="17">
        <f t="shared" si="20"/>
        <v>672.3360061372266</v>
      </c>
      <c r="M18" s="17">
        <f>[2]Alex_MS_FE_AL_data!L20</f>
        <v>724.91499999999996</v>
      </c>
      <c r="N18" s="8">
        <v>5</v>
      </c>
      <c r="O18" s="17">
        <f>IF(L18 &lt; $S$44, "NA", N18*L18)</f>
        <v>3361.6800306861333</v>
      </c>
      <c r="P18" s="17">
        <f>IF(M18 &lt; $S$45, "NA", N18*M18)</f>
        <v>3624.5749999999998</v>
      </c>
      <c r="R18" s="23">
        <f t="shared" ref="R18:AA18" si="37">A40</f>
        <v>6.3530092593282461E-2</v>
      </c>
      <c r="S18" s="8" t="str">
        <f t="shared" si="37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T18" s="8" t="b">
        <f t="shared" si="37"/>
        <v>0</v>
      </c>
      <c r="U18" s="8" t="str">
        <f t="shared" si="37"/>
        <v>038SMPL.d</v>
      </c>
      <c r="V18" s="11">
        <f t="shared" si="37"/>
        <v>45246.543715277781</v>
      </c>
      <c r="W18" s="8" t="str">
        <f t="shared" si="37"/>
        <v>Sample</v>
      </c>
      <c r="X18" s="8">
        <f t="shared" si="37"/>
        <v>0</v>
      </c>
      <c r="Y18" s="8" t="str">
        <f t="shared" si="37"/>
        <v xml:space="preserve">blk </v>
      </c>
      <c r="Z18" s="8">
        <f t="shared" si="37"/>
        <v>71993.009999999995</v>
      </c>
      <c r="AA18" s="8">
        <f t="shared" si="37"/>
        <v>2.8</v>
      </c>
      <c r="AB18" s="8">
        <f t="shared" si="34"/>
        <v>100584.15700000001</v>
      </c>
      <c r="AC18" s="8">
        <f t="shared" si="34"/>
        <v>120700.9884</v>
      </c>
      <c r="AD18" s="8">
        <f t="shared" si="34"/>
        <v>80467.325600000011</v>
      </c>
      <c r="AE18" s="8">
        <f t="shared" si="34"/>
        <v>110642.57270000002</v>
      </c>
      <c r="AF18" s="8">
        <f t="shared" si="34"/>
        <v>90525.741300000009</v>
      </c>
      <c r="AG18" s="8">
        <f t="shared" si="34"/>
        <v>66871.650961156294</v>
      </c>
      <c r="AH18" s="8">
        <f t="shared" si="34"/>
        <v>66.483284202656577</v>
      </c>
      <c r="AI18" s="8">
        <f t="shared" si="34"/>
        <v>182712.08000000002</v>
      </c>
      <c r="AJ18" s="8">
        <f t="shared" si="35"/>
        <v>177514.22366115631</v>
      </c>
      <c r="AK18" s="8">
        <f t="shared" si="35"/>
        <v>33712.506038843712</v>
      </c>
      <c r="AL18" s="8">
        <f t="shared" si="35"/>
        <v>234327.45892231259</v>
      </c>
      <c r="AM18" s="8">
        <f t="shared" si="35"/>
        <v>-33159.144922312582</v>
      </c>
      <c r="AT18" s="23">
        <f t="shared" si="27"/>
        <v>6.3530092593282461E-2</v>
      </c>
      <c r="AU18" s="8" t="str">
        <f t="shared" si="27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AV18" s="8" t="b">
        <f t="shared" si="26"/>
        <v>0</v>
      </c>
      <c r="AW18" s="8" t="str">
        <f t="shared" si="26"/>
        <v>038SMPL.d</v>
      </c>
      <c r="AX18" s="11">
        <f t="shared" si="26"/>
        <v>45246.543715277781</v>
      </c>
      <c r="AY18" s="8" t="str">
        <f t="shared" si="26"/>
        <v>Sample</v>
      </c>
      <c r="AZ18" s="8">
        <f t="shared" si="26"/>
        <v>0</v>
      </c>
      <c r="BA18" s="8" t="str">
        <f t="shared" si="26"/>
        <v xml:space="preserve">blk </v>
      </c>
      <c r="BB18" s="8">
        <f t="shared" si="28"/>
        <v>-11703.659045503664</v>
      </c>
      <c r="BC18" s="8"/>
      <c r="BD18" s="8">
        <f t="shared" si="36"/>
        <v>-3750.7779465586659</v>
      </c>
      <c r="BE18" s="8">
        <f t="shared" si="32"/>
        <v>-4500.9335358703993</v>
      </c>
      <c r="BF18" s="8">
        <f t="shared" si="32"/>
        <v>-3000.622357246933</v>
      </c>
      <c r="BG18" s="8">
        <f t="shared" si="32"/>
        <v>-4125.8557412145328</v>
      </c>
      <c r="BH18" s="8">
        <f t="shared" si="32"/>
        <v>-3375.7001519027995</v>
      </c>
      <c r="BI18" s="8">
        <f t="shared" si="32"/>
        <v>40843.933892370173</v>
      </c>
      <c r="BJ18" s="8">
        <f t="shared" si="32"/>
        <v>-1088.9456660542762</v>
      </c>
      <c r="BK18" s="8">
        <f t="shared" si="32"/>
        <v>128215.40347741316</v>
      </c>
      <c r="BL18" s="8">
        <f t="shared" si="32"/>
        <v>36718.078151155642</v>
      </c>
      <c r="BM18" s="8">
        <f t="shared" si="32"/>
        <v>-44594.711838928837</v>
      </c>
      <c r="BN18" s="8">
        <f t="shared" si="32"/>
        <v>77937.089838181681</v>
      </c>
      <c r="BO18" s="8">
        <f t="shared" si="32"/>
        <v>-85438.64573129901</v>
      </c>
    </row>
    <row r="19" spans="1:67" x14ac:dyDescent="0.25">
      <c r="A19" s="23">
        <f>Alex_ITSD_count_data!A19</f>
        <v>3.1076388884685002E-2</v>
      </c>
      <c r="B19" s="8" t="str">
        <f>Alex_ITSD_count_data!B19</f>
        <v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v>
      </c>
      <c r="C19" s="8" t="b">
        <f>Alex_ITSD_count_data!C19</f>
        <v>0</v>
      </c>
      <c r="D19" s="8" t="str">
        <f>Alex_ITSD_count_data!D19</f>
        <v>017SMPL.d</v>
      </c>
      <c r="E19" s="11">
        <f>Alex_ITSD_count_data!E19</f>
        <v>45246.511261574073</v>
      </c>
      <c r="F19" s="8" t="str">
        <f>Alex_ITSD_count_data!F19</f>
        <v>Sample</v>
      </c>
      <c r="G19" s="8">
        <f>Alex_ITSD_count_data!G19</f>
        <v>0</v>
      </c>
      <c r="H19" s="8" t="str">
        <f>Alex_ITSD_count_data!H19</f>
        <v>0-20-T</v>
      </c>
      <c r="I19" s="17">
        <f>Alex_ITSD_count_data!M19</f>
        <v>24942317.129999999</v>
      </c>
      <c r="J19" s="17">
        <f>Alex_ITSD_count_data!N19</f>
        <v>2.2000000000000002</v>
      </c>
      <c r="K19" s="47">
        <f t="shared" si="18"/>
        <v>24867924.120049</v>
      </c>
      <c r="L19" s="17">
        <f t="shared" si="20"/>
        <v>1797.6163442513919</v>
      </c>
      <c r="M19" s="17">
        <f>[2]Alex_MS_FE_AL_data!L21</f>
        <v>1694.288</v>
      </c>
      <c r="N19" s="8">
        <v>5</v>
      </c>
      <c r="O19" s="17">
        <f t="shared" ref="O19:O27" si="38">IF(L19 &lt; $S$44, "NA", N19*L19)</f>
        <v>8988.08172125696</v>
      </c>
      <c r="P19" s="17">
        <f t="shared" ref="P19:P27" si="39">IF(M19 &lt; $S$45, "NA", N19*M19)</f>
        <v>8471.44</v>
      </c>
      <c r="R19" s="23">
        <f t="shared" ref="R19:AA19" si="40">A52</f>
        <v>8.0856481479713693E-2</v>
      </c>
      <c r="S19" s="8" t="str">
        <f t="shared" si="40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T19" s="8" t="b">
        <f t="shared" si="40"/>
        <v>0</v>
      </c>
      <c r="U19" s="8" t="str">
        <f t="shared" si="40"/>
        <v>050SMPL.d</v>
      </c>
      <c r="V19" s="11">
        <f t="shared" si="40"/>
        <v>45246.561041666668</v>
      </c>
      <c r="W19" s="8" t="str">
        <f t="shared" si="40"/>
        <v>Sample</v>
      </c>
      <c r="X19" s="8">
        <f t="shared" si="40"/>
        <v>0</v>
      </c>
      <c r="Y19" s="8" t="str">
        <f t="shared" si="40"/>
        <v xml:space="preserve">blk </v>
      </c>
      <c r="Z19" s="8">
        <f t="shared" si="40"/>
        <v>75993.05</v>
      </c>
      <c r="AA19" s="8">
        <f t="shared" si="40"/>
        <v>6.1</v>
      </c>
      <c r="AB19" s="8">
        <f t="shared" si="34"/>
        <v>100584.15700000001</v>
      </c>
      <c r="AC19" s="8">
        <f t="shared" si="34"/>
        <v>120700.9884</v>
      </c>
      <c r="AD19" s="8">
        <f t="shared" si="34"/>
        <v>80467.325600000011</v>
      </c>
      <c r="AE19" s="8">
        <f t="shared" si="34"/>
        <v>110642.57270000002</v>
      </c>
      <c r="AF19" s="8">
        <f t="shared" si="34"/>
        <v>90525.741300000009</v>
      </c>
      <c r="AG19" s="8">
        <f t="shared" si="34"/>
        <v>66871.650961156294</v>
      </c>
      <c r="AH19" s="8">
        <f t="shared" si="34"/>
        <v>66.483284202656577</v>
      </c>
      <c r="AI19" s="8">
        <f t="shared" si="34"/>
        <v>182712.08000000002</v>
      </c>
      <c r="AJ19" s="8">
        <f t="shared" si="35"/>
        <v>177514.22366115631</v>
      </c>
      <c r="AK19" s="8">
        <f t="shared" si="35"/>
        <v>33712.506038843712</v>
      </c>
      <c r="AL19" s="8">
        <f t="shared" si="35"/>
        <v>234327.45892231259</v>
      </c>
      <c r="AM19" s="8">
        <f t="shared" si="35"/>
        <v>-33159.144922312582</v>
      </c>
      <c r="AT19" s="23">
        <f t="shared" si="27"/>
        <v>8.0856481479713693E-2</v>
      </c>
      <c r="AU19" s="8" t="str">
        <f t="shared" si="27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AV19" s="8" t="b">
        <f t="shared" si="26"/>
        <v>0</v>
      </c>
      <c r="AW19" s="8" t="str">
        <f t="shared" si="26"/>
        <v>050SMPL.d</v>
      </c>
      <c r="AX19" s="11">
        <f t="shared" si="26"/>
        <v>45246.561041666668</v>
      </c>
      <c r="AY19" s="8" t="str">
        <f t="shared" si="26"/>
        <v>Sample</v>
      </c>
      <c r="AZ19" s="8">
        <f t="shared" si="26"/>
        <v>0</v>
      </c>
      <c r="BA19" s="8" t="str">
        <f t="shared" si="26"/>
        <v xml:space="preserve">blk </v>
      </c>
      <c r="BB19" s="8">
        <f t="shared" si="28"/>
        <v>-30529.983327155351</v>
      </c>
      <c r="BC19" s="8"/>
      <c r="BD19" s="8">
        <f t="shared" si="36"/>
        <v>-3750.7779465586659</v>
      </c>
      <c r="BE19" s="8">
        <f t="shared" si="32"/>
        <v>-4500.9335358703993</v>
      </c>
      <c r="BF19" s="8">
        <f t="shared" si="32"/>
        <v>-3000.622357246933</v>
      </c>
      <c r="BG19" s="8">
        <f t="shared" si="32"/>
        <v>-4125.8557412145328</v>
      </c>
      <c r="BH19" s="8">
        <f t="shared" si="32"/>
        <v>-3375.7001519027995</v>
      </c>
      <c r="BI19" s="8">
        <f t="shared" si="32"/>
        <v>40843.933892370173</v>
      </c>
      <c r="BJ19" s="8">
        <f t="shared" si="32"/>
        <v>-1088.9456660542762</v>
      </c>
      <c r="BK19" s="8">
        <f t="shared" si="32"/>
        <v>128215.40347741316</v>
      </c>
      <c r="BL19" s="8">
        <f t="shared" si="32"/>
        <v>36718.078151155642</v>
      </c>
      <c r="BM19" s="8">
        <f t="shared" si="32"/>
        <v>-44594.711838928837</v>
      </c>
      <c r="BN19" s="8">
        <f t="shared" si="32"/>
        <v>77937.089838181681</v>
      </c>
      <c r="BO19" s="8">
        <f t="shared" si="32"/>
        <v>-85438.64573129901</v>
      </c>
    </row>
    <row r="20" spans="1:67" x14ac:dyDescent="0.25">
      <c r="A20" s="23">
        <f>Alex_ITSD_count_data!A20</f>
        <v>3.2175925924093463E-2</v>
      </c>
      <c r="B20" s="8" t="str">
        <f>Alex_ITSD_count_data!B20</f>
        <v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v>
      </c>
      <c r="C20" s="8" t="b">
        <f>Alex_ITSD_count_data!C20</f>
        <v>0</v>
      </c>
      <c r="D20" s="8" t="str">
        <f>Alex_ITSD_count_data!D20</f>
        <v>018SMPL.d</v>
      </c>
      <c r="E20" s="11">
        <f>Alex_ITSD_count_data!E20</f>
        <v>45246.512361111112</v>
      </c>
      <c r="F20" s="8" t="str">
        <f>Alex_ITSD_count_data!F20</f>
        <v>Sample</v>
      </c>
      <c r="G20" s="8">
        <f>Alex_ITSD_count_data!G20</f>
        <v>0</v>
      </c>
      <c r="H20" s="8" t="str">
        <f>Alex_ITSD_count_data!H20</f>
        <v>0-30-T</v>
      </c>
      <c r="I20" s="17">
        <f>Alex_ITSD_count_data!M20</f>
        <v>4860461.91</v>
      </c>
      <c r="J20" s="17">
        <f>Alex_ITSD_count_data!N20</f>
        <v>1.4</v>
      </c>
      <c r="K20" s="47">
        <f t="shared" si="18"/>
        <v>4783436.7451285003</v>
      </c>
      <c r="L20" s="17">
        <f t="shared" si="20"/>
        <v>211.73896768912738</v>
      </c>
      <c r="M20" s="17">
        <f>[2]Alex_MS_FE_AL_data!L22</f>
        <v>328.13299999999998</v>
      </c>
      <c r="N20" s="8">
        <v>5</v>
      </c>
      <c r="O20" s="17">
        <f t="shared" si="38"/>
        <v>1058.6948384456368</v>
      </c>
      <c r="P20" s="17">
        <f t="shared" si="39"/>
        <v>1640.665</v>
      </c>
      <c r="R20" s="23">
        <f t="shared" ref="R20:AA20" si="41">A64</f>
        <v>9.4606481477967463E-2</v>
      </c>
      <c r="S20" s="8" t="str">
        <f t="shared" si="41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T20" s="8" t="b">
        <f t="shared" si="41"/>
        <v>0</v>
      </c>
      <c r="U20" s="8" t="str">
        <f t="shared" si="41"/>
        <v>062SMPL.d</v>
      </c>
      <c r="V20" s="11">
        <f t="shared" si="41"/>
        <v>45246.574791666666</v>
      </c>
      <c r="W20" s="8" t="str">
        <f t="shared" si="41"/>
        <v>Sample</v>
      </c>
      <c r="X20" s="8">
        <f t="shared" si="41"/>
        <v>0</v>
      </c>
      <c r="Y20" s="8" t="str">
        <f t="shared" si="41"/>
        <v xml:space="preserve">blk </v>
      </c>
      <c r="Z20" s="8">
        <f t="shared" si="41"/>
        <v>179488.82</v>
      </c>
      <c r="AA20" s="8">
        <f t="shared" si="41"/>
        <v>1.5</v>
      </c>
      <c r="AB20" s="8">
        <f t="shared" si="34"/>
        <v>100584.15700000001</v>
      </c>
      <c r="AC20" s="8">
        <f t="shared" si="34"/>
        <v>120700.9884</v>
      </c>
      <c r="AD20" s="8">
        <f t="shared" si="34"/>
        <v>80467.325600000011</v>
      </c>
      <c r="AE20" s="8">
        <f t="shared" si="34"/>
        <v>110642.57270000002</v>
      </c>
      <c r="AF20" s="8">
        <f t="shared" si="34"/>
        <v>90525.741300000009</v>
      </c>
      <c r="AG20" s="8">
        <f t="shared" si="34"/>
        <v>66871.650961156294</v>
      </c>
      <c r="AH20" s="8">
        <f t="shared" si="34"/>
        <v>66.483284202656577</v>
      </c>
      <c r="AI20" s="8">
        <f t="shared" si="34"/>
        <v>182712.08000000002</v>
      </c>
      <c r="AJ20" s="8">
        <f t="shared" si="35"/>
        <v>177514.22366115631</v>
      </c>
      <c r="AK20" s="8">
        <f t="shared" si="35"/>
        <v>33712.506038843712</v>
      </c>
      <c r="AL20" s="8">
        <f t="shared" si="35"/>
        <v>234327.45892231259</v>
      </c>
      <c r="AM20" s="8">
        <f t="shared" si="35"/>
        <v>-33159.144922312582</v>
      </c>
      <c r="AT20" s="23">
        <f t="shared" si="27"/>
        <v>9.4606481477967463E-2</v>
      </c>
      <c r="AU20" s="8" t="str">
        <f t="shared" si="27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AV20" s="8" t="b">
        <f t="shared" si="26"/>
        <v>0</v>
      </c>
      <c r="AW20" s="8" t="str">
        <f t="shared" si="26"/>
        <v>062SMPL.d</v>
      </c>
      <c r="AX20" s="11">
        <f t="shared" si="26"/>
        <v>45246.574791666666</v>
      </c>
      <c r="AY20" s="8" t="str">
        <f t="shared" si="26"/>
        <v>Sample</v>
      </c>
      <c r="AZ20" s="8">
        <f t="shared" si="26"/>
        <v>0</v>
      </c>
      <c r="BA20" s="8" t="str">
        <f t="shared" si="26"/>
        <v xml:space="preserve">blk </v>
      </c>
      <c r="BB20" s="8">
        <f t="shared" si="28"/>
        <v>54851.076741645709</v>
      </c>
      <c r="BC20" s="8"/>
      <c r="BD20" s="8">
        <f t="shared" si="36"/>
        <v>-3750.7779465586659</v>
      </c>
      <c r="BE20" s="8">
        <f t="shared" si="32"/>
        <v>-4500.9335358703993</v>
      </c>
      <c r="BF20" s="8">
        <f t="shared" si="32"/>
        <v>-3000.622357246933</v>
      </c>
      <c r="BG20" s="8">
        <f t="shared" si="32"/>
        <v>-4125.8557412145328</v>
      </c>
      <c r="BH20" s="8">
        <f t="shared" si="32"/>
        <v>-3375.7001519027995</v>
      </c>
      <c r="BI20" s="8">
        <f t="shared" si="32"/>
        <v>40843.933892370173</v>
      </c>
      <c r="BJ20" s="8">
        <f t="shared" si="32"/>
        <v>-1088.9456660542762</v>
      </c>
      <c r="BK20" s="8">
        <f t="shared" si="32"/>
        <v>128215.40347741316</v>
      </c>
      <c r="BL20" s="8">
        <f t="shared" si="32"/>
        <v>36718.078151155642</v>
      </c>
      <c r="BM20" s="8">
        <f t="shared" si="32"/>
        <v>-44594.711838928837</v>
      </c>
      <c r="BN20" s="8">
        <f t="shared" si="32"/>
        <v>77937.089838181681</v>
      </c>
      <c r="BO20" s="8">
        <f t="shared" si="32"/>
        <v>-85438.64573129901</v>
      </c>
    </row>
    <row r="21" spans="1:67" x14ac:dyDescent="0.25">
      <c r="A21" s="23">
        <f>Alex_ITSD_count_data!A21</f>
        <v>3.3356481479131617E-2</v>
      </c>
      <c r="B21" s="8" t="str">
        <f>Alex_ITSD_count_data!B21</f>
        <v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v>
      </c>
      <c r="C21" s="8" t="b">
        <f>Alex_ITSD_count_data!C21</f>
        <v>0</v>
      </c>
      <c r="D21" s="8" t="str">
        <f>Alex_ITSD_count_data!D21</f>
        <v>019SMPL.d</v>
      </c>
      <c r="E21" s="11">
        <f>Alex_ITSD_count_data!E21</f>
        <v>45246.513541666667</v>
      </c>
      <c r="F21" s="8" t="str">
        <f>Alex_ITSD_count_data!F21</f>
        <v>Sample</v>
      </c>
      <c r="G21" s="8">
        <f>Alex_ITSD_count_data!G21</f>
        <v>0</v>
      </c>
      <c r="H21" s="8" t="str">
        <f>Alex_ITSD_count_data!H21</f>
        <v>0-40-T</v>
      </c>
      <c r="I21" s="17">
        <f>Alex_ITSD_count_data!M21</f>
        <v>5968376.1600000001</v>
      </c>
      <c r="J21" s="17">
        <f>Alex_ITSD_count_data!N21</f>
        <v>0.7</v>
      </c>
      <c r="K21" s="47">
        <f t="shared" si="18"/>
        <v>5888524.8919580337</v>
      </c>
      <c r="L21" s="17">
        <f t="shared" si="20"/>
        <v>299.23168810751258</v>
      </c>
      <c r="M21" s="17">
        <f>[2]Alex_MS_FE_AL_data!L23</f>
        <v>403.50400000000002</v>
      </c>
      <c r="N21" s="8">
        <v>5</v>
      </c>
      <c r="O21" s="17">
        <f t="shared" si="38"/>
        <v>1496.1584405375629</v>
      </c>
      <c r="P21" s="17">
        <f t="shared" si="39"/>
        <v>2017.52</v>
      </c>
      <c r="R21" s="23">
        <f t="shared" ref="R21:AA21" si="42">A80</f>
        <v>0.11293981481139781</v>
      </c>
      <c r="S21" s="8" t="str">
        <f t="shared" si="42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T21" s="8" t="b">
        <f t="shared" si="42"/>
        <v>0</v>
      </c>
      <c r="U21" s="8" t="str">
        <f t="shared" si="42"/>
        <v>078SMPL.d</v>
      </c>
      <c r="V21" s="11">
        <f t="shared" si="42"/>
        <v>45246.593124999999</v>
      </c>
      <c r="W21" s="8" t="str">
        <f t="shared" si="42"/>
        <v>Sample</v>
      </c>
      <c r="X21" s="8">
        <f t="shared" si="42"/>
        <v>0</v>
      </c>
      <c r="Y21" s="8" t="str">
        <f t="shared" si="42"/>
        <v>blk</v>
      </c>
      <c r="Z21" s="8">
        <f t="shared" si="42"/>
        <v>184749.22</v>
      </c>
      <c r="AA21" s="8">
        <f t="shared" si="42"/>
        <v>5.5</v>
      </c>
      <c r="AB21" s="8">
        <f t="shared" si="34"/>
        <v>100584.15700000001</v>
      </c>
      <c r="AC21" s="8">
        <f t="shared" si="34"/>
        <v>120700.9884</v>
      </c>
      <c r="AD21" s="8">
        <f t="shared" si="34"/>
        <v>80467.325600000011</v>
      </c>
      <c r="AE21" s="8">
        <f t="shared" si="34"/>
        <v>110642.57270000002</v>
      </c>
      <c r="AF21" s="8">
        <f t="shared" si="34"/>
        <v>90525.741300000009</v>
      </c>
      <c r="AG21" s="8">
        <f t="shared" si="34"/>
        <v>66871.650961156294</v>
      </c>
      <c r="AH21" s="8">
        <f t="shared" si="34"/>
        <v>66.483284202656577</v>
      </c>
      <c r="AI21" s="8">
        <f t="shared" si="34"/>
        <v>182712.08000000002</v>
      </c>
      <c r="AJ21" s="8">
        <f t="shared" si="35"/>
        <v>177514.22366115631</v>
      </c>
      <c r="AK21" s="8">
        <f t="shared" si="35"/>
        <v>33712.506038843712</v>
      </c>
      <c r="AL21" s="8">
        <f t="shared" si="35"/>
        <v>234327.45892231259</v>
      </c>
      <c r="AM21" s="8">
        <f t="shared" si="35"/>
        <v>-33159.144922312582</v>
      </c>
      <c r="AT21" s="23">
        <f t="shared" si="27"/>
        <v>0.11293981481139781</v>
      </c>
      <c r="AU21" s="8" t="str">
        <f t="shared" si="27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AV21" s="8" t="b">
        <f t="shared" si="26"/>
        <v>0</v>
      </c>
      <c r="AW21" s="8" t="str">
        <f t="shared" si="26"/>
        <v>078SMPL.d</v>
      </c>
      <c r="AX21" s="11">
        <f t="shared" si="26"/>
        <v>45246.593124999999</v>
      </c>
      <c r="AY21" s="8" t="str">
        <f t="shared" si="26"/>
        <v>Sample</v>
      </c>
      <c r="AZ21" s="8">
        <f t="shared" si="26"/>
        <v>0</v>
      </c>
      <c r="BA21" s="8" t="str">
        <f t="shared" si="26"/>
        <v>blk</v>
      </c>
      <c r="BB21" s="8">
        <f t="shared" si="28"/>
        <v>35958.53016351859</v>
      </c>
      <c r="BC21" s="8"/>
      <c r="BD21" s="8">
        <f t="shared" si="36"/>
        <v>-3750.7779465586659</v>
      </c>
      <c r="BE21" s="8">
        <f t="shared" si="32"/>
        <v>-4500.9335358703993</v>
      </c>
      <c r="BF21" s="8">
        <f t="shared" si="32"/>
        <v>-3000.622357246933</v>
      </c>
      <c r="BG21" s="8">
        <f t="shared" si="32"/>
        <v>-4125.8557412145328</v>
      </c>
      <c r="BH21" s="8">
        <f t="shared" si="32"/>
        <v>-3375.7001519027995</v>
      </c>
      <c r="BI21" s="8">
        <f t="shared" si="32"/>
        <v>40843.933892370173</v>
      </c>
      <c r="BJ21" s="8">
        <f t="shared" si="32"/>
        <v>-1088.9456660542762</v>
      </c>
      <c r="BK21" s="8">
        <f t="shared" si="32"/>
        <v>128215.40347741316</v>
      </c>
      <c r="BL21" s="8">
        <f t="shared" si="32"/>
        <v>36718.078151155642</v>
      </c>
      <c r="BM21" s="8">
        <f t="shared" si="32"/>
        <v>-44594.711838928837</v>
      </c>
      <c r="BN21" s="8">
        <f t="shared" si="32"/>
        <v>77937.089838181681</v>
      </c>
      <c r="BO21" s="8">
        <f t="shared" si="32"/>
        <v>-85438.64573129901</v>
      </c>
    </row>
    <row r="22" spans="1:67" x14ac:dyDescent="0.25">
      <c r="A22" s="23">
        <f>Alex_ITSD_count_data!A22</f>
        <v>3.4479166664823424E-2</v>
      </c>
      <c r="B22" s="8" t="str">
        <f>Alex_ITSD_count_data!B22</f>
        <v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v>
      </c>
      <c r="C22" s="8" t="b">
        <f>Alex_ITSD_count_data!C22</f>
        <v>0</v>
      </c>
      <c r="D22" s="8" t="str">
        <f>Alex_ITSD_count_data!D22</f>
        <v>020SMPL.d</v>
      </c>
      <c r="E22" s="11">
        <f>Alex_ITSD_count_data!E22</f>
        <v>45246.514664351853</v>
      </c>
      <c r="F22" s="8" t="str">
        <f>Alex_ITSD_count_data!F22</f>
        <v>Sample</v>
      </c>
      <c r="G22" s="8">
        <f>Alex_ITSD_count_data!G22</f>
        <v>0</v>
      </c>
      <c r="H22" s="8" t="str">
        <f>Alex_ITSD_count_data!H22</f>
        <v>0-60-T</v>
      </c>
      <c r="I22" s="17">
        <f>Alex_ITSD_count_data!M22</f>
        <v>3021591.83</v>
      </c>
      <c r="J22" s="17">
        <f>Alex_ITSD_count_data!N22</f>
        <v>2.7</v>
      </c>
      <c r="K22" s="47">
        <f t="shared" si="18"/>
        <v>2939052.9932543174</v>
      </c>
      <c r="L22" s="17">
        <f t="shared" si="20"/>
        <v>66.522182369168178</v>
      </c>
      <c r="M22" s="17">
        <f>[2]Alex_MS_FE_AL_data!L24</f>
        <v>203.036</v>
      </c>
      <c r="N22" s="8">
        <v>5</v>
      </c>
      <c r="O22" s="17">
        <f t="shared" si="38"/>
        <v>332.61091184584086</v>
      </c>
      <c r="P22" s="17">
        <f t="shared" si="39"/>
        <v>1015.1800000000001</v>
      </c>
      <c r="R22" s="23">
        <f t="shared" ref="R22:AA24" si="43">A84</f>
        <v>0.11753472221607808</v>
      </c>
      <c r="S22" s="8" t="str">
        <f t="shared" si="43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T22" s="8" t="b">
        <f t="shared" si="43"/>
        <v>0</v>
      </c>
      <c r="U22" s="8" t="str">
        <f t="shared" si="43"/>
        <v>082SMPL.d</v>
      </c>
      <c r="V22" s="11">
        <f t="shared" si="43"/>
        <v>45246.597719907404</v>
      </c>
      <c r="W22" s="8" t="str">
        <f t="shared" si="43"/>
        <v>Sample</v>
      </c>
      <c r="X22" s="8">
        <f t="shared" si="43"/>
        <v>0</v>
      </c>
      <c r="Y22" s="8" t="str">
        <f t="shared" si="43"/>
        <v>blk</v>
      </c>
      <c r="Z22" s="8">
        <f t="shared" si="43"/>
        <v>195294.66</v>
      </c>
      <c r="AA22" s="8">
        <f t="shared" si="43"/>
        <v>2.2000000000000002</v>
      </c>
      <c r="AB22" s="8">
        <f t="shared" si="34"/>
        <v>100584.15700000001</v>
      </c>
      <c r="AC22" s="8">
        <f t="shared" si="34"/>
        <v>120700.9884</v>
      </c>
      <c r="AD22" s="8">
        <f t="shared" si="34"/>
        <v>80467.325600000011</v>
      </c>
      <c r="AE22" s="8">
        <f t="shared" si="34"/>
        <v>110642.57270000002</v>
      </c>
      <c r="AF22" s="8">
        <f t="shared" si="34"/>
        <v>90525.741300000009</v>
      </c>
      <c r="AG22" s="8">
        <f t="shared" si="34"/>
        <v>66871.650961156294</v>
      </c>
      <c r="AH22" s="8">
        <f t="shared" si="34"/>
        <v>66.483284202656577</v>
      </c>
      <c r="AI22" s="8">
        <f t="shared" si="34"/>
        <v>182712.08000000002</v>
      </c>
      <c r="AJ22" s="8">
        <f t="shared" si="35"/>
        <v>177514.22366115631</v>
      </c>
      <c r="AK22" s="8">
        <f t="shared" si="35"/>
        <v>33712.506038843712</v>
      </c>
      <c r="AL22" s="8">
        <f t="shared" si="35"/>
        <v>234327.45892231259</v>
      </c>
      <c r="AM22" s="8">
        <f t="shared" si="35"/>
        <v>-33159.144922312582</v>
      </c>
      <c r="AT22" s="23">
        <f t="shared" si="27"/>
        <v>0.11753472221607808</v>
      </c>
      <c r="AU22" s="8" t="str">
        <f t="shared" si="27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AV22" s="8" t="b">
        <f t="shared" si="26"/>
        <v>0</v>
      </c>
      <c r="AW22" s="8" t="str">
        <f t="shared" si="26"/>
        <v>082SMPL.d</v>
      </c>
      <c r="AX22" s="11">
        <f t="shared" si="26"/>
        <v>45246.597719907404</v>
      </c>
      <c r="AY22" s="8" t="str">
        <f t="shared" si="26"/>
        <v>Sample</v>
      </c>
      <c r="AZ22" s="8">
        <f t="shared" si="26"/>
        <v>0</v>
      </c>
      <c r="BA22" s="8" t="str">
        <f t="shared" si="26"/>
        <v>blk</v>
      </c>
      <c r="BB22" s="8">
        <f t="shared" si="28"/>
        <v>40450.485450276989</v>
      </c>
      <c r="BC22" s="8"/>
      <c r="BD22" s="8">
        <f t="shared" si="36"/>
        <v>-3750.7779465586659</v>
      </c>
      <c r="BE22" s="8">
        <f t="shared" si="32"/>
        <v>-4500.9335358703993</v>
      </c>
      <c r="BF22" s="8">
        <f t="shared" si="32"/>
        <v>-3000.622357246933</v>
      </c>
      <c r="BG22" s="8">
        <f t="shared" si="32"/>
        <v>-4125.8557412145328</v>
      </c>
      <c r="BH22" s="8">
        <f t="shared" si="32"/>
        <v>-3375.7001519027995</v>
      </c>
      <c r="BI22" s="8">
        <f t="shared" si="32"/>
        <v>40843.933892370173</v>
      </c>
      <c r="BJ22" s="8">
        <f t="shared" si="32"/>
        <v>-1088.9456660542762</v>
      </c>
      <c r="BK22" s="8">
        <f t="shared" si="32"/>
        <v>128215.40347741316</v>
      </c>
      <c r="BL22" s="8">
        <f t="shared" si="32"/>
        <v>36718.078151155642</v>
      </c>
      <c r="BM22" s="8">
        <f t="shared" si="32"/>
        <v>-44594.711838928837</v>
      </c>
      <c r="BN22" s="8">
        <f t="shared" si="32"/>
        <v>77937.089838181681</v>
      </c>
      <c r="BO22" s="8">
        <f t="shared" si="32"/>
        <v>-85438.64573129901</v>
      </c>
    </row>
    <row r="23" spans="1:67" x14ac:dyDescent="0.25">
      <c r="A23" s="23">
        <f>Alex_ITSD_count_data!A23</f>
        <v>3.5601851850515231E-2</v>
      </c>
      <c r="B23" s="8" t="str">
        <f>Alex_ITSD_count_data!B23</f>
        <v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v>
      </c>
      <c r="C23" s="8" t="b">
        <f>Alex_ITSD_count_data!C23</f>
        <v>0</v>
      </c>
      <c r="D23" s="8" t="str">
        <f>Alex_ITSD_count_data!D23</f>
        <v>021SMPL.d</v>
      </c>
      <c r="E23" s="11">
        <f>Alex_ITSD_count_data!E23</f>
        <v>45246.515787037039</v>
      </c>
      <c r="F23" s="8" t="str">
        <f>Alex_ITSD_count_data!F23</f>
        <v>Sample</v>
      </c>
      <c r="G23" s="8">
        <f>Alex_ITSD_count_data!G23</f>
        <v>0</v>
      </c>
      <c r="H23" s="8" t="str">
        <f>Alex_ITSD_count_data!H23</f>
        <v>0-70-T</v>
      </c>
      <c r="I23" s="17">
        <f>Alex_ITSD_count_data!M23</f>
        <v>10662821.09</v>
      </c>
      <c r="J23" s="17">
        <f>Alex_ITSD_count_data!N23</f>
        <v>0.8</v>
      </c>
      <c r="K23" s="47">
        <f t="shared" si="18"/>
        <v>10577594.6845506</v>
      </c>
      <c r="L23" s="17">
        <f t="shared" si="20"/>
        <v>669.95510626013197</v>
      </c>
      <c r="M23" s="17">
        <f>[2]Alex_MS_FE_AL_data!L25</f>
        <v>722.86400000000003</v>
      </c>
      <c r="N23" s="8">
        <v>5</v>
      </c>
      <c r="O23" s="17">
        <f t="shared" si="38"/>
        <v>3349.7755313006601</v>
      </c>
      <c r="P23" s="17">
        <f t="shared" si="39"/>
        <v>3614.32</v>
      </c>
      <c r="R23" s="23">
        <f t="shared" si="43"/>
        <v>0.11868055555532919</v>
      </c>
      <c r="S23" s="8" t="str">
        <f t="shared" si="43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T23" s="8" t="b">
        <f t="shared" si="43"/>
        <v>0</v>
      </c>
      <c r="U23" s="8" t="str">
        <f t="shared" si="43"/>
        <v>083SMPL.d</v>
      </c>
      <c r="V23" s="11">
        <f t="shared" si="43"/>
        <v>45246.598865740743</v>
      </c>
      <c r="W23" s="8" t="str">
        <f t="shared" si="43"/>
        <v>Sample</v>
      </c>
      <c r="X23" s="8">
        <f t="shared" si="43"/>
        <v>0</v>
      </c>
      <c r="Y23" s="8" t="str">
        <f t="shared" si="43"/>
        <v>blk</v>
      </c>
      <c r="Z23" s="8">
        <f t="shared" si="43"/>
        <v>114440.64</v>
      </c>
      <c r="AA23" s="8">
        <f t="shared" si="43"/>
        <v>3.8</v>
      </c>
      <c r="AB23" s="8">
        <f t="shared" si="34"/>
        <v>100584.15700000001</v>
      </c>
      <c r="AC23" s="8">
        <f t="shared" si="34"/>
        <v>120700.9884</v>
      </c>
      <c r="AD23" s="8">
        <f t="shared" si="34"/>
        <v>80467.325600000011</v>
      </c>
      <c r="AE23" s="8">
        <f t="shared" si="34"/>
        <v>110642.57270000002</v>
      </c>
      <c r="AF23" s="8">
        <f t="shared" si="34"/>
        <v>90525.741300000009</v>
      </c>
      <c r="AG23" s="8">
        <f t="shared" si="34"/>
        <v>66871.650961156294</v>
      </c>
      <c r="AH23" s="8">
        <f t="shared" si="34"/>
        <v>66.483284202656577</v>
      </c>
      <c r="AI23" s="8">
        <f t="shared" si="34"/>
        <v>182712.08000000002</v>
      </c>
      <c r="AJ23" s="8">
        <f t="shared" si="35"/>
        <v>177514.22366115631</v>
      </c>
      <c r="AK23" s="8">
        <f t="shared" si="35"/>
        <v>33712.506038843712</v>
      </c>
      <c r="AL23" s="8">
        <f t="shared" si="35"/>
        <v>234327.45892231259</v>
      </c>
      <c r="AM23" s="8">
        <f t="shared" si="35"/>
        <v>-33159.144922312582</v>
      </c>
      <c r="AT23" s="23">
        <f t="shared" si="27"/>
        <v>0.11868055555532919</v>
      </c>
      <c r="AU23" s="8" t="str">
        <f t="shared" si="27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AV23" s="8" t="b">
        <f t="shared" si="26"/>
        <v>0</v>
      </c>
      <c r="AW23" s="8" t="str">
        <f t="shared" si="26"/>
        <v>083SMPL.d</v>
      </c>
      <c r="AX23" s="11">
        <f t="shared" si="26"/>
        <v>45246.598865740743</v>
      </c>
      <c r="AY23" s="8" t="str">
        <f t="shared" si="26"/>
        <v>Sample</v>
      </c>
      <c r="AZ23" s="8">
        <f t="shared" si="26"/>
        <v>0</v>
      </c>
      <c r="BA23" s="8" t="str">
        <f t="shared" si="26"/>
        <v>blk</v>
      </c>
      <c r="BB23" s="8">
        <f t="shared" si="28"/>
        <v>-41913.093718644246</v>
      </c>
      <c r="BC23" s="8"/>
      <c r="BD23" s="8">
        <f t="shared" si="36"/>
        <v>-3750.7779465586659</v>
      </c>
      <c r="BE23" s="8">
        <f t="shared" si="32"/>
        <v>-4500.9335358703993</v>
      </c>
      <c r="BF23" s="8">
        <f t="shared" si="32"/>
        <v>-3000.622357246933</v>
      </c>
      <c r="BG23" s="8">
        <f t="shared" si="32"/>
        <v>-4125.8557412145328</v>
      </c>
      <c r="BH23" s="8">
        <f t="shared" si="32"/>
        <v>-3375.7001519027995</v>
      </c>
      <c r="BI23" s="8">
        <f t="shared" si="32"/>
        <v>40843.933892370173</v>
      </c>
      <c r="BJ23" s="8">
        <f t="shared" si="32"/>
        <v>-1088.9456660542762</v>
      </c>
      <c r="BK23" s="8">
        <f t="shared" si="32"/>
        <v>128215.40347741316</v>
      </c>
      <c r="BL23" s="8">
        <f t="shared" si="32"/>
        <v>36718.078151155642</v>
      </c>
      <c r="BM23" s="8">
        <f t="shared" si="32"/>
        <v>-44594.711838928837</v>
      </c>
      <c r="BN23" s="8">
        <f t="shared" si="32"/>
        <v>77937.089838181681</v>
      </c>
      <c r="BO23" s="8">
        <f t="shared" si="32"/>
        <v>-85438.64573129901</v>
      </c>
    </row>
    <row r="24" spans="1:67" x14ac:dyDescent="0.25">
      <c r="A24" s="23">
        <f>Alex_ITSD_count_data!A24</f>
        <v>3.6724537036207039E-2</v>
      </c>
      <c r="B24" s="8" t="str">
        <f>Alex_ITSD_count_data!B24</f>
        <v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v>
      </c>
      <c r="C24" s="8" t="b">
        <f>Alex_ITSD_count_data!C24</f>
        <v>0</v>
      </c>
      <c r="D24" s="8" t="str">
        <f>Alex_ITSD_count_data!D24</f>
        <v>022SMPL.d</v>
      </c>
      <c r="E24" s="11">
        <f>Alex_ITSD_count_data!E24</f>
        <v>45246.516909722224</v>
      </c>
      <c r="F24" s="8" t="str">
        <f>Alex_ITSD_count_data!F24</f>
        <v>Sample</v>
      </c>
      <c r="G24" s="8">
        <f>Alex_ITSD_count_data!G24</f>
        <v>0</v>
      </c>
      <c r="H24" s="8" t="str">
        <f>Alex_ITSD_count_data!H24</f>
        <v>0-80-T</v>
      </c>
      <c r="I24" s="17">
        <f>Alex_ITSD_count_data!M24</f>
        <v>11722978.99</v>
      </c>
      <c r="J24" s="17">
        <f>Alex_ITSD_count_data!N24</f>
        <v>0.5</v>
      </c>
      <c r="K24" s="47">
        <f t="shared" si="18"/>
        <v>11635065.015846884</v>
      </c>
      <c r="L24" s="17">
        <f t="shared" si="20"/>
        <v>753.67647616221814</v>
      </c>
      <c r="M24" s="17">
        <f>[2]Alex_MS_FE_AL_data!L26</f>
        <v>794.98599999999999</v>
      </c>
      <c r="N24" s="8">
        <v>5</v>
      </c>
      <c r="O24" s="17">
        <f t="shared" si="38"/>
        <v>3768.3823808110906</v>
      </c>
      <c r="P24" s="17">
        <f t="shared" si="39"/>
        <v>3974.93</v>
      </c>
      <c r="R24" s="23">
        <f t="shared" si="43"/>
        <v>0.119803240741021</v>
      </c>
      <c r="S24" s="8" t="str">
        <f t="shared" si="43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T24" s="8" t="b">
        <f t="shared" si="43"/>
        <v>0</v>
      </c>
      <c r="U24" s="8" t="str">
        <f t="shared" si="43"/>
        <v>084SMPL.d</v>
      </c>
      <c r="V24" s="11">
        <f t="shared" si="43"/>
        <v>45246.599988425929</v>
      </c>
      <c r="W24" s="8" t="str">
        <f t="shared" si="43"/>
        <v>Sample</v>
      </c>
      <c r="X24" s="8">
        <f t="shared" si="43"/>
        <v>0</v>
      </c>
      <c r="Y24" s="8" t="str">
        <f t="shared" si="43"/>
        <v>blk</v>
      </c>
      <c r="Z24" s="8">
        <f t="shared" si="43"/>
        <v>84468.47</v>
      </c>
      <c r="AA24" s="8">
        <f t="shared" si="43"/>
        <v>5.3</v>
      </c>
      <c r="AB24" s="8">
        <f t="shared" si="34"/>
        <v>100584.15700000001</v>
      </c>
      <c r="AC24" s="8">
        <f t="shared" si="34"/>
        <v>120700.9884</v>
      </c>
      <c r="AD24" s="8">
        <f t="shared" si="34"/>
        <v>80467.325600000011</v>
      </c>
      <c r="AE24" s="8">
        <f t="shared" si="34"/>
        <v>110642.57270000002</v>
      </c>
      <c r="AF24" s="8">
        <f t="shared" si="34"/>
        <v>90525.741300000009</v>
      </c>
      <c r="AG24" s="8">
        <f t="shared" si="34"/>
        <v>66871.650961156294</v>
      </c>
      <c r="AH24" s="8">
        <f t="shared" si="34"/>
        <v>66.483284202656577</v>
      </c>
      <c r="AI24" s="8">
        <f t="shared" si="34"/>
        <v>182712.08000000002</v>
      </c>
      <c r="AJ24" s="8">
        <f t="shared" si="35"/>
        <v>177514.22366115631</v>
      </c>
      <c r="AK24" s="8">
        <f t="shared" si="35"/>
        <v>33712.506038843712</v>
      </c>
      <c r="AL24" s="8">
        <f t="shared" si="35"/>
        <v>234327.45892231259</v>
      </c>
      <c r="AM24" s="8">
        <f t="shared" si="35"/>
        <v>-33159.144922312582</v>
      </c>
      <c r="AT24" s="23">
        <f t="shared" si="27"/>
        <v>0.119803240741021</v>
      </c>
      <c r="AU24" s="8" t="str">
        <f t="shared" si="27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AV24" s="8" t="b">
        <f t="shared" si="26"/>
        <v>0</v>
      </c>
      <c r="AW24" s="8" t="str">
        <f t="shared" si="26"/>
        <v>084SMPL.d</v>
      </c>
      <c r="AX24" s="11">
        <f t="shared" si="26"/>
        <v>45246.599988425929</v>
      </c>
      <c r="AY24" s="8" t="str">
        <f t="shared" si="26"/>
        <v>Sample</v>
      </c>
      <c r="AZ24" s="8">
        <f t="shared" si="26"/>
        <v>0</v>
      </c>
      <c r="BA24" s="8" t="str">
        <f t="shared" si="26"/>
        <v>blk</v>
      </c>
      <c r="BB24" s="8">
        <f>Z24-($AO$12*AT24)</f>
        <v>-73364.326735767449</v>
      </c>
      <c r="BC24" s="8"/>
      <c r="BD24" s="8">
        <f t="shared" si="36"/>
        <v>-3750.7779465586659</v>
      </c>
      <c r="BE24" s="8">
        <f t="shared" si="32"/>
        <v>-4500.9335358703993</v>
      </c>
      <c r="BF24" s="8">
        <f t="shared" si="32"/>
        <v>-3000.622357246933</v>
      </c>
      <c r="BG24" s="8">
        <f t="shared" si="32"/>
        <v>-4125.8557412145328</v>
      </c>
      <c r="BH24" s="8">
        <f t="shared" si="32"/>
        <v>-3375.7001519027995</v>
      </c>
      <c r="BI24" s="8">
        <f t="shared" si="32"/>
        <v>40843.933892370173</v>
      </c>
      <c r="BJ24" s="8">
        <f t="shared" si="32"/>
        <v>-1088.9456660542762</v>
      </c>
      <c r="BK24" s="8">
        <f t="shared" si="32"/>
        <v>128215.40347741316</v>
      </c>
      <c r="BL24" s="8">
        <f t="shared" si="32"/>
        <v>36718.078151155642</v>
      </c>
      <c r="BM24" s="8">
        <f t="shared" si="32"/>
        <v>-44594.711838928837</v>
      </c>
      <c r="BN24" s="8">
        <f t="shared" si="32"/>
        <v>77937.089838181681</v>
      </c>
      <c r="BO24" s="8">
        <f t="shared" si="32"/>
        <v>-85438.64573129901</v>
      </c>
    </row>
    <row r="25" spans="1:67" x14ac:dyDescent="0.25">
      <c r="A25" s="23">
        <f>Alex_ITSD_count_data!A25</f>
        <v>3.7893518514465541E-2</v>
      </c>
      <c r="B25" s="8" t="str">
        <f>Alex_ITSD_count_data!B25</f>
        <v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v>
      </c>
      <c r="C25" s="8" t="b">
        <f>Alex_ITSD_count_data!C25</f>
        <v>0</v>
      </c>
      <c r="D25" s="8" t="str">
        <f>Alex_ITSD_count_data!D25</f>
        <v>023SMPL.d</v>
      </c>
      <c r="E25" s="11">
        <f>Alex_ITSD_count_data!E25</f>
        <v>45246.518078703702</v>
      </c>
      <c r="F25" s="8" t="str">
        <f>Alex_ITSD_count_data!F25</f>
        <v>Sample</v>
      </c>
      <c r="G25" s="8">
        <f>Alex_ITSD_count_data!G25</f>
        <v>0</v>
      </c>
      <c r="H25" s="8" t="str">
        <f>Alex_ITSD_count_data!H25</f>
        <v>0-90-T</v>
      </c>
      <c r="I25" s="17">
        <f>Alex_ITSD_count_data!M25</f>
        <v>18505157.640000001</v>
      </c>
      <c r="J25" s="17">
        <f>Alex_ITSD_count_data!N25</f>
        <v>1.3</v>
      </c>
      <c r="K25" s="47">
        <f t="shared" si="18"/>
        <v>18414445.269576736</v>
      </c>
      <c r="L25" s="17">
        <f t="shared" si="20"/>
        <v>1289.2696057315788</v>
      </c>
      <c r="M25" s="17">
        <f>[2]Alex_MS_FE_AL_data!L27</f>
        <v>1256.3720000000001</v>
      </c>
      <c r="N25" s="8">
        <v>5</v>
      </c>
      <c r="O25" s="17">
        <f t="shared" si="38"/>
        <v>6446.3480286578942</v>
      </c>
      <c r="P25" s="17">
        <f t="shared" si="39"/>
        <v>6281.8600000000006</v>
      </c>
    </row>
    <row r="26" spans="1:67" x14ac:dyDescent="0.25">
      <c r="A26" s="23">
        <f>Alex_ITSD_count_data!A26</f>
        <v>3.9016203700157348E-2</v>
      </c>
      <c r="B26" s="8" t="str">
        <f>Alex_ITSD_count_data!B26</f>
        <v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v>
      </c>
      <c r="C26" s="8" t="b">
        <f>Alex_ITSD_count_data!C26</f>
        <v>0</v>
      </c>
      <c r="D26" s="8" t="str">
        <f>Alex_ITSD_count_data!D26</f>
        <v>024SMPL.d</v>
      </c>
      <c r="E26" s="11">
        <f>Alex_ITSD_count_data!E26</f>
        <v>45246.519201388888</v>
      </c>
      <c r="F26" s="8" t="str">
        <f>Alex_ITSD_count_data!F26</f>
        <v>Sample</v>
      </c>
      <c r="G26" s="8">
        <f>Alex_ITSD_count_data!G26</f>
        <v>0</v>
      </c>
      <c r="H26" s="8" t="str">
        <f>Alex_ITSD_count_data!H26</f>
        <v>0-100-T</v>
      </c>
      <c r="I26" s="17">
        <f>Alex_ITSD_count_data!M26</f>
        <v>11314747.33</v>
      </c>
      <c r="J26" s="17">
        <f>Alex_ITSD_count_data!N26</f>
        <v>1.2</v>
      </c>
      <c r="K26" s="47">
        <f t="shared" si="18"/>
        <v>11221347.390873017</v>
      </c>
      <c r="L26" s="17">
        <f t="shared" si="20"/>
        <v>721.438152217641</v>
      </c>
      <c r="M26" s="17">
        <f>[2]Alex_MS_FE_AL_data!L28</f>
        <v>767.21400000000006</v>
      </c>
      <c r="N26" s="8">
        <v>5</v>
      </c>
      <c r="O26" s="17">
        <f t="shared" si="38"/>
        <v>3607.1907610882049</v>
      </c>
      <c r="P26" s="17">
        <f t="shared" si="39"/>
        <v>3836.07</v>
      </c>
    </row>
    <row r="27" spans="1:67" x14ac:dyDescent="0.25">
      <c r="A27" s="23">
        <f>Alex_ITSD_count_data!A27</f>
        <v>4.0127314809069503E-2</v>
      </c>
      <c r="B27" s="8" t="str">
        <f>Alex_ITSD_count_data!B27</f>
        <v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v>
      </c>
      <c r="C27" s="8" t="b">
        <f>Alex_ITSD_count_data!C27</f>
        <v>0</v>
      </c>
      <c r="D27" s="8" t="str">
        <f>Alex_ITSD_count_data!D27</f>
        <v>025SMPL.d</v>
      </c>
      <c r="E27" s="11">
        <f>Alex_ITSD_count_data!E27</f>
        <v>45246.520312499997</v>
      </c>
      <c r="F27" s="8" t="str">
        <f>Alex_ITSD_count_data!F27</f>
        <v>Sample</v>
      </c>
      <c r="G27" s="8">
        <f>Alex_ITSD_count_data!G27</f>
        <v>0</v>
      </c>
      <c r="H27" s="8" t="str">
        <f>Alex_ITSD_count_data!H27</f>
        <v>0-10-B</v>
      </c>
      <c r="I27" s="17">
        <f>Alex_ITSD_count_data!M27</f>
        <v>15709529.77</v>
      </c>
      <c r="J27" s="17">
        <f>Alex_ITSD_count_data!N27</f>
        <v>1.1000000000000001</v>
      </c>
      <c r="K27" s="47">
        <f t="shared" si="18"/>
        <v>15613469.969069617</v>
      </c>
      <c r="L27" s="17">
        <f t="shared" si="20"/>
        <v>1068.4970255217333</v>
      </c>
      <c r="M27" s="17">
        <f>[2]Alex_MS_FE_AL_data!L29</f>
        <v>1066.1880000000001</v>
      </c>
      <c r="N27" s="8">
        <v>5</v>
      </c>
      <c r="O27" s="17">
        <f t="shared" si="38"/>
        <v>5342.4851276086665</v>
      </c>
      <c r="P27" s="17">
        <f t="shared" si="39"/>
        <v>5330.9400000000005</v>
      </c>
    </row>
    <row r="28" spans="1:67" x14ac:dyDescent="0.25">
      <c r="A28" s="23">
        <f>Alex_ITSD_count_data!A28</f>
        <v>4.1238425925257616E-2</v>
      </c>
      <c r="B28" s="8" t="str">
        <f>Alex_ITSD_count_data!B28</f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C28" s="8" t="b">
        <f>Alex_ITSD_count_data!C28</f>
        <v>0</v>
      </c>
      <c r="D28" s="8" t="str">
        <f>Alex_ITSD_count_data!D28</f>
        <v>026SMPL.d</v>
      </c>
      <c r="E28" s="11">
        <f>Alex_ITSD_count_data!E28</f>
        <v>45246.521423611113</v>
      </c>
      <c r="F28" s="8" t="str">
        <f>Alex_ITSD_count_data!F28</f>
        <v>Sample</v>
      </c>
      <c r="G28" s="8">
        <f>Alex_ITSD_count_data!G28</f>
        <v>0</v>
      </c>
      <c r="H28" s="40" t="str">
        <f>Alex_ITSD_count_data!H28</f>
        <v xml:space="preserve">blk </v>
      </c>
      <c r="I28" s="43">
        <f>Alex_ITSD_count_data!M28</f>
        <v>73514.63</v>
      </c>
      <c r="J28" s="43">
        <f>Alex_ITSD_count_data!N28</f>
        <v>2.8</v>
      </c>
      <c r="K28" s="48">
        <f t="shared" si="18"/>
        <v>-25205.032751199629</v>
      </c>
      <c r="L28" s="43">
        <f t="shared" si="20"/>
        <v>-166.28942216738852</v>
      </c>
      <c r="M28" s="43">
        <f>[2]Alex_MS_FE_AL_data!L30</f>
        <v>2.4809999999999999</v>
      </c>
      <c r="N28" s="8"/>
      <c r="O28" s="17"/>
      <c r="P28" s="17"/>
      <c r="Q28" s="2" t="s">
        <v>318</v>
      </c>
      <c r="R28" s="10"/>
      <c r="S28" s="7" t="str">
        <f t="shared" ref="R28:AA29" si="44">B1</f>
        <v>Sample</v>
      </c>
      <c r="T28" s="7"/>
      <c r="U28" s="7"/>
      <c r="V28" s="10"/>
      <c r="W28" s="7"/>
      <c r="X28" s="7"/>
      <c r="Y28" s="7"/>
      <c r="Z28" s="14" t="str">
        <f t="shared" si="44"/>
        <v xml:space="preserve">56  Fe  [ He ] </v>
      </c>
      <c r="AA28" s="14"/>
      <c r="AB28" s="7" t="str">
        <f>'Calibration Std'!$A$1</f>
        <v>Calibration Standards Concentrations ppb</v>
      </c>
      <c r="AO28" s="2" t="s">
        <v>360</v>
      </c>
    </row>
    <row r="29" spans="1:67" x14ac:dyDescent="0.25">
      <c r="A29" s="23">
        <f>Alex_ITSD_count_data!A29</f>
        <v>4.2407407403516117E-2</v>
      </c>
      <c r="B29" s="8" t="str">
        <f>Alex_ITSD_count_data!B29</f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C29" s="8" t="b">
        <f>Alex_ITSD_count_data!C29</f>
        <v>0</v>
      </c>
      <c r="D29" s="8" t="str">
        <f>Alex_ITSD_count_data!D29</f>
        <v>027SMPL.d</v>
      </c>
      <c r="E29" s="11">
        <f>Alex_ITSD_count_data!E29</f>
        <v>45246.522592592592</v>
      </c>
      <c r="F29" s="8" t="str">
        <f>Alex_ITSD_count_data!F29</f>
        <v>Sample</v>
      </c>
      <c r="G29" s="8">
        <f>Alex_ITSD_count_data!G29</f>
        <v>0</v>
      </c>
      <c r="H29" s="8" t="str">
        <f>Alex_ITSD_count_data!H29</f>
        <v>100 ppb check</v>
      </c>
      <c r="I29" s="17">
        <f>Alex_ITSD_count_data!M29</f>
        <v>1601132.48</v>
      </c>
      <c r="J29" s="17">
        <f>Alex_ITSD_count_data!N29</f>
        <v>2.1</v>
      </c>
      <c r="K29" s="47">
        <f t="shared" si="18"/>
        <v>1499614.4209786509</v>
      </c>
      <c r="L29" s="17">
        <f t="shared" si="20"/>
        <v>-45.652431122111622</v>
      </c>
      <c r="M29" s="17">
        <f>[2]Alex_MS_FE_AL_data!L31</f>
        <v>106.40300000000001</v>
      </c>
      <c r="N29" s="8"/>
      <c r="O29" s="17"/>
      <c r="P29" s="17"/>
      <c r="R29" s="10" t="str">
        <f t="shared" si="44"/>
        <v>Number</v>
      </c>
      <c r="S29" s="7">
        <f t="shared" si="44"/>
        <v>0</v>
      </c>
      <c r="T29" s="7" t="str">
        <f t="shared" si="44"/>
        <v>Rjct</v>
      </c>
      <c r="U29" s="7" t="str">
        <f t="shared" si="44"/>
        <v>Data File</v>
      </c>
      <c r="V29" s="10" t="str">
        <f t="shared" si="44"/>
        <v>Acq. Date-Time</v>
      </c>
      <c r="W29" s="7" t="str">
        <f t="shared" si="44"/>
        <v>Type</v>
      </c>
      <c r="X29" s="7" t="str">
        <f t="shared" si="44"/>
        <v>Level</v>
      </c>
      <c r="Y29" s="7" t="str">
        <f t="shared" si="44"/>
        <v>Sample Name</v>
      </c>
      <c r="Z29" s="14" t="str">
        <f t="shared" si="44"/>
        <v>CPS</v>
      </c>
      <c r="AA29" s="14" t="str">
        <f t="shared" si="44"/>
        <v>CPS RSD</v>
      </c>
      <c r="AB29" s="7"/>
      <c r="AO29" s="7" t="s">
        <v>272</v>
      </c>
      <c r="AP29" s="7" t="s">
        <v>273</v>
      </c>
    </row>
    <row r="30" spans="1:67" x14ac:dyDescent="0.25">
      <c r="A30" s="23">
        <f>Alex_ITSD_count_data!A30</f>
        <v>4.3518518512428273E-2</v>
      </c>
      <c r="B30" s="8" t="str">
        <f>Alex_ITSD_count_data!B30</f>
        <v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v>
      </c>
      <c r="C30" s="8" t="b">
        <f>Alex_ITSD_count_data!C30</f>
        <v>0</v>
      </c>
      <c r="D30" s="8" t="str">
        <f>Alex_ITSD_count_data!D30</f>
        <v>028SMPL.d</v>
      </c>
      <c r="E30" s="11">
        <f>Alex_ITSD_count_data!E30</f>
        <v>45246.5237037037</v>
      </c>
      <c r="F30" s="8" t="str">
        <f>Alex_ITSD_count_data!F30</f>
        <v>Sample</v>
      </c>
      <c r="G30" s="8">
        <f>Alex_ITSD_count_data!G30</f>
        <v>0</v>
      </c>
      <c r="H30" s="8" t="str">
        <f>Alex_ITSD_count_data!H30</f>
        <v>0-50-T</v>
      </c>
      <c r="I30" s="17">
        <f>Alex_ITSD_count_data!M30</f>
        <v>4085948.06</v>
      </c>
      <c r="J30" s="17">
        <f>Alex_ITSD_count_data!N30</f>
        <v>0.5</v>
      </c>
      <c r="K30" s="47">
        <f t="shared" si="18"/>
        <v>3981770.1391752511</v>
      </c>
      <c r="L30" s="17">
        <f t="shared" si="20"/>
        <v>150.5750971655583</v>
      </c>
      <c r="M30" s="17">
        <f>[2]Alex_MS_FE_AL_data!L32</f>
        <v>275.44400000000002</v>
      </c>
      <c r="N30" s="8">
        <v>10</v>
      </c>
      <c r="O30" s="17">
        <f>IF(L30 &lt; $S$44, "NA", N30*L30)</f>
        <v>1505.750971655583</v>
      </c>
      <c r="P30" s="17">
        <f>IF(M30 &lt; $S$45, "NA", N30*M30)</f>
        <v>2754.44</v>
      </c>
      <c r="R30" s="23">
        <f t="shared" ref="R30:AA38" si="45">A6</f>
        <v>3.4490740727051161E-3</v>
      </c>
      <c r="S30" s="8">
        <f t="shared" si="45"/>
        <v>0</v>
      </c>
      <c r="T30" s="8" t="b">
        <f t="shared" si="45"/>
        <v>0</v>
      </c>
      <c r="U30" s="8" t="str">
        <f t="shared" si="45"/>
        <v>004CALB.d</v>
      </c>
      <c r="V30" s="11">
        <f t="shared" si="45"/>
        <v>45246.483634259261</v>
      </c>
      <c r="W30" s="8" t="str">
        <f t="shared" si="45"/>
        <v>CalBlk</v>
      </c>
      <c r="X30" s="8">
        <f t="shared" si="45"/>
        <v>1</v>
      </c>
      <c r="Y30" s="8" t="str">
        <f t="shared" si="45"/>
        <v xml:space="preserve">0 ppb </v>
      </c>
      <c r="Z30" s="17">
        <f t="shared" si="45"/>
        <v>37050.129999999997</v>
      </c>
      <c r="AA30" s="8">
        <f t="shared" si="45"/>
        <v>2.8</v>
      </c>
      <c r="AB30" s="8">
        <f>'Calibration Std'!D$8</f>
        <v>0</v>
      </c>
      <c r="AN30" t="s">
        <v>280</v>
      </c>
      <c r="AO30" s="17" cm="1">
        <f t="array" ref="AO30:AP34">LINEST(Z30:Z40,AB30:AB40, TRUE, TRUE)</f>
        <v>12662.930638137865</v>
      </c>
      <c r="AP30" s="17">
        <v>2179226.0487616658</v>
      </c>
      <c r="AQ30" s="20" t="s">
        <v>281</v>
      </c>
    </row>
    <row r="31" spans="1:67" x14ac:dyDescent="0.25">
      <c r="A31" s="23">
        <f>Alex_ITSD_count_data!A31</f>
        <v>4.464120369812008E-2</v>
      </c>
      <c r="B31" s="8" t="str">
        <f>Alex_ITSD_count_data!B31</f>
        <v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v>
      </c>
      <c r="C31" s="8" t="b">
        <f>Alex_ITSD_count_data!C31</f>
        <v>0</v>
      </c>
      <c r="D31" s="8" t="str">
        <f>Alex_ITSD_count_data!D31</f>
        <v>029SMPL.d</v>
      </c>
      <c r="E31" s="11">
        <f>Alex_ITSD_count_data!E31</f>
        <v>45246.524826388886</v>
      </c>
      <c r="F31" s="8" t="str">
        <f>Alex_ITSD_count_data!F31</f>
        <v>Sample</v>
      </c>
      <c r="G31" s="8">
        <f>Alex_ITSD_count_data!G31</f>
        <v>0</v>
      </c>
      <c r="H31" s="8" t="str">
        <f>Alex_ITSD_count_data!H31</f>
        <v>0-60-B</v>
      </c>
      <c r="I31" s="17">
        <f>Alex_ITSD_count_data!M31</f>
        <v>1607634.56</v>
      </c>
      <c r="J31" s="17">
        <f>Alex_ITSD_count_data!N31</f>
        <v>0.4</v>
      </c>
      <c r="K31" s="47">
        <f t="shared" si="18"/>
        <v>1500769.0704715345</v>
      </c>
      <c r="L31" s="17">
        <f t="shared" si="20"/>
        <v>-45.138957568018441</v>
      </c>
      <c r="M31" s="17">
        <f>[2]Alex_MS_FE_AL_data!L33</f>
        <v>106.846</v>
      </c>
      <c r="N31" s="8">
        <v>5</v>
      </c>
      <c r="O31" s="17">
        <f t="shared" ref="O31:O39" si="46">IF(L31 &lt; $S$44, "NA", N31*L31)</f>
        <v>-225.6947878400922</v>
      </c>
      <c r="P31" s="17">
        <f t="shared" ref="P31:P39" si="47">IF(M31 &lt; $S$45, "NA", N31*M31)</f>
        <v>534.23</v>
      </c>
      <c r="R31" s="23">
        <f t="shared" si="45"/>
        <v>4.6180555509636179E-3</v>
      </c>
      <c r="S31" s="8">
        <f t="shared" si="45"/>
        <v>0</v>
      </c>
      <c r="T31" s="8" t="b">
        <f t="shared" si="45"/>
        <v>0</v>
      </c>
      <c r="U31" s="8" t="str">
        <f t="shared" si="45"/>
        <v>005CALS.d</v>
      </c>
      <c r="V31" s="11">
        <f t="shared" si="45"/>
        <v>45246.484803240739</v>
      </c>
      <c r="W31" s="8" t="str">
        <f t="shared" si="45"/>
        <v>CalStd</v>
      </c>
      <c r="X31" s="8">
        <f t="shared" si="45"/>
        <v>2</v>
      </c>
      <c r="Y31" s="8" t="str">
        <f t="shared" si="45"/>
        <v>0.5 ppb m16 + Al</v>
      </c>
      <c r="Z31" s="17">
        <f t="shared" si="45"/>
        <v>25336.75</v>
      </c>
      <c r="AA31" s="8">
        <f t="shared" si="45"/>
        <v>2.8</v>
      </c>
      <c r="AB31" s="8">
        <f>'Calibration Std'!E$8</f>
        <v>0.5</v>
      </c>
      <c r="AN31" t="s">
        <v>286</v>
      </c>
      <c r="AO31" s="17">
        <v>67.69616565465391</v>
      </c>
      <c r="AP31" s="17">
        <v>2051424.6015573815</v>
      </c>
      <c r="AQ31" t="s">
        <v>282</v>
      </c>
    </row>
    <row r="32" spans="1:67" x14ac:dyDescent="0.25">
      <c r="A32" s="23">
        <f>Alex_ITSD_count_data!A32</f>
        <v>4.5763888883811887E-2</v>
      </c>
      <c r="B32" s="8" t="str">
        <f>Alex_ITSD_count_data!B32</f>
        <v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v>
      </c>
      <c r="C32" s="8" t="b">
        <f>Alex_ITSD_count_data!C32</f>
        <v>0</v>
      </c>
      <c r="D32" s="8" t="str">
        <f>Alex_ITSD_count_data!D32</f>
        <v>030SMPL.d</v>
      </c>
      <c r="E32" s="11">
        <f>Alex_ITSD_count_data!E32</f>
        <v>45246.525949074072</v>
      </c>
      <c r="F32" s="8" t="str">
        <f>Alex_ITSD_count_data!F32</f>
        <v>Sample</v>
      </c>
      <c r="G32" s="8">
        <f>Alex_ITSD_count_data!G32</f>
        <v>0</v>
      </c>
      <c r="H32" s="8" t="str">
        <f>Alex_ITSD_count_data!H32</f>
        <v>0-100-B</v>
      </c>
      <c r="I32" s="17">
        <f>Alex_ITSD_count_data!M32</f>
        <v>7774978.8399999999</v>
      </c>
      <c r="J32" s="17">
        <f>Alex_ITSD_count_data!N32</f>
        <v>0.5</v>
      </c>
      <c r="K32" s="47">
        <f t="shared" si="18"/>
        <v>7665425.7817678172</v>
      </c>
      <c r="L32" s="17">
        <f t="shared" si="20"/>
        <v>441.90029552757721</v>
      </c>
      <c r="M32" s="17">
        <f>[2]Alex_MS_FE_AL_data!L34</f>
        <v>526.40599999999995</v>
      </c>
      <c r="N32" s="8">
        <v>5</v>
      </c>
      <c r="O32" s="17">
        <f t="shared" si="46"/>
        <v>2209.5014776378862</v>
      </c>
      <c r="P32" s="17">
        <f t="shared" si="47"/>
        <v>2632.0299999999997</v>
      </c>
      <c r="R32" s="23">
        <f t="shared" si="45"/>
        <v>5.7870370364980772E-3</v>
      </c>
      <c r="S32" s="8" t="str">
        <f t="shared" si="45"/>
        <v>45  Sc ( ISTD )  [ He ] :  ISTD Recovery Percent value = 135.23 is outside the allowed range [80.00, 120.00]103  Rh ( ISTD )  [ He ] :  ISTD Recovery Percent value = 137.11 is outside the allowed range [80.00, 120.00]</v>
      </c>
      <c r="T32" s="8" t="b">
        <f t="shared" si="45"/>
        <v>0</v>
      </c>
      <c r="U32" s="8" t="str">
        <f t="shared" si="45"/>
        <v>006CALS.d</v>
      </c>
      <c r="V32" s="11">
        <f t="shared" si="45"/>
        <v>45246.485972222225</v>
      </c>
      <c r="W32" s="8" t="str">
        <f t="shared" si="45"/>
        <v>CalStd</v>
      </c>
      <c r="X32" s="8">
        <f t="shared" si="45"/>
        <v>3</v>
      </c>
      <c r="Y32" s="8" t="str">
        <f t="shared" si="45"/>
        <v>1 ppb m16 + Al</v>
      </c>
      <c r="Z32" s="17">
        <f t="shared" si="45"/>
        <v>34793.449999999997</v>
      </c>
      <c r="AA32" s="8">
        <f t="shared" si="45"/>
        <v>2.6</v>
      </c>
      <c r="AB32" s="8">
        <f>'Calibration Std'!F$8</f>
        <v>1</v>
      </c>
      <c r="AN32" t="s">
        <v>277</v>
      </c>
      <c r="AO32" s="44">
        <v>0.99974284764813248</v>
      </c>
      <c r="AP32" s="17">
        <v>6410680.3960017944</v>
      </c>
      <c r="AQ32" t="s">
        <v>285</v>
      </c>
    </row>
    <row r="33" spans="1:43" x14ac:dyDescent="0.25">
      <c r="A33" s="23">
        <f>Alex_ITSD_count_data!A33</f>
        <v>4.6944444438850041E-2</v>
      </c>
      <c r="B33" s="8" t="str">
        <f>Alex_ITSD_count_data!B33</f>
        <v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v>
      </c>
      <c r="C33" s="8" t="b">
        <f>Alex_ITSD_count_data!C33</f>
        <v>0</v>
      </c>
      <c r="D33" s="8" t="str">
        <f>Alex_ITSD_count_data!D33</f>
        <v>031SMPL.d</v>
      </c>
      <c r="E33" s="11">
        <f>Alex_ITSD_count_data!E33</f>
        <v>45246.527129629627</v>
      </c>
      <c r="F33" s="8" t="str">
        <f>Alex_ITSD_count_data!F33</f>
        <v>Sample</v>
      </c>
      <c r="G33" s="8">
        <f>Alex_ITSD_count_data!G33</f>
        <v>0</v>
      </c>
      <c r="H33" s="8" t="str">
        <f>Alex_ITSD_count_data!H33</f>
        <v>0-70-B</v>
      </c>
      <c r="I33" s="17">
        <f>Alex_ITSD_count_data!M33</f>
        <v>485914.6</v>
      </c>
      <c r="J33" s="17">
        <f>Alex_ITSD_count_data!N33</f>
        <v>3.9</v>
      </c>
      <c r="K33" s="47">
        <f t="shared" si="18"/>
        <v>373535.43859735108</v>
      </c>
      <c r="L33" s="17">
        <f t="shared" si="20"/>
        <v>-133.72192402774419</v>
      </c>
      <c r="M33" s="17">
        <f>[2]Alex_MS_FE_AL_data!L35</f>
        <v>30.536000000000001</v>
      </c>
      <c r="N33" s="8">
        <v>10</v>
      </c>
      <c r="O33" s="17">
        <f t="shared" si="46"/>
        <v>-1337.2192402774419</v>
      </c>
      <c r="P33" s="17">
        <f t="shared" si="47"/>
        <v>305.36</v>
      </c>
      <c r="R33" s="23">
        <f t="shared" si="45"/>
        <v>7.0023148145992309E-3</v>
      </c>
      <c r="S33" s="8" t="str">
        <f t="shared" si="45"/>
        <v>45  Sc ( ISTD )  [ He ] :  ISTD Recovery Percent value = 158.50 is outside the allowed range [80.00, 120.00]103  Rh ( ISTD )  [ He ] :  ISTD Recovery Percent value = 166.42 is outside the allowed range [80.00, 120.00]</v>
      </c>
      <c r="T33" s="8" t="b">
        <f t="shared" si="45"/>
        <v>0</v>
      </c>
      <c r="U33" s="8" t="str">
        <f t="shared" si="45"/>
        <v>007CALS.d</v>
      </c>
      <c r="V33" s="11">
        <f t="shared" si="45"/>
        <v>45246.487187500003</v>
      </c>
      <c r="W33" s="8" t="str">
        <f t="shared" si="45"/>
        <v>CalStd</v>
      </c>
      <c r="X33" s="8">
        <f t="shared" si="45"/>
        <v>4</v>
      </c>
      <c r="Y33" s="8" t="str">
        <f t="shared" si="45"/>
        <v>5 ppb m16 + Al</v>
      </c>
      <c r="Z33" s="17">
        <f t="shared" si="45"/>
        <v>94460.08</v>
      </c>
      <c r="AA33" s="8">
        <f t="shared" si="45"/>
        <v>1.6</v>
      </c>
      <c r="AB33" s="8">
        <f>'Calibration Std'!G$8</f>
        <v>5</v>
      </c>
      <c r="AN33" t="s">
        <v>278</v>
      </c>
      <c r="AO33" s="17">
        <v>34989.707710183771</v>
      </c>
      <c r="AP33" s="17">
        <v>9</v>
      </c>
      <c r="AQ33" t="s">
        <v>283</v>
      </c>
    </row>
    <row r="34" spans="1:43" x14ac:dyDescent="0.25">
      <c r="A34" s="23">
        <f>Alex_ITSD_count_data!A34</f>
        <v>4.8078703701321501E-2</v>
      </c>
      <c r="B34" s="8" t="str">
        <f>Alex_ITSD_count_data!B34</f>
        <v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v>
      </c>
      <c r="C34" s="8" t="b">
        <f>Alex_ITSD_count_data!C34</f>
        <v>0</v>
      </c>
      <c r="D34" s="8" t="str">
        <f>Alex_ITSD_count_data!D34</f>
        <v>032SMPL.d</v>
      </c>
      <c r="E34" s="11">
        <f>Alex_ITSD_count_data!E34</f>
        <v>45246.528263888889</v>
      </c>
      <c r="F34" s="8" t="str">
        <f>Alex_ITSD_count_data!F34</f>
        <v>Sample</v>
      </c>
      <c r="G34" s="8">
        <f>Alex_ITSD_count_data!G34</f>
        <v>0</v>
      </c>
      <c r="H34" s="8" t="str">
        <f>Alex_ITSD_count_data!H34</f>
        <v>20-100-T</v>
      </c>
      <c r="I34" s="17">
        <f>Alex_ITSD_count_data!M34</f>
        <v>8791549.8699999992</v>
      </c>
      <c r="J34" s="17">
        <f>Alex_ITSD_count_data!N34</f>
        <v>1.4</v>
      </c>
      <c r="K34" s="47">
        <f t="shared" si="18"/>
        <v>8676455.432993317</v>
      </c>
      <c r="L34" s="17">
        <f t="shared" si="20"/>
        <v>522.17958150410459</v>
      </c>
      <c r="M34" s="17">
        <f>[2]Alex_MS_FE_AL_data!L36</f>
        <v>595.56299999999999</v>
      </c>
      <c r="N34" s="8">
        <v>5</v>
      </c>
      <c r="O34" s="17">
        <f t="shared" si="46"/>
        <v>2610.8979075205229</v>
      </c>
      <c r="P34" s="17">
        <f t="shared" si="47"/>
        <v>2977.8150000000001</v>
      </c>
      <c r="R34" s="23">
        <f t="shared" si="45"/>
        <v>8.182870369637385E-3</v>
      </c>
      <c r="S34" s="8" t="str">
        <f t="shared" si="45"/>
        <v>45  Sc ( ISTD )  [ He ] :  ISTD Recovery Percent value = 191.39 is outside the allowed range [80.00, 120.00]103  Rh ( ISTD )  [ He ] :  ISTD Recovery Percent value = 202.01 is outside the allowed range [80.00, 120.00]</v>
      </c>
      <c r="T34" s="8" t="b">
        <f t="shared" si="45"/>
        <v>0</v>
      </c>
      <c r="U34" s="8" t="str">
        <f t="shared" si="45"/>
        <v>008CALS.d</v>
      </c>
      <c r="V34" s="11">
        <f t="shared" si="45"/>
        <v>45246.488368055558</v>
      </c>
      <c r="W34" s="8" t="str">
        <f t="shared" si="45"/>
        <v>CalStd</v>
      </c>
      <c r="X34" s="8">
        <f t="shared" si="45"/>
        <v>5</v>
      </c>
      <c r="Y34" s="8" t="str">
        <f t="shared" si="45"/>
        <v>10 ppb m16 + Al</v>
      </c>
      <c r="Z34" s="17">
        <f t="shared" si="45"/>
        <v>175602.19</v>
      </c>
      <c r="AA34" s="8">
        <f t="shared" si="45"/>
        <v>1.7</v>
      </c>
      <c r="AB34" s="8">
        <f>'Calibration Std'!H$8</f>
        <v>10</v>
      </c>
      <c r="AN34" t="s">
        <v>279</v>
      </c>
      <c r="AO34" s="17">
        <v>1.4379658294745805E+18</v>
      </c>
      <c r="AP34" s="17">
        <v>369871408257135.56</v>
      </c>
      <c r="AQ34" t="s">
        <v>284</v>
      </c>
    </row>
    <row r="35" spans="1:43" x14ac:dyDescent="0.25">
      <c r="A35" s="23">
        <f>Alex_ITSD_count_data!A35</f>
        <v>4.9201388887013309E-2</v>
      </c>
      <c r="B35" s="8" t="str">
        <f>Alex_ITSD_count_data!B35</f>
        <v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v>
      </c>
      <c r="C35" s="8" t="b">
        <f>Alex_ITSD_count_data!C35</f>
        <v>0</v>
      </c>
      <c r="D35" s="8" t="str">
        <f>Alex_ITSD_count_data!D35</f>
        <v>033SMPL.d</v>
      </c>
      <c r="E35" s="11">
        <f>Alex_ITSD_count_data!E35</f>
        <v>45246.529386574075</v>
      </c>
      <c r="F35" s="8" t="str">
        <f>Alex_ITSD_count_data!F35</f>
        <v>Sample</v>
      </c>
      <c r="G35" s="8">
        <f>Alex_ITSD_count_data!G35</f>
        <v>0</v>
      </c>
      <c r="H35" s="8" t="str">
        <f>Alex_ITSD_count_data!H35</f>
        <v>20-80-T</v>
      </c>
      <c r="I35" s="17">
        <f>Alex_ITSD_count_data!M35</f>
        <v>9305723.8200000003</v>
      </c>
      <c r="J35" s="17">
        <f>Alex_ITSD_count_data!N35</f>
        <v>1.1000000000000001</v>
      </c>
      <c r="K35" s="47">
        <f t="shared" si="18"/>
        <v>9187941.8142896015</v>
      </c>
      <c r="L35" s="17">
        <f t="shared" si="20"/>
        <v>562.78423809532251</v>
      </c>
      <c r="M35" s="17">
        <f>[2]Alex_MS_FE_AL_data!L37</f>
        <v>630.54100000000005</v>
      </c>
      <c r="N35" s="8">
        <v>5</v>
      </c>
      <c r="O35" s="17">
        <f t="shared" si="46"/>
        <v>2813.9211904766125</v>
      </c>
      <c r="P35" s="17">
        <f t="shared" si="47"/>
        <v>3152.7050000000004</v>
      </c>
      <c r="Q35" s="2"/>
      <c r="R35" s="23">
        <f t="shared" si="45"/>
        <v>9.3287037016125396E-3</v>
      </c>
      <c r="S35" s="8" t="str">
        <f t="shared" si="45"/>
        <v>45  Sc ( ISTD )  [ He ] :  ISTD Recovery Percent value = 226.75 is outside the allowed range [80.00, 120.00]103  Rh ( ISTD )  [ He ] :  ISTD Recovery Percent value = 246.55 is outside the allowed range [80.00, 120.00]</v>
      </c>
      <c r="T35" s="8" t="b">
        <f t="shared" si="45"/>
        <v>0</v>
      </c>
      <c r="U35" s="8" t="str">
        <f t="shared" si="45"/>
        <v>009CALS.d</v>
      </c>
      <c r="V35" s="11">
        <f t="shared" si="45"/>
        <v>45246.48951388889</v>
      </c>
      <c r="W35" s="8" t="str">
        <f t="shared" si="45"/>
        <v>CalStd</v>
      </c>
      <c r="X35" s="8">
        <f t="shared" si="45"/>
        <v>6</v>
      </c>
      <c r="Y35" s="8" t="str">
        <f t="shared" si="45"/>
        <v>50 ppb m16 + Al</v>
      </c>
      <c r="Z35" s="17">
        <f t="shared" si="45"/>
        <v>788426.84</v>
      </c>
      <c r="AA35" s="8">
        <f t="shared" si="45"/>
        <v>1.2</v>
      </c>
      <c r="AB35" s="8">
        <f>'Calibration Std'!I$8</f>
        <v>50</v>
      </c>
    </row>
    <row r="36" spans="1:43" x14ac:dyDescent="0.25">
      <c r="A36" s="23">
        <f>Alex_ITSD_count_data!A36</f>
        <v>5.0324074072705116E-2</v>
      </c>
      <c r="B36" s="8" t="str">
        <f>Alex_ITSD_count_data!B36</f>
        <v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v>
      </c>
      <c r="C36" s="8" t="b">
        <f>Alex_ITSD_count_data!C36</f>
        <v>0</v>
      </c>
      <c r="D36" s="8" t="str">
        <f>Alex_ITSD_count_data!D36</f>
        <v>034SMPL.d</v>
      </c>
      <c r="E36" s="11">
        <f>Alex_ITSD_count_data!E36</f>
        <v>45246.530509259261</v>
      </c>
      <c r="F36" s="8" t="str">
        <f>Alex_ITSD_count_data!F36</f>
        <v>Sample</v>
      </c>
      <c r="G36" s="8">
        <f>Alex_ITSD_count_data!G36</f>
        <v>0</v>
      </c>
      <c r="H36" s="8" t="str">
        <f>Alex_ITSD_count_data!H36</f>
        <v>20-30-B</v>
      </c>
      <c r="I36" s="17">
        <f>Alex_ITSD_count_data!M36</f>
        <v>12653300.23</v>
      </c>
      <c r="J36" s="17">
        <f>Alex_ITSD_count_data!N36</f>
        <v>0.5</v>
      </c>
      <c r="K36" s="47">
        <f t="shared" si="18"/>
        <v>12532830.655585885</v>
      </c>
      <c r="L36" s="17">
        <f t="shared" si="20"/>
        <v>827.1445592296626</v>
      </c>
      <c r="M36" s="17">
        <f>[2]Alex_MS_FE_AL_data!L38</f>
        <v>858.27499999999998</v>
      </c>
      <c r="N36" s="8">
        <v>5</v>
      </c>
      <c r="O36" s="17">
        <f t="shared" si="46"/>
        <v>4135.7227961483131</v>
      </c>
      <c r="P36" s="17">
        <f t="shared" si="47"/>
        <v>4291.375</v>
      </c>
      <c r="R36" s="23">
        <f t="shared" si="45"/>
        <v>1.0532407402934041E-2</v>
      </c>
      <c r="S36" s="8" t="str">
        <f t="shared" si="45"/>
        <v>45  Sc ( ISTD )  [ He ] :  ISTD Recovery Percent value = 294.14 is outside the allowed range [80.00, 120.00]103  Rh ( ISTD )  [ He ] :  ISTD Recovery Percent value = 306.45 is outside the allowed range [80.00, 120.00]</v>
      </c>
      <c r="T36" s="8" t="b">
        <f t="shared" si="45"/>
        <v>0</v>
      </c>
      <c r="U36" s="8" t="str">
        <f t="shared" si="45"/>
        <v>010CALS.d</v>
      </c>
      <c r="V36" s="11">
        <f t="shared" si="45"/>
        <v>45246.490717592591</v>
      </c>
      <c r="W36" s="8" t="str">
        <f t="shared" si="45"/>
        <v>CalStd</v>
      </c>
      <c r="X36" s="8">
        <f t="shared" si="45"/>
        <v>7</v>
      </c>
      <c r="Y36" s="8" t="str">
        <f t="shared" si="45"/>
        <v>100 ppb m16 + Al</v>
      </c>
      <c r="Z36" s="17">
        <f t="shared" si="45"/>
        <v>1535866.96</v>
      </c>
      <c r="AA36" s="8">
        <f t="shared" si="45"/>
        <v>1.4</v>
      </c>
      <c r="AB36" s="8">
        <f>'Calibration Std'!J$8</f>
        <v>100</v>
      </c>
    </row>
    <row r="37" spans="1:43" x14ac:dyDescent="0.25">
      <c r="A37" s="23">
        <f>Alex_ITSD_count_data!A37</f>
        <v>5.1493055550963618E-2</v>
      </c>
      <c r="B37" s="8" t="str">
        <f>Alex_ITSD_count_data!B37</f>
        <v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v>
      </c>
      <c r="C37" s="8" t="b">
        <f>Alex_ITSD_count_data!C37</f>
        <v>0</v>
      </c>
      <c r="D37" s="8" t="str">
        <f>Alex_ITSD_count_data!D37</f>
        <v>035SMPL.d</v>
      </c>
      <c r="E37" s="11">
        <f>Alex_ITSD_count_data!E37</f>
        <v>45246.531678240739</v>
      </c>
      <c r="F37" s="8" t="str">
        <f>Alex_ITSD_count_data!F37</f>
        <v>Sample</v>
      </c>
      <c r="G37" s="8">
        <f>Alex_ITSD_count_data!G37</f>
        <v>0</v>
      </c>
      <c r="H37" s="8" t="str">
        <f>Alex_ITSD_count_data!H37</f>
        <v>20-70-T</v>
      </c>
      <c r="I37" s="17">
        <f>Alex_ITSD_count_data!M37</f>
        <v>12017286.07</v>
      </c>
      <c r="J37" s="17">
        <f>Alex_ITSD_count_data!N37</f>
        <v>0.8</v>
      </c>
      <c r="K37" s="47">
        <f t="shared" si="18"/>
        <v>11894018.099315735</v>
      </c>
      <c r="L37" s="17">
        <f t="shared" si="20"/>
        <v>776.91810074425723</v>
      </c>
      <c r="M37" s="17">
        <f>[2]Alex_MS_FE_AL_data!L39</f>
        <v>815.00699999999995</v>
      </c>
      <c r="N37" s="8">
        <v>5</v>
      </c>
      <c r="O37" s="17">
        <f t="shared" si="46"/>
        <v>3884.590503721286</v>
      </c>
      <c r="P37" s="17">
        <f t="shared" si="47"/>
        <v>4075.0349999999999</v>
      </c>
      <c r="R37" s="23">
        <f t="shared" si="45"/>
        <v>1.1689814811688848E-2</v>
      </c>
      <c r="S37" s="8" t="str">
        <f t="shared" si="45"/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T37" s="8" t="b">
        <f t="shared" si="45"/>
        <v>0</v>
      </c>
      <c r="U37" s="8" t="str">
        <f t="shared" si="45"/>
        <v>011CALS.d</v>
      </c>
      <c r="V37" s="11">
        <f t="shared" si="45"/>
        <v>45246.491875</v>
      </c>
      <c r="W37" s="8" t="str">
        <f t="shared" si="45"/>
        <v>CalStd</v>
      </c>
      <c r="X37" s="8">
        <f t="shared" si="45"/>
        <v>8</v>
      </c>
      <c r="Y37" s="8" t="str">
        <f t="shared" si="45"/>
        <v>500 ppb m16 + Al</v>
      </c>
      <c r="Z37" s="17">
        <f t="shared" si="45"/>
        <v>7280120.9400000004</v>
      </c>
      <c r="AA37" s="8">
        <f t="shared" si="45"/>
        <v>1</v>
      </c>
      <c r="AB37" s="8">
        <f>'Calibration Std'!K$8</f>
        <v>500</v>
      </c>
    </row>
    <row r="38" spans="1:43" x14ac:dyDescent="0.25">
      <c r="A38" s="23">
        <f>Alex_ITSD_count_data!A38</f>
        <v>5.2627314813435078E-2</v>
      </c>
      <c r="B38" s="8" t="str">
        <f>Alex_ITSD_count_data!B38</f>
        <v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v>
      </c>
      <c r="C38" s="8" t="b">
        <f>Alex_ITSD_count_data!C38</f>
        <v>0</v>
      </c>
      <c r="D38" s="8" t="str">
        <f>Alex_ITSD_count_data!D38</f>
        <v>036SMPL.d</v>
      </c>
      <c r="E38" s="11">
        <f>Alex_ITSD_count_data!E38</f>
        <v>45246.532812500001</v>
      </c>
      <c r="F38" s="8" t="str">
        <f>Alex_ITSD_count_data!F38</f>
        <v>Sample</v>
      </c>
      <c r="G38" s="8">
        <f>Alex_ITSD_count_data!G38</f>
        <v>0</v>
      </c>
      <c r="H38" s="8" t="str">
        <f>Alex_ITSD_count_data!H38</f>
        <v>20-60-T</v>
      </c>
      <c r="I38" s="17">
        <f>Alex_ITSD_count_data!M38</f>
        <v>11274821.08</v>
      </c>
      <c r="J38" s="17">
        <f>Alex_ITSD_count_data!N38</f>
        <v>0.2</v>
      </c>
      <c r="K38" s="47">
        <f t="shared" si="18"/>
        <v>11148837.833711701</v>
      </c>
      <c r="L38" s="17">
        <f t="shared" si="20"/>
        <v>718.28514987237418</v>
      </c>
      <c r="M38" s="17">
        <f>[2]Alex_MS_FE_AL_data!L40</f>
        <v>764.49800000000005</v>
      </c>
      <c r="N38" s="8">
        <v>5</v>
      </c>
      <c r="O38" s="17">
        <f t="shared" si="46"/>
        <v>3591.4257493618707</v>
      </c>
      <c r="P38" s="17">
        <f t="shared" si="47"/>
        <v>3822.4900000000002</v>
      </c>
      <c r="R38" s="23">
        <f t="shared" si="45"/>
        <v>1.2847222220443655E-2</v>
      </c>
      <c r="S38" s="8" t="str">
        <f t="shared" si="45"/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T38" s="8" t="b">
        <f t="shared" si="45"/>
        <v>0</v>
      </c>
      <c r="U38" s="8" t="str">
        <f t="shared" si="45"/>
        <v>012CALS.d</v>
      </c>
      <c r="V38" s="11">
        <f t="shared" si="45"/>
        <v>45246.493032407408</v>
      </c>
      <c r="W38" s="8" t="str">
        <f t="shared" si="45"/>
        <v>CalStd</v>
      </c>
      <c r="X38" s="8">
        <f t="shared" si="45"/>
        <v>9</v>
      </c>
      <c r="Y38" s="8" t="str">
        <f t="shared" si="45"/>
        <v>1000 ppb m16 + Al</v>
      </c>
      <c r="Z38" s="17">
        <f t="shared" si="45"/>
        <v>14282137.699999999</v>
      </c>
      <c r="AA38" s="8">
        <f t="shared" si="45"/>
        <v>2.2999999999999998</v>
      </c>
      <c r="AB38" s="8">
        <f>'Calibration Std'!L$8</f>
        <v>1000</v>
      </c>
    </row>
    <row r="39" spans="1:43" x14ac:dyDescent="0.25">
      <c r="A39" s="23">
        <f>Alex_ITSD_count_data!A39</f>
        <v>6.2395833330811001E-2</v>
      </c>
      <c r="B39" s="8" t="str">
        <f>Alex_ITSD_count_data!B39</f>
        <v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v>
      </c>
      <c r="C39" s="8" t="b">
        <f>Alex_ITSD_count_data!C39</f>
        <v>0</v>
      </c>
      <c r="D39" s="8" t="str">
        <f>Alex_ITSD_count_data!D39</f>
        <v>037SMPL.d</v>
      </c>
      <c r="E39" s="11">
        <f>Alex_ITSD_count_data!E39</f>
        <v>45246.542581018519</v>
      </c>
      <c r="F39" s="8" t="str">
        <f>Alex_ITSD_count_data!F39</f>
        <v>Sample</v>
      </c>
      <c r="G39" s="8">
        <f>Alex_ITSD_count_data!G39</f>
        <v>0</v>
      </c>
      <c r="H39" s="8" t="str">
        <f>Alex_ITSD_count_data!H39</f>
        <v>20-90-B</v>
      </c>
      <c r="I39" s="17">
        <f>Alex_ITSD_count_data!M39</f>
        <v>5268141.4800000004</v>
      </c>
      <c r="J39" s="17">
        <f>Alex_ITSD_count_data!N39</f>
        <v>1.1000000000000001</v>
      </c>
      <c r="K39" s="47">
        <f t="shared" si="18"/>
        <v>5118773.6153132683</v>
      </c>
      <c r="L39" s="17">
        <f t="shared" si="20"/>
        <v>243.9336927215904</v>
      </c>
      <c r="M39" s="17">
        <f>[2]Alex_MS_FE_AL_data!L41</f>
        <v>355.86700000000002</v>
      </c>
      <c r="N39" s="8">
        <v>5</v>
      </c>
      <c r="O39" s="17">
        <f t="shared" si="46"/>
        <v>1219.6684636079519</v>
      </c>
      <c r="P39" s="17">
        <f t="shared" si="47"/>
        <v>1779.335</v>
      </c>
      <c r="R39" s="23">
        <f t="shared" ref="R39:AA40" si="48">A82</f>
        <v>0.11520833332906477</v>
      </c>
      <c r="S39" s="8" t="str">
        <f t="shared" si="48"/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T39" s="8" t="b">
        <f t="shared" si="48"/>
        <v>0</v>
      </c>
      <c r="U39" s="8" t="str">
        <f t="shared" si="48"/>
        <v>080SMPL.d</v>
      </c>
      <c r="V39" s="11">
        <f t="shared" si="48"/>
        <v>45246.595393518517</v>
      </c>
      <c r="W39" s="8" t="str">
        <f t="shared" si="48"/>
        <v>CalStd</v>
      </c>
      <c r="X39" s="8">
        <f t="shared" si="48"/>
        <v>10</v>
      </c>
      <c r="Y39" s="8" t="str">
        <f t="shared" si="48"/>
        <v>level 10 m6</v>
      </c>
      <c r="Z39" s="17">
        <f t="shared" si="48"/>
        <v>147082961.13999999</v>
      </c>
      <c r="AA39" s="8">
        <f t="shared" si="48"/>
        <v>1.5</v>
      </c>
      <c r="AB39" s="8">
        <f>'Calibration Std'!M$8</f>
        <v>10000</v>
      </c>
    </row>
    <row r="40" spans="1:43" x14ac:dyDescent="0.25">
      <c r="A40" s="23">
        <f>Alex_ITSD_count_data!A40</f>
        <v>6.3530092593282461E-2</v>
      </c>
      <c r="B40" s="8" t="str">
        <f>Alex_ITSD_count_data!B40</f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C40" s="8" t="b">
        <f>Alex_ITSD_count_data!C40</f>
        <v>0</v>
      </c>
      <c r="D40" s="8" t="str">
        <f>Alex_ITSD_count_data!D40</f>
        <v>038SMPL.d</v>
      </c>
      <c r="E40" s="11">
        <f>Alex_ITSD_count_data!E40</f>
        <v>45246.543715277781</v>
      </c>
      <c r="F40" s="8" t="str">
        <f>Alex_ITSD_count_data!F40</f>
        <v>Sample</v>
      </c>
      <c r="G40" s="8">
        <f>Alex_ITSD_count_data!G40</f>
        <v>0</v>
      </c>
      <c r="H40" s="40" t="str">
        <f>Alex_ITSD_count_data!H40</f>
        <v xml:space="preserve">blk </v>
      </c>
      <c r="I40" s="43">
        <f>Alex_ITSD_count_data!M40</f>
        <v>71993.009999999995</v>
      </c>
      <c r="J40" s="43">
        <f>Alex_ITSD_count_data!N40</f>
        <v>2.8</v>
      </c>
      <c r="K40" s="48">
        <f t="shared" si="18"/>
        <v>-80090.130290766378</v>
      </c>
      <c r="L40" s="43">
        <f t="shared" si="20"/>
        <v>-166.409585504256</v>
      </c>
      <c r="M40" s="43">
        <f>[2]Alex_MS_FE_AL_data!L42</f>
        <v>2.3769999999999998</v>
      </c>
      <c r="N40" s="8"/>
      <c r="O40" s="17"/>
      <c r="P40" s="17"/>
      <c r="R40" s="23">
        <f t="shared" si="48"/>
        <v>0.11633101851475658</v>
      </c>
      <c r="S40" s="8" t="str">
        <f t="shared" si="48"/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T40" s="8" t="b">
        <f t="shared" si="48"/>
        <v>0</v>
      </c>
      <c r="U40" s="8" t="str">
        <f t="shared" si="48"/>
        <v>081SMPL.d</v>
      </c>
      <c r="V40" s="11">
        <f t="shared" si="48"/>
        <v>45246.596516203703</v>
      </c>
      <c r="W40" s="8" t="str">
        <f t="shared" si="48"/>
        <v>CalStd</v>
      </c>
      <c r="X40" s="8">
        <f t="shared" si="48"/>
        <v>11</v>
      </c>
      <c r="Y40" s="8" t="str">
        <f t="shared" si="48"/>
        <v>level 11 m6</v>
      </c>
      <c r="Z40" s="17">
        <f t="shared" si="48"/>
        <v>1266659874.46</v>
      </c>
      <c r="AA40" s="8">
        <f t="shared" si="48"/>
        <v>0.8</v>
      </c>
      <c r="AB40" s="8">
        <f>'Calibration Std'!N$8</f>
        <v>100000</v>
      </c>
    </row>
    <row r="41" spans="1:43" x14ac:dyDescent="0.25">
      <c r="A41" s="23">
        <f>Alex_ITSD_count_data!A41</f>
        <v>6.4664351848477963E-2</v>
      </c>
      <c r="B41" s="8" t="str">
        <f>Alex_ITSD_count_data!B41</f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C41" s="8" t="b">
        <f>Alex_ITSD_count_data!C41</f>
        <v>0</v>
      </c>
      <c r="D41" s="8" t="str">
        <f>Alex_ITSD_count_data!D41</f>
        <v>039SMPL.d</v>
      </c>
      <c r="E41" s="11">
        <f>Alex_ITSD_count_data!E41</f>
        <v>45246.544849537036</v>
      </c>
      <c r="F41" s="8" t="str">
        <f>Alex_ITSD_count_data!F41</f>
        <v>Sample</v>
      </c>
      <c r="G41" s="8">
        <f>Alex_ITSD_count_data!G41</f>
        <v>0</v>
      </c>
      <c r="H41" s="8" t="str">
        <f>Alex_ITSD_count_data!H41</f>
        <v>100 ppb check</v>
      </c>
      <c r="I41" s="17">
        <f>Alex_ITSD_count_data!M41</f>
        <v>1632384.77</v>
      </c>
      <c r="J41" s="17">
        <f>Alex_ITSD_count_data!N41</f>
        <v>2.5</v>
      </c>
      <c r="K41" s="47">
        <f t="shared" si="18"/>
        <v>1477586.3541226175</v>
      </c>
      <c r="L41" s="17">
        <f t="shared" si="20"/>
        <v>-43.184417129689109</v>
      </c>
      <c r="M41" s="17">
        <f>[2]Alex_MS_FE_AL_data!L43</f>
        <v>108.53</v>
      </c>
      <c r="N41" s="8"/>
      <c r="O41" s="17"/>
      <c r="P41" s="17"/>
      <c r="R41"/>
      <c r="V41"/>
    </row>
    <row r="42" spans="1:43" x14ac:dyDescent="0.25">
      <c r="A42" s="23">
        <f>Alex_ITSD_count_data!A42</f>
        <v>6.5787037034169771E-2</v>
      </c>
      <c r="B42" s="8" t="str">
        <f>Alex_ITSD_count_data!B42</f>
        <v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v>
      </c>
      <c r="C42" s="8" t="b">
        <f>Alex_ITSD_count_data!C42</f>
        <v>0</v>
      </c>
      <c r="D42" s="8" t="str">
        <f>Alex_ITSD_count_data!D42</f>
        <v>040SMPL.d</v>
      </c>
      <c r="E42" s="11">
        <f>Alex_ITSD_count_data!E42</f>
        <v>45246.545972222222</v>
      </c>
      <c r="F42" s="8" t="str">
        <f>Alex_ITSD_count_data!F42</f>
        <v>Sample</v>
      </c>
      <c r="G42" s="8">
        <f>Alex_ITSD_count_data!G42</f>
        <v>0</v>
      </c>
      <c r="H42" s="8" t="str">
        <f>Alex_ITSD_count_data!H42</f>
        <v>0-50-B</v>
      </c>
      <c r="I42" s="17">
        <f>Alex_ITSD_count_data!M42</f>
        <v>3310391.72</v>
      </c>
      <c r="J42" s="17">
        <f>Alex_ITSD_count_data!N42</f>
        <v>1.2</v>
      </c>
      <c r="K42" s="47">
        <f t="shared" si="18"/>
        <v>3152905.7354189008</v>
      </c>
      <c r="L42" s="17">
        <f t="shared" si="20"/>
        <v>89.328900517824906</v>
      </c>
      <c r="M42" s="17">
        <f>[2]Alex_MS_FE_AL_data!L44</f>
        <v>222.68299999999999</v>
      </c>
      <c r="N42" s="8">
        <v>5</v>
      </c>
      <c r="O42" s="17">
        <f>IF(L42 &lt; $S$44, "NA", N42*L42)</f>
        <v>446.6445025891245</v>
      </c>
      <c r="P42" s="17">
        <f>IF(M42 &lt; $S$45, "NA", N42*M42)</f>
        <v>1113.415</v>
      </c>
      <c r="Q42" s="2" t="s">
        <v>322</v>
      </c>
      <c r="R42" s="3"/>
      <c r="S42" s="50" t="s">
        <v>323</v>
      </c>
      <c r="T42" s="51" t="s">
        <v>324</v>
      </c>
      <c r="V42"/>
    </row>
    <row r="43" spans="1:43" x14ac:dyDescent="0.25">
      <c r="A43" s="23">
        <f>Alex_ITSD_count_data!A43</f>
        <v>6.6979166665987577E-2</v>
      </c>
      <c r="B43" s="8" t="str">
        <f>Alex_ITSD_count_data!B43</f>
        <v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v>
      </c>
      <c r="C43" s="8" t="b">
        <f>Alex_ITSD_count_data!C43</f>
        <v>0</v>
      </c>
      <c r="D43" s="8" t="str">
        <f>Alex_ITSD_count_data!D43</f>
        <v>041SMPL.d</v>
      </c>
      <c r="E43" s="11">
        <f>Alex_ITSD_count_data!E43</f>
        <v>45246.547164351854</v>
      </c>
      <c r="F43" s="8" t="str">
        <f>Alex_ITSD_count_data!F43</f>
        <v>Sample</v>
      </c>
      <c r="G43" s="8">
        <f>Alex_ITSD_count_data!G43</f>
        <v>0</v>
      </c>
      <c r="H43" s="8" t="str">
        <f>Alex_ITSD_count_data!H43</f>
        <v>0-90-B</v>
      </c>
      <c r="I43" s="17">
        <f>Alex_ITSD_count_data!M43</f>
        <v>163574574.22999999</v>
      </c>
      <c r="J43" s="17">
        <f>Alex_ITSD_count_data!N43</f>
        <v>2.5</v>
      </c>
      <c r="K43" s="47">
        <f t="shared" si="18"/>
        <v>163414234.43534809</v>
      </c>
      <c r="L43" s="17">
        <f t="shared" si="20"/>
        <v>12745.497293900693</v>
      </c>
      <c r="M43" s="17">
        <f>[2]Alex_MS_FE_AL_data!L45</f>
        <v>11125.343999999999</v>
      </c>
      <c r="N43" s="8">
        <v>5</v>
      </c>
      <c r="O43" s="17">
        <f t="shared" ref="O43:O51" si="49">IF(L43 &lt; $S$44, "NA", N43*L43)</f>
        <v>63727.486469503463</v>
      </c>
      <c r="P43" s="17">
        <f t="shared" ref="P43:P51" si="50">IF(M43 &lt; $S$45, "NA", N43*M43)</f>
        <v>55626.719999999994</v>
      </c>
      <c r="R43" s="62" t="s">
        <v>15</v>
      </c>
      <c r="S43" s="8">
        <f xml:space="preserve"> AVERAGE($Z$15:$Z$24)+3*STDEV($Z$15:$Z$24)</f>
        <v>301199.10988346889</v>
      </c>
      <c r="T43" s="17">
        <f xml:space="preserve"> AVERAGE($Z$15:$Z$24)+10*STDEV($Z$15:$Z$24)</f>
        <v>769300.66661156295</v>
      </c>
    </row>
    <row r="44" spans="1:43" x14ac:dyDescent="0.25">
      <c r="A44" s="23">
        <f>Alex_ITSD_count_data!A44</f>
        <v>6.8229166667151731E-2</v>
      </c>
      <c r="B44" s="8" t="str">
        <f>Alex_ITSD_count_data!B44</f>
        <v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v>
      </c>
      <c r="C44" s="8" t="b">
        <f>Alex_ITSD_count_data!C44</f>
        <v>0</v>
      </c>
      <c r="D44" s="8" t="str">
        <f>Alex_ITSD_count_data!D44</f>
        <v>042SMPL.d</v>
      </c>
      <c r="E44" s="11">
        <f>Alex_ITSD_count_data!E44</f>
        <v>45246.548414351855</v>
      </c>
      <c r="F44" s="8" t="str">
        <f>Alex_ITSD_count_data!F44</f>
        <v>Sample</v>
      </c>
      <c r="G44" s="8">
        <f>Alex_ITSD_count_data!G44</f>
        <v>0</v>
      </c>
      <c r="H44" s="8" t="str">
        <f>Alex_ITSD_count_data!H44</f>
        <v>20-40-T</v>
      </c>
      <c r="I44" s="17">
        <f>Alex_ITSD_count_data!M44</f>
        <v>13643520.630000001</v>
      </c>
      <c r="J44" s="17">
        <f>Alex_ITSD_count_data!N44</f>
        <v>1.2</v>
      </c>
      <c r="K44" s="47">
        <f t="shared" si="18"/>
        <v>13480188.490810584</v>
      </c>
      <c r="L44" s="17">
        <f t="shared" si="20"/>
        <v>905.34291854292326</v>
      </c>
      <c r="M44" s="17">
        <f>[2]Alex_MS_FE_AL_data!L46</f>
        <v>925.63900000000001</v>
      </c>
      <c r="N44" s="8">
        <v>5</v>
      </c>
      <c r="O44" s="17">
        <f t="shared" si="49"/>
        <v>4526.7145927146166</v>
      </c>
      <c r="P44" s="17">
        <f t="shared" si="50"/>
        <v>4628.1949999999997</v>
      </c>
      <c r="R44" s="62" t="s">
        <v>326</v>
      </c>
      <c r="S44" s="17">
        <f xml:space="preserve"> AVERAGE($L$15,$L$17,$L$28,$L$40,$L$52,$L$64,$L$80,$L$84:$L$86)+3*STDEV($L$15,$L$17,$L$28,$L$40,$L$52,$L$64,$L$80,$L$84:$L$86)</f>
        <v>-148.30902833993321</v>
      </c>
      <c r="T44" s="17">
        <f xml:space="preserve"> AVERAGE($L$15,$L$17,$L$28,$L$40,$L$52,$L$64,$L$80,$L$84:$L$86)+10*STDEV($L$15,$L$17,$L$28,$L$40,$L$52,$L$64,$L$80,$L$84:$L$86)</f>
        <v>-111.34273908945923</v>
      </c>
    </row>
    <row r="45" spans="1:43" x14ac:dyDescent="0.25">
      <c r="A45" s="23">
        <f>Alex_ITSD_count_data!A45</f>
        <v>6.9363425922347233E-2</v>
      </c>
      <c r="B45" s="8" t="str">
        <f>Alex_ITSD_count_data!B45</f>
        <v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v>
      </c>
      <c r="C45" s="8" t="b">
        <f>Alex_ITSD_count_data!C45</f>
        <v>0</v>
      </c>
      <c r="D45" s="8" t="str">
        <f>Alex_ITSD_count_data!D45</f>
        <v>043SMPL.d</v>
      </c>
      <c r="E45" s="11">
        <f>Alex_ITSD_count_data!E45</f>
        <v>45246.54954861111</v>
      </c>
      <c r="F45" s="8" t="str">
        <f>Alex_ITSD_count_data!F45</f>
        <v>Sample</v>
      </c>
      <c r="G45" s="8">
        <f>Alex_ITSD_count_data!G45</f>
        <v>0</v>
      </c>
      <c r="H45" s="8" t="str">
        <f>Alex_ITSD_count_data!H45</f>
        <v>20-20-T</v>
      </c>
      <c r="I45" s="17">
        <f>Alex_ITSD_count_data!M45</f>
        <v>23980995.059999999</v>
      </c>
      <c r="J45" s="17">
        <f>Alex_ITSD_count_data!N45</f>
        <v>19.100000000000001</v>
      </c>
      <c r="K45" s="47">
        <f t="shared" si="18"/>
        <v>23814947.645223968</v>
      </c>
      <c r="L45" s="17">
        <f t="shared" si="20"/>
        <v>1721.7001051538866</v>
      </c>
      <c r="M45" s="17">
        <f>[2]Alex_MS_FE_AL_data!L47</f>
        <v>1628.89</v>
      </c>
      <c r="N45" s="8">
        <v>5</v>
      </c>
      <c r="O45" s="17">
        <f t="shared" si="49"/>
        <v>8608.5005257694338</v>
      </c>
      <c r="P45" s="17">
        <f t="shared" si="50"/>
        <v>8144.4500000000007</v>
      </c>
      <c r="R45" s="62" t="s">
        <v>328</v>
      </c>
      <c r="S45" s="17">
        <f xml:space="preserve"> AVERAGE($M$15,$M$17,$M$28,$M$40,$M$52,$M$64,$M$80,$M$84:$M$86)+3*STDEV($M$15,$M$17,$M$28,$M$40,$M$52,$M$64,$M$80,$M$84:$M$86)</f>
        <v>17.003225091626646</v>
      </c>
      <c r="T45" s="17">
        <f xml:space="preserve"> AVERAGE($M$15,$M$17,$M$28,$M$40,$M$52,$M$64,$M$80,$M$84:$M$86)+10*STDEV($M$15,$M$17,$M$28,$M$40,$M$52,$M$64,$M$80,$M$84:$M$86)</f>
        <v>43.114625305422145</v>
      </c>
    </row>
    <row r="46" spans="1:43" x14ac:dyDescent="0.25">
      <c r="A46" s="23">
        <f>Alex_ITSD_count_data!A46</f>
        <v>7.0555555554165039E-2</v>
      </c>
      <c r="B46" s="8" t="str">
        <f>Alex_ITSD_count_data!B46</f>
        <v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v>
      </c>
      <c r="C46" s="8" t="b">
        <f>Alex_ITSD_count_data!C46</f>
        <v>0</v>
      </c>
      <c r="D46" s="8" t="str">
        <f>Alex_ITSD_count_data!D46</f>
        <v>044SMPL.d</v>
      </c>
      <c r="E46" s="11">
        <f>Alex_ITSD_count_data!E46</f>
        <v>45246.550740740742</v>
      </c>
      <c r="F46" s="8" t="str">
        <f>Alex_ITSD_count_data!F46</f>
        <v>Sample</v>
      </c>
      <c r="G46" s="8">
        <f>Alex_ITSD_count_data!G46</f>
        <v>0</v>
      </c>
      <c r="H46" s="8" t="str">
        <f>Alex_ITSD_count_data!H46</f>
        <v>20-100-B</v>
      </c>
      <c r="I46" s="17">
        <f>Alex_ITSD_count_data!M46</f>
        <v>6622863.4500000002</v>
      </c>
      <c r="J46" s="17">
        <f>Alex_ITSD_count_data!N46</f>
        <v>0.5</v>
      </c>
      <c r="K46" s="47">
        <f t="shared" si="18"/>
        <v>6453962.2251531845</v>
      </c>
      <c r="L46" s="17">
        <f t="shared" si="20"/>
        <v>350.91698187583137</v>
      </c>
      <c r="M46" s="17">
        <f>[2]Alex_MS_FE_AL_data!L48</f>
        <v>448.02800000000002</v>
      </c>
      <c r="N46" s="8">
        <v>5</v>
      </c>
      <c r="O46" s="17">
        <f t="shared" si="49"/>
        <v>1754.5849093791569</v>
      </c>
      <c r="P46" s="17">
        <f t="shared" si="50"/>
        <v>2240.1400000000003</v>
      </c>
    </row>
    <row r="47" spans="1:43" x14ac:dyDescent="0.25">
      <c r="A47" s="23">
        <f>Alex_ITSD_count_data!A47</f>
        <v>7.1689814809360541E-2</v>
      </c>
      <c r="B47" s="8" t="str">
        <f>Alex_ITSD_count_data!B47</f>
        <v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v>
      </c>
      <c r="C47" s="8" t="b">
        <f>Alex_ITSD_count_data!C47</f>
        <v>0</v>
      </c>
      <c r="D47" s="8" t="str">
        <f>Alex_ITSD_count_data!D47</f>
        <v>045SMPL.d</v>
      </c>
      <c r="E47" s="11">
        <f>Alex_ITSD_count_data!E47</f>
        <v>45246.551874999997</v>
      </c>
      <c r="F47" s="8" t="str">
        <f>Alex_ITSD_count_data!F47</f>
        <v>Sample</v>
      </c>
      <c r="G47" s="8">
        <f>Alex_ITSD_count_data!G47</f>
        <v>0</v>
      </c>
      <c r="H47" s="8" t="str">
        <f>Alex_ITSD_count_data!H47</f>
        <v>20-10-B</v>
      </c>
      <c r="I47" s="17">
        <f>Alex_ITSD_count_data!M47</f>
        <v>126778201.44</v>
      </c>
      <c r="J47" s="17">
        <f>Alex_ITSD_count_data!N47</f>
        <v>0.6</v>
      </c>
      <c r="K47" s="47">
        <f t="shared" si="18"/>
        <v>126606584.93956657</v>
      </c>
      <c r="L47" s="17">
        <f t="shared" si="20"/>
        <v>9839.6634200912849</v>
      </c>
      <c r="M47" s="17">
        <f>[2]Alex_MS_FE_AL_data!L49</f>
        <v>8622.1119999999992</v>
      </c>
      <c r="N47" s="8">
        <v>5</v>
      </c>
      <c r="O47" s="17">
        <f t="shared" si="49"/>
        <v>49198.317100456421</v>
      </c>
      <c r="P47" s="17">
        <f t="shared" si="50"/>
        <v>43110.559999999998</v>
      </c>
    </row>
    <row r="48" spans="1:43" x14ac:dyDescent="0.25">
      <c r="A48" s="23">
        <f>Alex_ITSD_count_data!A48</f>
        <v>7.2789351848769002E-2</v>
      </c>
      <c r="B48" s="8" t="str">
        <f>Alex_ITSD_count_data!B48</f>
        <v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v>
      </c>
      <c r="C48" s="8" t="b">
        <f>Alex_ITSD_count_data!C48</f>
        <v>0</v>
      </c>
      <c r="D48" s="8" t="str">
        <f>Alex_ITSD_count_data!D48</f>
        <v>046SMPL.d</v>
      </c>
      <c r="E48" s="11">
        <f>Alex_ITSD_count_data!E48</f>
        <v>45246.552974537037</v>
      </c>
      <c r="F48" s="8" t="str">
        <f>Alex_ITSD_count_data!F48</f>
        <v>Sample</v>
      </c>
      <c r="G48" s="8">
        <f>Alex_ITSD_count_data!G48</f>
        <v>0</v>
      </c>
      <c r="H48" s="8" t="str">
        <f>Alex_ITSD_count_data!H48</f>
        <v>20-30-T</v>
      </c>
      <c r="I48" s="17">
        <f>Alex_ITSD_count_data!M48</f>
        <v>40333449.399999999</v>
      </c>
      <c r="J48" s="17">
        <f>Alex_ITSD_count_data!N48</f>
        <v>1</v>
      </c>
      <c r="K48" s="47">
        <f t="shared" si="18"/>
        <v>40159200.744646065</v>
      </c>
      <c r="L48" s="17">
        <f t="shared" si="20"/>
        <v>3013.0642298810749</v>
      </c>
      <c r="M48" s="17">
        <f>[2]Alex_MS_FE_AL_data!L50</f>
        <v>2741.3359999999998</v>
      </c>
      <c r="N48" s="8">
        <v>5</v>
      </c>
      <c r="O48" s="17">
        <f t="shared" si="49"/>
        <v>15065.321149405374</v>
      </c>
      <c r="P48" s="17">
        <f t="shared" si="50"/>
        <v>13706.679999999998</v>
      </c>
    </row>
    <row r="49" spans="1:28" x14ac:dyDescent="0.25">
      <c r="A49" s="23">
        <f>Alex_ITSD_count_data!A49</f>
        <v>7.3923611111240461E-2</v>
      </c>
      <c r="B49" s="8" t="str">
        <f>Alex_ITSD_count_data!B49</f>
        <v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v>
      </c>
      <c r="C49" s="8" t="b">
        <f>Alex_ITSD_count_data!C49</f>
        <v>0</v>
      </c>
      <c r="D49" s="8" t="str">
        <f>Alex_ITSD_count_data!D49</f>
        <v>047SMPL.d</v>
      </c>
      <c r="E49" s="11">
        <f>Alex_ITSD_count_data!E49</f>
        <v>45246.554108796299</v>
      </c>
      <c r="F49" s="8" t="str">
        <f>Alex_ITSD_count_data!F49</f>
        <v>Sample</v>
      </c>
      <c r="G49" s="8">
        <f>Alex_ITSD_count_data!G49</f>
        <v>0</v>
      </c>
      <c r="H49" s="8" t="str">
        <f>Alex_ITSD_count_data!H49</f>
        <v>10-0-T</v>
      </c>
      <c r="I49" s="17">
        <f>Alex_ITSD_count_data!M49</f>
        <v>57486320.810000002</v>
      </c>
      <c r="J49" s="17">
        <f>Alex_ITSD_count_data!N49</f>
        <v>1.9</v>
      </c>
      <c r="K49" s="47">
        <f t="shared" si="18"/>
        <v>57309356.879042037</v>
      </c>
      <c r="L49" s="17">
        <f t="shared" si="20"/>
        <v>4367.6378195317566</v>
      </c>
      <c r="M49" s="17">
        <f>[2]Alex_MS_FE_AL_data!L51</f>
        <v>3908.2339999999999</v>
      </c>
      <c r="N49" s="8">
        <v>5</v>
      </c>
      <c r="O49" s="17">
        <f t="shared" si="49"/>
        <v>21838.189097658782</v>
      </c>
      <c r="P49" s="17">
        <f t="shared" si="50"/>
        <v>19541.169999999998</v>
      </c>
      <c r="Q49" s="2" t="s">
        <v>329</v>
      </c>
      <c r="R49" s="10"/>
      <c r="S49" s="7" t="s">
        <v>256</v>
      </c>
      <c r="T49" s="7" t="s">
        <v>339</v>
      </c>
      <c r="U49" s="7" t="s">
        <v>257</v>
      </c>
      <c r="V49" s="7" t="s">
        <v>260</v>
      </c>
      <c r="W49" s="10" t="s">
        <v>345</v>
      </c>
      <c r="X49" s="7" t="s">
        <v>340</v>
      </c>
      <c r="Y49" s="7" t="s">
        <v>341</v>
      </c>
      <c r="Z49" s="7" t="s">
        <v>261</v>
      </c>
      <c r="AA49" s="7" t="s">
        <v>252</v>
      </c>
      <c r="AB49" s="7" t="s">
        <v>346</v>
      </c>
    </row>
    <row r="50" spans="1:28" x14ac:dyDescent="0.25">
      <c r="A50" s="23">
        <f>Alex_ITSD_count_data!A50</f>
        <v>7.5104166666278616E-2</v>
      </c>
      <c r="B50" s="8" t="str">
        <f>Alex_ITSD_count_data!B50</f>
        <v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v>
      </c>
      <c r="C50" s="8" t="b">
        <f>Alex_ITSD_count_data!C50</f>
        <v>0</v>
      </c>
      <c r="D50" s="8" t="str">
        <f>Alex_ITSD_count_data!D50</f>
        <v>048SMPL.d</v>
      </c>
      <c r="E50" s="11">
        <f>Alex_ITSD_count_data!E50</f>
        <v>45246.555289351854</v>
      </c>
      <c r="F50" s="8" t="str">
        <f>Alex_ITSD_count_data!F50</f>
        <v>Sample</v>
      </c>
      <c r="G50" s="8">
        <f>Alex_ITSD_count_data!G50</f>
        <v>0</v>
      </c>
      <c r="H50" s="8" t="str">
        <f>Alex_ITSD_count_data!H50</f>
        <v>10-10-T</v>
      </c>
      <c r="I50" s="17">
        <f>Alex_ITSD_count_data!M50</f>
        <v>86846285.370000005</v>
      </c>
      <c r="J50" s="17">
        <f>Alex_ITSD_count_data!N50</f>
        <v>0.3</v>
      </c>
      <c r="K50" s="47">
        <f t="shared" si="18"/>
        <v>86666495.335871577</v>
      </c>
      <c r="L50" s="17">
        <f t="shared" si="20"/>
        <v>6686.2136215324781</v>
      </c>
      <c r="M50" s="17">
        <f>[2]Alex_MS_FE_AL_data!L52</f>
        <v>5905.5720000000001</v>
      </c>
      <c r="N50" s="8">
        <v>5</v>
      </c>
      <c r="O50" s="17">
        <f t="shared" si="49"/>
        <v>33431.068107662388</v>
      </c>
      <c r="P50" s="17">
        <f t="shared" si="50"/>
        <v>29527.86</v>
      </c>
      <c r="R50" s="62" t="s">
        <v>330</v>
      </c>
      <c r="S50" s="17">
        <f>AVERAGE(Z3:Z8)</f>
        <v>1665822.1233333333</v>
      </c>
      <c r="T50" s="17">
        <f>MEDIAN(Z3:Z8)</f>
        <v>1658746.28</v>
      </c>
      <c r="U50" s="17">
        <f>STDEV(Z3:Z8)</f>
        <v>94831.39882742503</v>
      </c>
      <c r="V50" s="17">
        <f t="shared" ref="V50:V55" si="51">U50/S50*100</f>
        <v>5.6927686035088829</v>
      </c>
      <c r="W50" s="17">
        <f>VAR(Z3:Z8)</f>
        <v>8992994203.5661488</v>
      </c>
      <c r="X50" s="17">
        <f>MAX(Z3:Z8)</f>
        <v>1787597.01</v>
      </c>
      <c r="Y50" s="17">
        <f>MIN(Z3:Z8)</f>
        <v>1535866.96</v>
      </c>
      <c r="Z50" s="17">
        <f t="shared" ref="Z50:Z55" si="52">X50-Y50</f>
        <v>251730.05000000005</v>
      </c>
      <c r="AA50" s="17">
        <f>COUNT(Z3:Z8)</f>
        <v>6</v>
      </c>
      <c r="AB50" s="17">
        <f t="shared" ref="AB50:AB55" si="53">U50/SQRT(AA50)</f>
        <v>38714.756453593058</v>
      </c>
    </row>
    <row r="51" spans="1:28" x14ac:dyDescent="0.25">
      <c r="A51" s="23">
        <f>Alex_ITSD_count_data!A51</f>
        <v>7.6238425921474118E-2</v>
      </c>
      <c r="B51" s="8" t="str">
        <f>Alex_ITSD_count_data!B51</f>
        <v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v>
      </c>
      <c r="C51" s="8" t="b">
        <f>Alex_ITSD_count_data!C51</f>
        <v>0</v>
      </c>
      <c r="D51" s="8" t="str">
        <f>Alex_ITSD_count_data!D51</f>
        <v>049SMPL.d</v>
      </c>
      <c r="E51" s="11">
        <f>Alex_ITSD_count_data!E51</f>
        <v>45246.556423611109</v>
      </c>
      <c r="F51" s="8" t="str">
        <f>Alex_ITSD_count_data!F51</f>
        <v>Sample</v>
      </c>
      <c r="G51" s="8">
        <f>Alex_ITSD_count_data!G51</f>
        <v>0</v>
      </c>
      <c r="H51" s="8" t="str">
        <f>Alex_ITSD_count_data!H51</f>
        <v>10-20-T</v>
      </c>
      <c r="I51" s="17">
        <f>Alex_ITSD_count_data!M51</f>
        <v>4534087.0199999996</v>
      </c>
      <c r="J51" s="17">
        <f>Alex_ITSD_count_data!N51</f>
        <v>0.5</v>
      </c>
      <c r="K51" s="47">
        <f t="shared" si="18"/>
        <v>4351581.7102849502</v>
      </c>
      <c r="L51" s="17">
        <f t="shared" si="20"/>
        <v>185.96492696138037</v>
      </c>
      <c r="M51" s="17">
        <f>[2]Alex_MS_FE_AL_data!L53</f>
        <v>305.93</v>
      </c>
      <c r="N51" s="8">
        <v>5</v>
      </c>
      <c r="O51" s="17">
        <f t="shared" si="49"/>
        <v>929.82463480690183</v>
      </c>
      <c r="P51" s="17">
        <f t="shared" si="50"/>
        <v>1529.65</v>
      </c>
      <c r="R51" s="62" t="s">
        <v>331</v>
      </c>
      <c r="S51" s="17">
        <f>AVERAGE($L$12,$L$29,$L$41,$L$53,$L$65,$L$81)</f>
        <v>-40.543847241970731</v>
      </c>
      <c r="T51" s="17">
        <f>MEDIAN($L$12,$L$29,$L$41,$L$53,$L$65,$L$81)</f>
        <v>-41.102631265632873</v>
      </c>
      <c r="U51" s="17">
        <f>STDEV($L$12,$L$29,$L$41,$L$53,$L$65,$L$81)</f>
        <v>7.4888982288044579</v>
      </c>
      <c r="V51" s="17">
        <f t="shared" si="51"/>
        <v>-18.471109029465755</v>
      </c>
      <c r="W51" s="17">
        <f>VAR($L$12,$L$29,$L$41,$L$53,$L$65,$L$81)</f>
        <v>56.083596681390553</v>
      </c>
      <c r="X51" s="17">
        <f>MAX($L$12,$L$29,$L$41,$L$53,$L$65,$L$81)</f>
        <v>-30.927203974581388</v>
      </c>
      <c r="Y51" s="17">
        <f>MIN($L$12,$L$29,$L$41,$L$53,$L$65,$L$81)</f>
        <v>-50.806492363151285</v>
      </c>
      <c r="Z51" s="17">
        <f t="shared" si="52"/>
        <v>19.879288388569897</v>
      </c>
      <c r="AA51" s="17">
        <f>COUNT($L$12,$L$29,$L$41,$L$53,$L$65,$L$81)</f>
        <v>6</v>
      </c>
      <c r="AB51" s="17">
        <f t="shared" si="53"/>
        <v>3.057329899367272</v>
      </c>
    </row>
    <row r="52" spans="1:28" x14ac:dyDescent="0.25">
      <c r="A52" s="23">
        <f>Alex_ITSD_count_data!A52</f>
        <v>8.0856481479713693E-2</v>
      </c>
      <c r="B52" s="8" t="str">
        <f>Alex_ITSD_count_data!B52</f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C52" s="8" t="b">
        <f>Alex_ITSD_count_data!C52</f>
        <v>0</v>
      </c>
      <c r="D52" s="8" t="str">
        <f>Alex_ITSD_count_data!D52</f>
        <v>050SMPL.d</v>
      </c>
      <c r="E52" s="11">
        <f>Alex_ITSD_count_data!E52</f>
        <v>45246.561041666668</v>
      </c>
      <c r="F52" s="8" t="str">
        <f>Alex_ITSD_count_data!F52</f>
        <v>Sample</v>
      </c>
      <c r="G52" s="8">
        <f>Alex_ITSD_count_data!G52</f>
        <v>0</v>
      </c>
      <c r="H52" s="40" t="str">
        <f>Alex_ITSD_count_data!H52</f>
        <v xml:space="preserve">blk </v>
      </c>
      <c r="I52" s="43">
        <f>Alex_ITSD_count_data!M52</f>
        <v>75993.05</v>
      </c>
      <c r="J52" s="43">
        <f>Alex_ITSD_count_data!N52</f>
        <v>6.1</v>
      </c>
      <c r="K52" s="48">
        <f t="shared" si="18"/>
        <v>-117567.31036373255</v>
      </c>
      <c r="L52" s="43">
        <f>(I52-$AP$30)*(1/$AO$30)</f>
        <v>-166.09369970227959</v>
      </c>
      <c r="M52" s="43">
        <f>[2]Alex_MS_FE_AL_data!L54</f>
        <v>2.649</v>
      </c>
      <c r="N52" s="8"/>
      <c r="O52" s="17"/>
      <c r="P52" s="17"/>
      <c r="R52" s="62" t="s">
        <v>332</v>
      </c>
      <c r="S52" s="17">
        <f>AVERAGE($M$12,$M$29,$M$41,$M$53,$M$65,$M$81)</f>
        <v>110.80399999999999</v>
      </c>
      <c r="T52" s="17">
        <f>MEDIAN($M$12,$M$29,$M$41,$M$53,$M$65,$M$81)</f>
        <v>110.32300000000001</v>
      </c>
      <c r="U52" s="17">
        <f>STDEV($M$12,$M$29,$M$41,$M$53,$M$65,$M$81)</f>
        <v>6.4512875924113011</v>
      </c>
      <c r="V52" s="17">
        <f t="shared" si="51"/>
        <v>5.822251536416827</v>
      </c>
      <c r="W52" s="17">
        <f>VAR($M$12,$M$29,$M$41,$M$53,$M$65,$M$81)</f>
        <v>41.619111599999997</v>
      </c>
      <c r="X52" s="17">
        <f>MAX($M$12,$M$29,$M$41,$M$53,$M$65,$M$81)</f>
        <v>119.08799999999999</v>
      </c>
      <c r="Y52" s="17">
        <f>MIN($M$12,$M$29,$M$41,$M$53,$M$65,$M$81)</f>
        <v>101.96299999999999</v>
      </c>
      <c r="Z52" s="17">
        <f t="shared" si="52"/>
        <v>17.125</v>
      </c>
      <c r="AA52" s="17">
        <f>COUNT($M$12,$M$29,$M$41,$M$53,$M$65,$M$81)</f>
        <v>6</v>
      </c>
      <c r="AB52" s="17">
        <f t="shared" si="53"/>
        <v>2.6337271308926447</v>
      </c>
    </row>
    <row r="53" spans="1:28" x14ac:dyDescent="0.25">
      <c r="A53" s="23">
        <f>Alex_ITSD_count_data!A53</f>
        <v>8.2002314811688848E-2</v>
      </c>
      <c r="B53" s="8" t="str">
        <f>Alex_ITSD_count_data!B53</f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C53" s="8" t="b">
        <f>Alex_ITSD_count_data!C53</f>
        <v>0</v>
      </c>
      <c r="D53" s="8" t="str">
        <f>Alex_ITSD_count_data!D53</f>
        <v>051SMPL.d</v>
      </c>
      <c r="E53" s="11">
        <f>Alex_ITSD_count_data!E53</f>
        <v>45246.5621875</v>
      </c>
      <c r="F53" s="8" t="str">
        <f>Alex_ITSD_count_data!F53</f>
        <v>Sample</v>
      </c>
      <c r="G53" s="8">
        <f>Alex_ITSD_count_data!G53</f>
        <v>0</v>
      </c>
      <c r="H53" s="8" t="str">
        <f>Alex_ITSD_count_data!H53</f>
        <v>100 ppb check</v>
      </c>
      <c r="I53" s="17">
        <f>Alex_ITSD_count_data!M53</f>
        <v>1685107.79</v>
      </c>
      <c r="J53" s="17">
        <f>Alex_ITSD_count_data!N53</f>
        <v>1.4</v>
      </c>
      <c r="K53" s="47">
        <f t="shared" si="18"/>
        <v>1488804.4471493345</v>
      </c>
      <c r="L53" s="17">
        <f t="shared" si="20"/>
        <v>-39.020845401576636</v>
      </c>
      <c r="M53" s="17">
        <f>[2]Alex_MS_FE_AL_data!L55</f>
        <v>112.116</v>
      </c>
      <c r="N53" s="8"/>
      <c r="O53" s="17"/>
      <c r="P53" s="17"/>
      <c r="R53" s="62" t="s">
        <v>333</v>
      </c>
      <c r="S53" s="17">
        <f>AVERAGE(Z15:Z24)</f>
        <v>100584.15700000001</v>
      </c>
      <c r="T53" s="17">
        <f>MEDIAN(Z15:Z24)</f>
        <v>80230.760000000009</v>
      </c>
      <c r="U53" s="17">
        <f>STDEV(Z15:Z24)</f>
        <v>66871.650961156294</v>
      </c>
      <c r="V53" s="17">
        <f t="shared" si="51"/>
        <v>66.483284202656577</v>
      </c>
      <c r="W53" s="17">
        <f>VAR(Z15:Z24)</f>
        <v>4471817702.2707148</v>
      </c>
      <c r="X53" s="17">
        <f>MAX(Z15:Z24)</f>
        <v>195294.66</v>
      </c>
      <c r="Y53" s="17">
        <f>MIN(Z15:Z24)</f>
        <v>12582.58</v>
      </c>
      <c r="Z53" s="17">
        <f t="shared" si="52"/>
        <v>182712.08000000002</v>
      </c>
      <c r="AA53" s="17">
        <f>COUNT(Z15:Z24)</f>
        <v>10</v>
      </c>
      <c r="AB53" s="17">
        <f t="shared" si="53"/>
        <v>21146.672793304188</v>
      </c>
    </row>
    <row r="54" spans="1:28" x14ac:dyDescent="0.25">
      <c r="A54" s="23">
        <f>Alex_ITSD_count_data!A54</f>
        <v>8.3136574074160308E-2</v>
      </c>
      <c r="B54" s="8" t="str">
        <f>Alex_ITSD_count_data!B54</f>
        <v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v>
      </c>
      <c r="C54" s="8" t="b">
        <f>Alex_ITSD_count_data!C54</f>
        <v>0</v>
      </c>
      <c r="D54" s="8" t="str">
        <f>Alex_ITSD_count_data!D54</f>
        <v>052SMPL.d</v>
      </c>
      <c r="E54" s="11">
        <f>Alex_ITSD_count_data!E54</f>
        <v>45246.563321759262</v>
      </c>
      <c r="F54" s="8" t="str">
        <f>Alex_ITSD_count_data!F54</f>
        <v>Sample</v>
      </c>
      <c r="G54" s="8">
        <f>Alex_ITSD_count_data!G54</f>
        <v>0</v>
      </c>
      <c r="H54" s="8" t="str">
        <f>Alex_ITSD_count_data!H54</f>
        <v>10-30-T</v>
      </c>
      <c r="I54" s="17">
        <f>Alex_ITSD_count_data!M54</f>
        <v>19479370.129999999</v>
      </c>
      <c r="J54" s="17">
        <f>Alex_ITSD_count_data!N54</f>
        <v>1.2</v>
      </c>
      <c r="K54" s="47">
        <f t="shared" si="18"/>
        <v>19280351.5115453</v>
      </c>
      <c r="L54" s="17">
        <f t="shared" si="20"/>
        <v>1366.2038098143125</v>
      </c>
      <c r="M54" s="17">
        <f>[2]Alex_MS_FE_AL_data!L56</f>
        <v>1322.6469999999999</v>
      </c>
      <c r="N54" s="8">
        <v>5</v>
      </c>
      <c r="O54" s="17">
        <f>IF(L54 &lt; $S$44, "NA", N54*L54)</f>
        <v>6831.0190490715631</v>
      </c>
      <c r="P54" s="17">
        <f>IF(M54 &lt; $S$45, "NA", N54*M54)</f>
        <v>6613.2349999999997</v>
      </c>
      <c r="R54" s="62" t="s">
        <v>334</v>
      </c>
      <c r="S54" s="17">
        <f>AVERAGE($L$15,$L$17,$L$28,$L$40,$L$52,$L$64,$L$80,$L$84,$L$85,$L$86)</f>
        <v>-164.1517237329935</v>
      </c>
      <c r="T54" s="17">
        <f>MEDIAN($L$15,$L$17,$L$28,$L$40,$L$52,$L$64,$L$80,$L$84,$L$85,$L$86)</f>
        <v>-165.75904494335379</v>
      </c>
      <c r="U54" s="17">
        <f>STDEV($L$15,$L$17,$L$28,$L$40,$L$52,$L$64,$L$80,$L$84,$L$85,$L$86)</f>
        <v>5.2808984643534282</v>
      </c>
      <c r="V54" s="17">
        <f t="shared" si="51"/>
        <v>-3.2170837711964886</v>
      </c>
      <c r="W54" s="17">
        <f>VAR($L$15,$L$17,$L$28,$L$40,$L$52,$L$64,$L$80,$L$84,$L$85,$L$86)</f>
        <v>27.887888590810398</v>
      </c>
      <c r="X54" s="17">
        <f>MAX($L$15,$L$17,$L$28,$L$40,$L$52,$L$64,$L$80,$L$84,$L$85,$L$86)</f>
        <v>-156.67237272756719</v>
      </c>
      <c r="Y54" s="17">
        <f>MIN($L$15,$L$17,$L$28,$L$40,$L$52,$L$64,$L$80,$L$84,$L$85,$L$86)</f>
        <v>-171.10126641902536</v>
      </c>
      <c r="Z54" s="17">
        <f t="shared" si="52"/>
        <v>14.428893691458171</v>
      </c>
      <c r="AA54" s="17">
        <f>COUNT($L$15,$L$17,$L$28,$L$40,$L$52,$L$64,$L$80,$L$84,$L$85,$L$86)</f>
        <v>10</v>
      </c>
      <c r="AB54" s="17">
        <f t="shared" si="53"/>
        <v>1.6699667239442346</v>
      </c>
    </row>
    <row r="55" spans="1:28" x14ac:dyDescent="0.25">
      <c r="A55" s="23">
        <f>Alex_ITSD_count_data!A55</f>
        <v>8.427083332935581E-2</v>
      </c>
      <c r="B55" s="8" t="str">
        <f>Alex_ITSD_count_data!B55</f>
        <v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v>
      </c>
      <c r="C55" s="8" t="b">
        <f>Alex_ITSD_count_data!C55</f>
        <v>0</v>
      </c>
      <c r="D55" s="8" t="str">
        <f>Alex_ITSD_count_data!D55</f>
        <v>053SMPL.d</v>
      </c>
      <c r="E55" s="11">
        <f>Alex_ITSD_count_data!E55</f>
        <v>45246.564456018517</v>
      </c>
      <c r="F55" s="8" t="str">
        <f>Alex_ITSD_count_data!F55</f>
        <v>Sample</v>
      </c>
      <c r="G55" s="8">
        <f>Alex_ITSD_count_data!G55</f>
        <v>0</v>
      </c>
      <c r="H55" s="8" t="str">
        <f>Alex_ITSD_count_data!H55</f>
        <v>10-40-T</v>
      </c>
      <c r="I55" s="17">
        <f>Alex_ITSD_count_data!M55</f>
        <v>85008788.730000004</v>
      </c>
      <c r="J55" s="17">
        <f>Alex_ITSD_count_data!N55</f>
        <v>1.1000000000000001</v>
      </c>
      <c r="K55" s="47">
        <f t="shared" si="18"/>
        <v>84807054.835958689</v>
      </c>
      <c r="L55" s="17">
        <f t="shared" si="20"/>
        <v>6541.1052976768706</v>
      </c>
      <c r="M55" s="17">
        <f>[2]Alex_MS_FE_AL_data!L57</f>
        <v>5780.5680000000002</v>
      </c>
      <c r="N55" s="8">
        <v>5</v>
      </c>
      <c r="O55" s="17">
        <f t="shared" ref="O55:O63" si="54">IF(L55 &lt; $S$44, "NA", N55*L55)</f>
        <v>32705.526488384352</v>
      </c>
      <c r="P55" s="17">
        <f t="shared" ref="P55:P63" si="55">IF(M55 &lt; $S$45, "NA", N55*M55)</f>
        <v>28902.84</v>
      </c>
      <c r="R55" s="62" t="s">
        <v>335</v>
      </c>
      <c r="S55" s="17">
        <f>AVERAGE($M$15,$M$17,$M$28,$M$40,$M$52,$M$64,$M$80,$M$84,$M$85,$M$86)</f>
        <v>5.8126249999999997</v>
      </c>
      <c r="T55" s="17">
        <f>MEDIAN($M$15,$M$17,$M$28,$M$40,$M$52,$M$64,$M$80,$M$84,$M$85,$M$86)</f>
        <v>4.2454999999999998</v>
      </c>
      <c r="U55" s="17">
        <f>STDEV($M$15,$M$17,$M$28,$M$40,$M$52,$M$64,$M$80,$M$84,$M$85,$M$86)</f>
        <v>3.7302000305422149</v>
      </c>
      <c r="V55" s="17">
        <f t="shared" si="51"/>
        <v>64.174104308160523</v>
      </c>
      <c r="W55" s="17">
        <f>VAR($M$15,$M$17,$M$28,$M$40,$M$52,$M$64,$M$80,$M$84,$M$85,$M$86)</f>
        <v>13.91439226785714</v>
      </c>
      <c r="X55" s="17">
        <f>MAX($M$15,$M$17,$M$28,$M$40,$M$52,$M$64,$M$80,$M$84,$M$85,$M$86)</f>
        <v>10.765000000000001</v>
      </c>
      <c r="Y55" s="17">
        <f>MIN($M$15,$M$17,$M$28,$M$40,$M$52,$M$64,$M$80,$M$84,$M$85,$M$86)</f>
        <v>2.3769999999999998</v>
      </c>
      <c r="Z55" s="17">
        <f t="shared" si="52"/>
        <v>8.3880000000000017</v>
      </c>
      <c r="AA55" s="17">
        <f>COUNT($M$15,$M$17,$M$28,$M$40,$M$52,$M$64,$M$80,$M$84,$M$85,$M$86)</f>
        <v>8</v>
      </c>
      <c r="AB55" s="17">
        <f t="shared" si="53"/>
        <v>1.3188248683893333</v>
      </c>
    </row>
    <row r="56" spans="1:28" x14ac:dyDescent="0.25">
      <c r="A56" s="23">
        <f>Alex_ITSD_count_data!A56</f>
        <v>8.5451388884393964E-2</v>
      </c>
      <c r="B56" s="8" t="str">
        <f>Alex_ITSD_count_data!B56</f>
        <v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v>
      </c>
      <c r="C56" s="8" t="b">
        <f>Alex_ITSD_count_data!C56</f>
        <v>0</v>
      </c>
      <c r="D56" s="8" t="str">
        <f>Alex_ITSD_count_data!D56</f>
        <v>054SMPL.d</v>
      </c>
      <c r="E56" s="11">
        <f>Alex_ITSD_count_data!E56</f>
        <v>45246.565636574072</v>
      </c>
      <c r="F56" s="8" t="str">
        <f>Alex_ITSD_count_data!F56</f>
        <v>Sample</v>
      </c>
      <c r="G56" s="8">
        <f>Alex_ITSD_count_data!G56</f>
        <v>0</v>
      </c>
      <c r="H56" s="8" t="str">
        <f>Alex_ITSD_count_data!H56</f>
        <v>10-50-T</v>
      </c>
      <c r="I56" s="17">
        <f>Alex_ITSD_count_data!M56</f>
        <v>89598578.659999996</v>
      </c>
      <c r="J56" s="17">
        <f>Alex_ITSD_count_data!N56</f>
        <v>0.9</v>
      </c>
      <c r="K56" s="47">
        <f t="shared" si="18"/>
        <v>89394018.662788212</v>
      </c>
      <c r="L56" s="17">
        <f t="shared" si="20"/>
        <v>6903.5640413247738</v>
      </c>
      <c r="M56" s="17">
        <f>[2]Alex_MS_FE_AL_data!L58</f>
        <v>6092.808</v>
      </c>
      <c r="N56" s="8">
        <v>5</v>
      </c>
      <c r="O56" s="17">
        <f t="shared" si="54"/>
        <v>34517.820206623866</v>
      </c>
      <c r="P56" s="17">
        <f t="shared" si="55"/>
        <v>30464.04</v>
      </c>
      <c r="V56"/>
    </row>
    <row r="57" spans="1:28" x14ac:dyDescent="0.25">
      <c r="A57" s="23">
        <f>Alex_ITSD_count_data!A57</f>
        <v>8.6585648146865424E-2</v>
      </c>
      <c r="B57" s="8" t="str">
        <f>Alex_ITSD_count_data!B57</f>
        <v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v>
      </c>
      <c r="C57" s="8" t="b">
        <f>Alex_ITSD_count_data!C57</f>
        <v>0</v>
      </c>
      <c r="D57" s="8" t="str">
        <f>Alex_ITSD_count_data!D57</f>
        <v>055SMPL.d</v>
      </c>
      <c r="E57" s="11">
        <f>Alex_ITSD_count_data!E57</f>
        <v>45246.566770833335</v>
      </c>
      <c r="F57" s="8" t="str">
        <f>Alex_ITSD_count_data!F57</f>
        <v>Sample</v>
      </c>
      <c r="G57" s="8">
        <f>Alex_ITSD_count_data!G57</f>
        <v>0</v>
      </c>
      <c r="H57" s="8" t="str">
        <f>Alex_ITSD_count_data!H57</f>
        <v>10-80-T</v>
      </c>
      <c r="I57" s="17">
        <f>Alex_ITSD_count_data!M57</f>
        <v>26643724.600000001</v>
      </c>
      <c r="J57" s="17">
        <f>Alex_ITSD_count_data!N57</f>
        <v>1.8</v>
      </c>
      <c r="K57" s="47">
        <f t="shared" si="18"/>
        <v>26436449.327184185</v>
      </c>
      <c r="L57" s="17">
        <f t="shared" si="20"/>
        <v>1931.9776164260772</v>
      </c>
      <c r="M57" s="17">
        <f>[2]Alex_MS_FE_AL_data!L59</f>
        <v>1810.0329999999999</v>
      </c>
      <c r="N57" s="8">
        <v>5</v>
      </c>
      <c r="O57" s="17">
        <f t="shared" si="54"/>
        <v>9659.8880821303865</v>
      </c>
      <c r="P57" s="17">
        <f t="shared" si="55"/>
        <v>9050.1649999999991</v>
      </c>
      <c r="R57" s="11"/>
      <c r="S57" s="7" t="s">
        <v>325</v>
      </c>
      <c r="T57" s="7" t="s">
        <v>338</v>
      </c>
      <c r="U57" s="7" t="s">
        <v>336</v>
      </c>
      <c r="V57" s="7" t="s">
        <v>343</v>
      </c>
      <c r="W57" s="7" t="s">
        <v>344</v>
      </c>
      <c r="X57" s="7" t="s">
        <v>347</v>
      </c>
      <c r="Y57" s="7" t="s">
        <v>348</v>
      </c>
    </row>
    <row r="58" spans="1:28" x14ac:dyDescent="0.25">
      <c r="A58" s="23">
        <f>Alex_ITSD_count_data!A58</f>
        <v>8.7719907402060926E-2</v>
      </c>
      <c r="B58" s="8" t="str">
        <f>Alex_ITSD_count_data!B58</f>
        <v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v>
      </c>
      <c r="C58" s="8" t="b">
        <f>Alex_ITSD_count_data!C58</f>
        <v>0</v>
      </c>
      <c r="D58" s="8" t="str">
        <f>Alex_ITSD_count_data!D58</f>
        <v>056SMPL.d</v>
      </c>
      <c r="E58" s="11">
        <f>Alex_ITSD_count_data!E58</f>
        <v>45246.56790509259</v>
      </c>
      <c r="F58" s="8" t="str">
        <f>Alex_ITSD_count_data!F58</f>
        <v>Sample</v>
      </c>
      <c r="G58" s="8">
        <f>Alex_ITSD_count_data!G58</f>
        <v>0</v>
      </c>
      <c r="H58" s="8" t="str">
        <f>Alex_ITSD_count_data!H58</f>
        <v>10-100-T</v>
      </c>
      <c r="I58" s="17">
        <f>Alex_ITSD_count_data!M58</f>
        <v>21114091.350000001</v>
      </c>
      <c r="J58" s="17">
        <f>Alex_ITSD_count_data!N58</f>
        <v>0.5</v>
      </c>
      <c r="K58" s="47">
        <f t="shared" si="18"/>
        <v>20904100.801597569</v>
      </c>
      <c r="L58" s="17">
        <f t="shared" si="20"/>
        <v>1495.2988247610574</v>
      </c>
      <c r="M58" s="17">
        <f>[2]Alex_MS_FE_AL_data!L60</f>
        <v>1433.856</v>
      </c>
      <c r="N58" s="8">
        <v>5</v>
      </c>
      <c r="O58" s="17">
        <f t="shared" si="54"/>
        <v>7476.494123805287</v>
      </c>
      <c r="P58" s="17">
        <f t="shared" si="55"/>
        <v>7169.28</v>
      </c>
      <c r="R58" s="62" t="s">
        <v>337</v>
      </c>
      <c r="S58" s="17">
        <f>L16</f>
        <v>-158.38734618991836</v>
      </c>
      <c r="T58" s="17">
        <f>M16</f>
        <v>9.2880000000000003</v>
      </c>
      <c r="U58" s="52">
        <v>99000</v>
      </c>
      <c r="V58" s="52">
        <v>5000</v>
      </c>
      <c r="W58" s="17">
        <f>U58/(100*100)</f>
        <v>9.9</v>
      </c>
      <c r="X58" s="17">
        <f>T58/W58 *100</f>
        <v>93.818181818181827</v>
      </c>
      <c r="Y58" s="17">
        <f>S58/W58 *100</f>
        <v>-1599.872183736549</v>
      </c>
    </row>
    <row r="59" spans="1:28" x14ac:dyDescent="0.25">
      <c r="A59" s="23">
        <f>Alex_ITSD_count_data!A59</f>
        <v>8.8854166664532386E-2</v>
      </c>
      <c r="B59" s="8" t="str">
        <f>Alex_ITSD_count_data!B59</f>
        <v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v>
      </c>
      <c r="C59" s="8" t="b">
        <f>Alex_ITSD_count_data!C59</f>
        <v>0</v>
      </c>
      <c r="D59" s="8" t="str">
        <f>Alex_ITSD_count_data!D59</f>
        <v>057SMPL.d</v>
      </c>
      <c r="E59" s="11">
        <f>Alex_ITSD_count_data!E59</f>
        <v>45246.569039351853</v>
      </c>
      <c r="F59" s="8" t="str">
        <f>Alex_ITSD_count_data!F59</f>
        <v>Sample</v>
      </c>
      <c r="G59" s="8">
        <f>Alex_ITSD_count_data!G59</f>
        <v>0</v>
      </c>
      <c r="H59" s="8" t="str">
        <f>Alex_ITSD_count_data!H59</f>
        <v>10-90-T</v>
      </c>
      <c r="I59" s="17">
        <f>Alex_ITSD_count_data!M59</f>
        <v>613065.92000000004</v>
      </c>
      <c r="J59" s="17">
        <f>Alex_ITSD_count_data!N59</f>
        <v>2.8</v>
      </c>
      <c r="K59" s="47">
        <f t="shared" si="18"/>
        <v>400360.09599353425</v>
      </c>
      <c r="L59" s="17">
        <f t="shared" si="20"/>
        <v>-123.68070026734161</v>
      </c>
      <c r="M59" s="17">
        <f>[2]Alex_MS_FE_AL_data!L61</f>
        <v>39.186</v>
      </c>
      <c r="N59" s="8">
        <v>5</v>
      </c>
      <c r="O59" s="17">
        <f t="shared" si="54"/>
        <v>-618.40350133670802</v>
      </c>
      <c r="P59" s="17">
        <f t="shared" si="55"/>
        <v>195.93</v>
      </c>
      <c r="R59" s="62" t="s">
        <v>342</v>
      </c>
      <c r="S59" s="17">
        <f>S51</f>
        <v>-40.543847241970731</v>
      </c>
      <c r="T59" s="17">
        <f>S52</f>
        <v>110.80399999999999</v>
      </c>
      <c r="U59" s="52">
        <v>99000</v>
      </c>
      <c r="V59" s="52">
        <v>3000</v>
      </c>
      <c r="W59" s="17">
        <f>U59/(100*10)</f>
        <v>99</v>
      </c>
      <c r="X59" s="17">
        <f>T59/W59 *100</f>
        <v>111.92323232323231</v>
      </c>
      <c r="Y59" s="17">
        <f>S59/W59 *100</f>
        <v>-40.953381052495686</v>
      </c>
    </row>
    <row r="60" spans="1:28" x14ac:dyDescent="0.25">
      <c r="A60" s="23">
        <f>Alex_ITSD_count_data!A60</f>
        <v>9.0046296296350192E-2</v>
      </c>
      <c r="B60" s="8" t="str">
        <f>Alex_ITSD_count_data!B60</f>
        <v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v>
      </c>
      <c r="C60" s="8" t="b">
        <f>Alex_ITSD_count_data!C60</f>
        <v>0</v>
      </c>
      <c r="D60" s="8" t="str">
        <f>Alex_ITSD_count_data!D60</f>
        <v>058SMPL.d</v>
      </c>
      <c r="E60" s="11">
        <f>Alex_ITSD_count_data!E60</f>
        <v>45246.570231481484</v>
      </c>
      <c r="F60" s="8" t="str">
        <f>Alex_ITSD_count_data!F60</f>
        <v>Sample</v>
      </c>
      <c r="G60" s="8">
        <f>Alex_ITSD_count_data!G60</f>
        <v>0</v>
      </c>
      <c r="H60" s="8" t="str">
        <f>Alex_ITSD_count_data!H60</f>
        <v>10-60-T</v>
      </c>
      <c r="I60" s="17">
        <f>Alex_ITSD_count_data!M60</f>
        <v>7455653.4299999997</v>
      </c>
      <c r="J60" s="17">
        <f>Alex_ITSD_count_data!N60</f>
        <v>0.5</v>
      </c>
      <c r="K60" s="47">
        <f t="shared" si="18"/>
        <v>7240093.7959227506</v>
      </c>
      <c r="L60" s="17">
        <f t="shared" si="20"/>
        <v>416.6829568936385</v>
      </c>
      <c r="M60" s="17">
        <f>[2]Alex_MS_FE_AL_data!L62</f>
        <v>504.68200000000002</v>
      </c>
      <c r="N60" s="8">
        <v>5</v>
      </c>
      <c r="O60" s="17">
        <f t="shared" si="54"/>
        <v>2083.4147844681925</v>
      </c>
      <c r="P60" s="17">
        <f t="shared" si="55"/>
        <v>2523.41</v>
      </c>
    </row>
    <row r="61" spans="1:28" x14ac:dyDescent="0.25">
      <c r="A61" s="23">
        <f>Alex_ITSD_count_data!A61</f>
        <v>9.1180555551545694E-2</v>
      </c>
      <c r="B61" s="8" t="str">
        <f>Alex_ITSD_count_data!B61</f>
        <v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v>
      </c>
      <c r="C61" s="8" t="b">
        <f>Alex_ITSD_count_data!C61</f>
        <v>0</v>
      </c>
      <c r="D61" s="8" t="str">
        <f>Alex_ITSD_count_data!D61</f>
        <v>059SMPL.d</v>
      </c>
      <c r="E61" s="11">
        <f>Alex_ITSD_count_data!E61</f>
        <v>45246.57136574074</v>
      </c>
      <c r="F61" s="8" t="str">
        <f>Alex_ITSD_count_data!F61</f>
        <v>Sample</v>
      </c>
      <c r="G61" s="8">
        <f>Alex_ITSD_count_data!G61</f>
        <v>0</v>
      </c>
      <c r="H61" s="8" t="str">
        <f>Alex_ITSD_count_data!H61</f>
        <v>10-70-T</v>
      </c>
      <c r="I61" s="17">
        <f>Alex_ITSD_count_data!M61</f>
        <v>93438208.609999999</v>
      </c>
      <c r="J61" s="17">
        <f>Alex_ITSD_count_data!N61</f>
        <v>1.4</v>
      </c>
      <c r="K61" s="47">
        <f t="shared" si="18"/>
        <v>93219933.700336128</v>
      </c>
      <c r="L61" s="17">
        <f t="shared" si="20"/>
        <v>7206.7821556557419</v>
      </c>
      <c r="M61" s="17">
        <f>[2]Alex_MS_FE_AL_data!L63</f>
        <v>6354.0159999999996</v>
      </c>
      <c r="N61" s="8">
        <v>5</v>
      </c>
      <c r="O61" s="17">
        <f t="shared" si="54"/>
        <v>36033.91077827871</v>
      </c>
      <c r="P61" s="17">
        <f t="shared" si="55"/>
        <v>31770.079999999998</v>
      </c>
    </row>
    <row r="62" spans="1:28" x14ac:dyDescent="0.25">
      <c r="A62" s="23">
        <f>Alex_ITSD_count_data!A62</f>
        <v>9.2303240737237502E-2</v>
      </c>
      <c r="B62" s="8" t="str">
        <f>Alex_ITSD_count_data!B62</f>
        <v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v>
      </c>
      <c r="C62" s="8" t="b">
        <f>Alex_ITSD_count_data!C62</f>
        <v>0</v>
      </c>
      <c r="D62" s="8" t="str">
        <f>Alex_ITSD_count_data!D62</f>
        <v>060SMPL.d</v>
      </c>
      <c r="E62" s="11">
        <f>Alex_ITSD_count_data!E62</f>
        <v>45246.572488425925</v>
      </c>
      <c r="F62" s="8" t="str">
        <f>Alex_ITSD_count_data!F62</f>
        <v>Sample</v>
      </c>
      <c r="G62" s="8">
        <f>Alex_ITSD_count_data!G62</f>
        <v>0</v>
      </c>
      <c r="H62" s="8" t="str">
        <f>Alex_ITSD_count_data!H62</f>
        <v>10-0-B</v>
      </c>
      <c r="I62" s="17">
        <f>Alex_ITSD_count_data!M62</f>
        <v>19092215.550000001</v>
      </c>
      <c r="J62" s="17">
        <f>Alex_ITSD_count_data!N62</f>
        <v>0.4</v>
      </c>
      <c r="K62" s="47">
        <f t="shared" si="18"/>
        <v>18871253.071632419</v>
      </c>
      <c r="L62" s="17">
        <f t="shared" si="20"/>
        <v>1335.6299568048064</v>
      </c>
      <c r="M62" s="17">
        <f>[2]Alex_MS_FE_AL_data!L64</f>
        <v>1296.31</v>
      </c>
      <c r="N62" s="8">
        <v>5</v>
      </c>
      <c r="O62" s="17">
        <f t="shared" si="54"/>
        <v>6678.1497840240318</v>
      </c>
      <c r="P62" s="17">
        <f t="shared" si="55"/>
        <v>6481.5499999999993</v>
      </c>
    </row>
    <row r="63" spans="1:28" x14ac:dyDescent="0.25">
      <c r="A63" s="23">
        <f>Alex_ITSD_count_data!A63</f>
        <v>9.3425925922929309E-2</v>
      </c>
      <c r="B63" s="8" t="str">
        <f>Alex_ITSD_count_data!B63</f>
        <v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v>
      </c>
      <c r="C63" s="8" t="b">
        <f>Alex_ITSD_count_data!C63</f>
        <v>0</v>
      </c>
      <c r="D63" s="8" t="str">
        <f>Alex_ITSD_count_data!D63</f>
        <v>061SMPL.d</v>
      </c>
      <c r="E63" s="11">
        <f>Alex_ITSD_count_data!E63</f>
        <v>45246.573611111111</v>
      </c>
      <c r="F63" s="8" t="str">
        <f>Alex_ITSD_count_data!F63</f>
        <v>Sample</v>
      </c>
      <c r="G63" s="8">
        <f>Alex_ITSD_count_data!G63</f>
        <v>0</v>
      </c>
      <c r="H63" s="8" t="str">
        <f>Alex_ITSD_count_data!H63</f>
        <v>10-20-B</v>
      </c>
      <c r="I63" s="17">
        <f>Alex_ITSD_count_data!M63</f>
        <v>17414355.16</v>
      </c>
      <c r="J63" s="17">
        <f>Alex_ITSD_count_data!N63</f>
        <v>1.4</v>
      </c>
      <c r="K63" s="47">
        <f t="shared" si="18"/>
        <v>17190705.1129287</v>
      </c>
      <c r="L63" s="17">
        <f t="shared" si="20"/>
        <v>1203.1282130973373</v>
      </c>
      <c r="M63" s="17">
        <f>[2]Alex_MS_FE_AL_data!L65</f>
        <v>1182.1659999999999</v>
      </c>
      <c r="N63" s="8">
        <v>5</v>
      </c>
      <c r="O63" s="17">
        <f t="shared" si="54"/>
        <v>6015.6410654866868</v>
      </c>
      <c r="P63" s="17">
        <f t="shared" si="55"/>
        <v>5910.83</v>
      </c>
    </row>
    <row r="64" spans="1:28" x14ac:dyDescent="0.25">
      <c r="A64" s="23">
        <f>Alex_ITSD_count_data!A64</f>
        <v>9.4606481477967463E-2</v>
      </c>
      <c r="B64" s="8" t="str">
        <f>Alex_ITSD_count_data!B64</f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C64" s="8" t="b">
        <f>Alex_ITSD_count_data!C64</f>
        <v>0</v>
      </c>
      <c r="D64" s="8" t="str">
        <f>Alex_ITSD_count_data!D64</f>
        <v>062SMPL.d</v>
      </c>
      <c r="E64" s="11">
        <f>Alex_ITSD_count_data!E64</f>
        <v>45246.574791666666</v>
      </c>
      <c r="F64" s="8" t="str">
        <f>Alex_ITSD_count_data!F64</f>
        <v>Sample</v>
      </c>
      <c r="G64" s="8">
        <f>Alex_ITSD_count_data!G64</f>
        <v>0</v>
      </c>
      <c r="H64" s="40" t="str">
        <f>Alex_ITSD_count_data!H64</f>
        <v xml:space="preserve">blk </v>
      </c>
      <c r="I64" s="43">
        <f>Alex_ITSD_count_data!M64</f>
        <v>179488.82</v>
      </c>
      <c r="J64" s="43">
        <f>Alex_ITSD_count_data!N64</f>
        <v>1.5</v>
      </c>
      <c r="K64" s="48">
        <f t="shared" si="18"/>
        <v>-46987.330241765536</v>
      </c>
      <c r="L64" s="43">
        <f t="shared" si="20"/>
        <v>-157.92057035666866</v>
      </c>
      <c r="M64" s="43">
        <f>[2]Alex_MS_FE_AL_data!L66</f>
        <v>9.69</v>
      </c>
      <c r="N64" s="8"/>
      <c r="O64" s="17"/>
      <c r="P64" s="17"/>
    </row>
    <row r="65" spans="1:16" x14ac:dyDescent="0.25">
      <c r="A65" s="23">
        <f>Alex_ITSD_count_data!A65</f>
        <v>9.5740740740438923E-2</v>
      </c>
      <c r="B65" s="8" t="str">
        <f>Alex_ITSD_count_data!B65</f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C65" s="8" t="b">
        <f>Alex_ITSD_count_data!C65</f>
        <v>0</v>
      </c>
      <c r="D65" s="8" t="str">
        <f>Alex_ITSD_count_data!D65</f>
        <v>063SMPL.d</v>
      </c>
      <c r="E65" s="11">
        <f>Alex_ITSD_count_data!E65</f>
        <v>45246.575925925928</v>
      </c>
      <c r="F65" s="8" t="str">
        <f>Alex_ITSD_count_data!F65</f>
        <v>Sample</v>
      </c>
      <c r="G65" s="8">
        <f>Alex_ITSD_count_data!G65</f>
        <v>0</v>
      </c>
      <c r="H65" s="8" t="str">
        <f>Alex_ITSD_count_data!H65</f>
        <v>100 ppb check</v>
      </c>
      <c r="I65" s="17">
        <f>Alex_ITSD_count_data!M65</f>
        <v>1787597.01</v>
      </c>
      <c r="J65" s="17">
        <f>Alex_ITSD_count_data!N65</f>
        <v>4.2</v>
      </c>
      <c r="K65" s="47">
        <f t="shared" si="18"/>
        <v>1558405.5841542007</v>
      </c>
      <c r="L65" s="17">
        <f t="shared" si="20"/>
        <v>-30.927203974581388</v>
      </c>
      <c r="M65" s="17">
        <f>[2]Alex_MS_FE_AL_data!L67</f>
        <v>119.08799999999999</v>
      </c>
      <c r="N65" s="8"/>
      <c r="O65" s="17"/>
      <c r="P65" s="17"/>
    </row>
    <row r="66" spans="1:16" x14ac:dyDescent="0.25">
      <c r="A66" s="23">
        <f>Alex_ITSD_count_data!A66</f>
        <v>9.6874999995634425E-2</v>
      </c>
      <c r="B66" s="8" t="str">
        <f>Alex_ITSD_count_data!B66</f>
        <v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v>
      </c>
      <c r="C66" s="8" t="b">
        <f>Alex_ITSD_count_data!C66</f>
        <v>0</v>
      </c>
      <c r="D66" s="8" t="str">
        <f>Alex_ITSD_count_data!D66</f>
        <v>064SMPL.d</v>
      </c>
      <c r="E66" s="11">
        <f>Alex_ITSD_count_data!E66</f>
        <v>45246.577060185184</v>
      </c>
      <c r="F66" s="8" t="str">
        <f>Alex_ITSD_count_data!F66</f>
        <v>Sample</v>
      </c>
      <c r="G66" s="8">
        <f>Alex_ITSD_count_data!G66</f>
        <v>0</v>
      </c>
      <c r="H66" s="8" t="str">
        <f>Alex_ITSD_count_data!H66</f>
        <v>10-80-B</v>
      </c>
      <c r="I66" s="17">
        <f>Alex_ITSD_count_data!M66</f>
        <v>66905372.329999998</v>
      </c>
      <c r="J66" s="17">
        <f>Alex_ITSD_count_data!N66</f>
        <v>1.1000000000000001</v>
      </c>
      <c r="K66" s="47">
        <f t="shared" si="18"/>
        <v>66673465.628567584</v>
      </c>
      <c r="L66" s="17">
        <f t="shared" si="20"/>
        <v>5111.466542057643</v>
      </c>
      <c r="M66" s="17">
        <f>[2]Alex_MS_FE_AL_data!L68</f>
        <v>4549.0050000000001</v>
      </c>
      <c r="N66" s="8">
        <v>5</v>
      </c>
      <c r="O66" s="17">
        <f>IF(L66 &lt; $S$44, "NA", N66*L66)</f>
        <v>25557.332710288214</v>
      </c>
      <c r="P66" s="17">
        <f>IF(M66 &lt; $S$45, "NA", N66*M66)</f>
        <v>22745.025000000001</v>
      </c>
    </row>
    <row r="67" spans="1:16" x14ac:dyDescent="0.25">
      <c r="A67" s="23">
        <f>Alex_ITSD_count_data!A67</f>
        <v>9.7997685181326233E-2</v>
      </c>
      <c r="B67" s="8" t="str">
        <f>Alex_ITSD_count_data!B67</f>
        <v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v>
      </c>
      <c r="C67" s="8" t="b">
        <f>Alex_ITSD_count_data!C67</f>
        <v>0</v>
      </c>
      <c r="D67" s="8" t="str">
        <f>Alex_ITSD_count_data!D67</f>
        <v>065SMPL.d</v>
      </c>
      <c r="E67" s="11">
        <f>Alex_ITSD_count_data!E67</f>
        <v>45246.578182870369</v>
      </c>
      <c r="F67" s="8" t="str">
        <f>Alex_ITSD_count_data!F67</f>
        <v>Sample</v>
      </c>
      <c r="G67" s="8">
        <f>Alex_ITSD_count_data!G67</f>
        <v>0</v>
      </c>
      <c r="H67" s="8" t="str">
        <f>Alex_ITSD_count_data!H67</f>
        <v>10-90-B</v>
      </c>
      <c r="I67" s="17">
        <f>Alex_ITSD_count_data!M67</f>
        <v>1559635.29</v>
      </c>
      <c r="J67" s="17">
        <f>Alex_ITSD_count_data!N67</f>
        <v>1</v>
      </c>
      <c r="K67" s="47">
        <f t="shared" si="18"/>
        <v>1325041.0198638679</v>
      </c>
      <c r="L67" s="17">
        <f t="shared" si="20"/>
        <v>-48.929491637235969</v>
      </c>
      <c r="M67" s="17">
        <f>[2]Alex_MS_FE_AL_data!L69</f>
        <v>103.58</v>
      </c>
      <c r="N67" s="8">
        <v>5</v>
      </c>
      <c r="O67" s="17">
        <f t="shared" ref="O67:O75" si="56">IF(L67 &lt; $S$44, "NA", N67*L67)</f>
        <v>-244.64745818617985</v>
      </c>
      <c r="P67" s="17">
        <f t="shared" ref="P67:P75" si="57">IF(M67 &lt; $S$45, "NA", N67*M67)</f>
        <v>517.9</v>
      </c>
    </row>
    <row r="68" spans="1:16" x14ac:dyDescent="0.25">
      <c r="A68" s="23">
        <f>Alex_ITSD_count_data!A68</f>
        <v>9.9178240736364387E-2</v>
      </c>
      <c r="B68" s="8" t="str">
        <f>Alex_ITSD_count_data!B68</f>
        <v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v>
      </c>
      <c r="C68" s="8" t="b">
        <f>Alex_ITSD_count_data!C68</f>
        <v>0</v>
      </c>
      <c r="D68" s="8" t="str">
        <f>Alex_ITSD_count_data!D68</f>
        <v>066SMPL.d</v>
      </c>
      <c r="E68" s="11">
        <f>Alex_ITSD_count_data!E68</f>
        <v>45246.579363425924</v>
      </c>
      <c r="F68" s="8" t="str">
        <f>Alex_ITSD_count_data!F68</f>
        <v>Sample</v>
      </c>
      <c r="G68" s="8">
        <f>Alex_ITSD_count_data!G68</f>
        <v>0</v>
      </c>
      <c r="H68" s="8" t="str">
        <f>Alex_ITSD_count_data!H68</f>
        <v>10-10-B</v>
      </c>
      <c r="I68" s="17">
        <f>Alex_ITSD_count_data!M68</f>
        <v>58695175.789999999</v>
      </c>
      <c r="J68" s="17">
        <f>Alex_ITSD_count_data!N68</f>
        <v>1.1000000000000001</v>
      </c>
      <c r="K68" s="47">
        <f t="shared" si="18"/>
        <v>58457755.416693397</v>
      </c>
      <c r="L68" s="17">
        <f t="shared" si="20"/>
        <v>4463.1018960986139</v>
      </c>
      <c r="M68" s="17">
        <f>[2]Alex_MS_FE_AL_data!L70</f>
        <v>3990.471</v>
      </c>
      <c r="N68" s="8">
        <v>5</v>
      </c>
      <c r="O68" s="17">
        <f t="shared" si="56"/>
        <v>22315.50948049307</v>
      </c>
      <c r="P68" s="17">
        <f t="shared" si="57"/>
        <v>19952.355</v>
      </c>
    </row>
    <row r="69" spans="1:16" x14ac:dyDescent="0.25">
      <c r="A69" s="23">
        <f>Alex_ITSD_count_data!A69</f>
        <v>0.10030092592205619</v>
      </c>
      <c r="B69" s="8" t="str">
        <f>Alex_ITSD_count_data!B69</f>
        <v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v>
      </c>
      <c r="C69" s="8" t="b">
        <f>Alex_ITSD_count_data!C69</f>
        <v>0</v>
      </c>
      <c r="D69" s="8" t="str">
        <f>Alex_ITSD_count_data!D69</f>
        <v>067SMPL.d</v>
      </c>
      <c r="E69" s="11">
        <f>Alex_ITSD_count_data!E69</f>
        <v>45246.58048611111</v>
      </c>
      <c r="F69" s="8" t="str">
        <f>Alex_ITSD_count_data!F69</f>
        <v>Sample</v>
      </c>
      <c r="G69" s="8">
        <f>Alex_ITSD_count_data!G69</f>
        <v>0</v>
      </c>
      <c r="H69" s="8" t="str">
        <f>Alex_ITSD_count_data!H69</f>
        <v>10-50-B</v>
      </c>
      <c r="I69" s="17">
        <f>Alex_ITSD_count_data!M69</f>
        <v>38082702.770000003</v>
      </c>
      <c r="J69" s="17">
        <f>Alex_ITSD_count_data!N69</f>
        <v>1</v>
      </c>
      <c r="K69" s="47">
        <f t="shared" si="18"/>
        <v>37842594.82798969</v>
      </c>
      <c r="L69" s="17">
        <f t="shared" si="20"/>
        <v>2835.3212812447414</v>
      </c>
      <c r="M69" s="17">
        <f>[2]Alex_MS_FE_AL_data!L71</f>
        <v>2588.2190000000001</v>
      </c>
      <c r="N69" s="8">
        <v>5</v>
      </c>
      <c r="O69" s="17">
        <f t="shared" si="56"/>
        <v>14176.606406223707</v>
      </c>
      <c r="P69" s="17">
        <f t="shared" si="57"/>
        <v>12941.095000000001</v>
      </c>
    </row>
    <row r="70" spans="1:16" x14ac:dyDescent="0.25">
      <c r="A70" s="23">
        <f>Alex_ITSD_count_data!A70</f>
        <v>0.10144675925403135</v>
      </c>
      <c r="B70" s="8" t="str">
        <f>Alex_ITSD_count_data!B70</f>
        <v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v>
      </c>
      <c r="C70" s="8" t="b">
        <f>Alex_ITSD_count_data!C70</f>
        <v>0</v>
      </c>
      <c r="D70" s="8" t="str">
        <f>Alex_ITSD_count_data!D70</f>
        <v>068SMPL.d</v>
      </c>
      <c r="E70" s="11">
        <f>Alex_ITSD_count_data!E70</f>
        <v>45246.581631944442</v>
      </c>
      <c r="F70" s="8" t="str">
        <f>Alex_ITSD_count_data!F70</f>
        <v>Sample</v>
      </c>
      <c r="G70" s="8">
        <f>Alex_ITSD_count_data!G70</f>
        <v>0</v>
      </c>
      <c r="H70" s="8" t="str">
        <f>Alex_ITSD_count_data!H70</f>
        <v>10-60-B</v>
      </c>
      <c r="I70" s="17">
        <f>Alex_ITSD_count_data!M70</f>
        <v>99513045.180000007</v>
      </c>
      <c r="J70" s="17">
        <f>Alex_ITSD_count_data!N70</f>
        <v>1.2</v>
      </c>
      <c r="K70" s="47">
        <f t="shared" si="18"/>
        <v>99270194.25550276</v>
      </c>
      <c r="L70" s="17">
        <f t="shared" si="20"/>
        <v>7686.5160137646999</v>
      </c>
      <c r="M70" s="17">
        <f>[2]Alex_MS_FE_AL_data!L72</f>
        <v>6767.2830000000004</v>
      </c>
      <c r="N70" s="8">
        <v>5</v>
      </c>
      <c r="O70" s="17">
        <f t="shared" si="56"/>
        <v>38432.580068823503</v>
      </c>
      <c r="P70" s="17">
        <f t="shared" si="57"/>
        <v>33836.415000000001</v>
      </c>
    </row>
    <row r="71" spans="1:16" x14ac:dyDescent="0.25">
      <c r="A71" s="23">
        <f>Alex_ITSD_count_data!A71</f>
        <v>0.10255787037021946</v>
      </c>
      <c r="B71" s="8" t="str">
        <f>Alex_ITSD_count_data!B71</f>
        <v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v>
      </c>
      <c r="C71" s="8" t="b">
        <f>Alex_ITSD_count_data!C71</f>
        <v>0</v>
      </c>
      <c r="D71" s="8" t="str">
        <f>Alex_ITSD_count_data!D71</f>
        <v>069SMPL.d</v>
      </c>
      <c r="E71" s="11">
        <f>Alex_ITSD_count_data!E71</f>
        <v>45246.582743055558</v>
      </c>
      <c r="F71" s="8" t="str">
        <f>Alex_ITSD_count_data!F71</f>
        <v>Sample</v>
      </c>
      <c r="G71" s="8">
        <f>Alex_ITSD_count_data!G71</f>
        <v>0</v>
      </c>
      <c r="H71" s="8" t="str">
        <f>Alex_ITSD_count_data!H71</f>
        <v>10-70-B</v>
      </c>
      <c r="I71" s="17">
        <f>Alex_ITSD_count_data!M71</f>
        <v>30061852.890000001</v>
      </c>
      <c r="J71" s="17">
        <f>Alex_ITSD_count_data!N71</f>
        <v>1.2</v>
      </c>
      <c r="K71" s="47">
        <f t="shared" ref="K71:K86" si="58">I71-($AO$3*A71)</f>
        <v>29816342.103681933</v>
      </c>
      <c r="L71" s="17">
        <f t="shared" si="20"/>
        <v>2201.9094661438176</v>
      </c>
      <c r="M71" s="17">
        <f>[2]Alex_MS_FE_AL_data!L73</f>
        <v>2042.566</v>
      </c>
      <c r="N71" s="8">
        <v>5</v>
      </c>
      <c r="O71" s="17">
        <f t="shared" si="56"/>
        <v>11009.547330719088</v>
      </c>
      <c r="P71" s="17">
        <f t="shared" si="57"/>
        <v>10212.83</v>
      </c>
    </row>
    <row r="72" spans="1:16" x14ac:dyDescent="0.25">
      <c r="A72" s="23">
        <f>Alex_ITSD_count_data!A72</f>
        <v>0.10373842592525762</v>
      </c>
      <c r="B72" s="8" t="str">
        <f>Alex_ITSD_count_data!B72</f>
        <v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v>
      </c>
      <c r="C72" s="8" t="b">
        <f>Alex_ITSD_count_data!C72</f>
        <v>0</v>
      </c>
      <c r="D72" s="8" t="str">
        <f>Alex_ITSD_count_data!D72</f>
        <v>070SMPL.d</v>
      </c>
      <c r="E72" s="11">
        <f>Alex_ITSD_count_data!E72</f>
        <v>45246.583923611113</v>
      </c>
      <c r="F72" s="8" t="str">
        <f>Alex_ITSD_count_data!F72</f>
        <v>Sample</v>
      </c>
      <c r="G72" s="8">
        <f>Alex_ITSD_count_data!G72</f>
        <v>0</v>
      </c>
      <c r="H72" s="8" t="str">
        <f>Alex_ITSD_count_data!H72</f>
        <v>10-100-B</v>
      </c>
      <c r="I72" s="17">
        <f>Alex_ITSD_count_data!M72</f>
        <v>16679796.42</v>
      </c>
      <c r="J72" s="17">
        <f>Alex_ITSD_count_data!N72</f>
        <v>0.9</v>
      </c>
      <c r="K72" s="47">
        <f t="shared" si="58"/>
        <v>16431459.530511467</v>
      </c>
      <c r="L72" s="17">
        <f t="shared" ref="L72:L86" si="59">(I72-$AP$30)*(1/$AO$30)</f>
        <v>1145.1196240123054</v>
      </c>
      <c r="M72" s="17">
        <f>[2]Alex_MS_FE_AL_data!L74</f>
        <v>1132.194</v>
      </c>
      <c r="N72" s="8">
        <v>5</v>
      </c>
      <c r="O72" s="17">
        <f t="shared" si="56"/>
        <v>5725.598120061527</v>
      </c>
      <c r="P72" s="17">
        <f t="shared" si="57"/>
        <v>5660.9699999999993</v>
      </c>
    </row>
    <row r="73" spans="1:16" x14ac:dyDescent="0.25">
      <c r="A73" s="23">
        <f>Alex_ITSD_count_data!A73</f>
        <v>0.10488425925723277</v>
      </c>
      <c r="B73" s="8" t="str">
        <f>Alex_ITSD_count_data!B73</f>
        <v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v>
      </c>
      <c r="C73" s="8" t="b">
        <f>Alex_ITSD_count_data!C73</f>
        <v>0</v>
      </c>
      <c r="D73" s="8" t="str">
        <f>Alex_ITSD_count_data!D73</f>
        <v>071SMPL.d</v>
      </c>
      <c r="E73" s="11">
        <f>Alex_ITSD_count_data!E73</f>
        <v>45246.585069444445</v>
      </c>
      <c r="F73" s="8" t="str">
        <f>Alex_ITSD_count_data!F73</f>
        <v>Sample</v>
      </c>
      <c r="G73" s="8">
        <f>Alex_ITSD_count_data!G73</f>
        <v>0</v>
      </c>
      <c r="H73" s="8" t="str">
        <f>Alex_ITSD_count_data!H73</f>
        <v>20-10-T</v>
      </c>
      <c r="I73" s="17">
        <f>Alex_ITSD_count_data!M73</f>
        <v>49568234.259999998</v>
      </c>
      <c r="J73" s="17">
        <f>Alex_ITSD_count_data!N73</f>
        <v>1.1000000000000001</v>
      </c>
      <c r="K73" s="47">
        <f t="shared" si="58"/>
        <v>49317154.388024531</v>
      </c>
      <c r="L73" s="17">
        <f t="shared" si="59"/>
        <v>3742.3412925056564</v>
      </c>
      <c r="M73" s="17">
        <f>[2]Alex_MS_FE_AL_data!L75</f>
        <v>3369.5720000000001</v>
      </c>
      <c r="N73" s="8">
        <v>5</v>
      </c>
      <c r="O73" s="17">
        <f t="shared" si="56"/>
        <v>18711.70646252828</v>
      </c>
      <c r="P73" s="17">
        <f t="shared" si="57"/>
        <v>16847.86</v>
      </c>
    </row>
    <row r="74" spans="1:16" x14ac:dyDescent="0.25">
      <c r="A74" s="23">
        <f>Alex_ITSD_count_data!A74</f>
        <v>0.10601851851242827</v>
      </c>
      <c r="B74" s="8" t="str">
        <f>Alex_ITSD_count_data!B74</f>
        <v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v>
      </c>
      <c r="C74" s="8" t="b">
        <f>Alex_ITSD_count_data!C74</f>
        <v>0</v>
      </c>
      <c r="D74" s="8" t="str">
        <f>Alex_ITSD_count_data!D74</f>
        <v>072SMPL.d</v>
      </c>
      <c r="E74" s="11">
        <f>Alex_ITSD_count_data!E74</f>
        <v>45246.5862037037</v>
      </c>
      <c r="F74" s="8" t="str">
        <f>Alex_ITSD_count_data!F74</f>
        <v>Sample</v>
      </c>
      <c r="G74" s="8">
        <f>Alex_ITSD_count_data!G74</f>
        <v>0</v>
      </c>
      <c r="H74" s="8" t="str">
        <f>Alex_ITSD_count_data!H74</f>
        <v>20-50-T</v>
      </c>
      <c r="I74" s="17">
        <f>Alex_ITSD_count_data!M74</f>
        <v>11151058.17</v>
      </c>
      <c r="J74" s="17">
        <f>Alex_ITSD_count_data!N74</f>
        <v>1.6</v>
      </c>
      <c r="K74" s="47">
        <f t="shared" si="58"/>
        <v>10897263.022437919</v>
      </c>
      <c r="L74" s="17">
        <f t="shared" si="59"/>
        <v>708.51151108869055</v>
      </c>
      <c r="M74" s="17">
        <f>[2]Alex_MS_FE_AL_data!L76</f>
        <v>756.07799999999997</v>
      </c>
      <c r="N74" s="8">
        <v>5</v>
      </c>
      <c r="O74" s="17">
        <f t="shared" si="56"/>
        <v>3542.5575554434527</v>
      </c>
      <c r="P74" s="17">
        <f t="shared" si="57"/>
        <v>3780.39</v>
      </c>
    </row>
    <row r="75" spans="1:16" x14ac:dyDescent="0.25">
      <c r="A75" s="23">
        <f>Alex_ITSD_count_data!A75</f>
        <v>0.10715277777489973</v>
      </c>
      <c r="B75" s="8" t="str">
        <f>Alex_ITSD_count_data!B75</f>
        <v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v>
      </c>
      <c r="C75" s="8" t="b">
        <f>Alex_ITSD_count_data!C75</f>
        <v>0</v>
      </c>
      <c r="D75" s="8" t="str">
        <f>Alex_ITSD_count_data!D75</f>
        <v>073SMPL.d</v>
      </c>
      <c r="E75" s="11">
        <f>Alex_ITSD_count_data!E75</f>
        <v>45246.587337962963</v>
      </c>
      <c r="F75" s="8" t="str">
        <f>Alex_ITSD_count_data!F75</f>
        <v>Sample</v>
      </c>
      <c r="G75" s="8">
        <f>Alex_ITSD_count_data!G75</f>
        <v>0</v>
      </c>
      <c r="H75" s="8" t="str">
        <f>Alex_ITSD_count_data!H75</f>
        <v>20-70-B</v>
      </c>
      <c r="I75" s="17">
        <f>Alex_ITSD_count_data!M75</f>
        <v>4516870.3499999996</v>
      </c>
      <c r="J75" s="17">
        <f>Alex_ITSD_count_data!N75</f>
        <v>0.9</v>
      </c>
      <c r="K75" s="47">
        <f t="shared" si="58"/>
        <v>4260359.9268338839</v>
      </c>
      <c r="L75" s="17">
        <f t="shared" si="59"/>
        <v>184.60531515492008</v>
      </c>
      <c r="M75" s="17">
        <f>[2]Alex_MS_FE_AL_data!L77</f>
        <v>304.75900000000001</v>
      </c>
      <c r="N75" s="8">
        <v>10</v>
      </c>
      <c r="O75" s="17">
        <f t="shared" si="56"/>
        <v>1846.0531515492007</v>
      </c>
      <c r="P75" s="17">
        <f t="shared" si="57"/>
        <v>3047.59</v>
      </c>
    </row>
    <row r="76" spans="1:16" x14ac:dyDescent="0.25">
      <c r="A76" s="23">
        <f>Alex_ITSD_count_data!A76</f>
        <v>0.10834490740671754</v>
      </c>
      <c r="B76" s="8" t="str">
        <f>Alex_ITSD_count_data!B76</f>
        <v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v>
      </c>
      <c r="C76" s="8" t="b">
        <f>Alex_ITSD_count_data!C76</f>
        <v>0</v>
      </c>
      <c r="D76" s="8" t="str">
        <f>Alex_ITSD_count_data!D76</f>
        <v>074SMPL.d</v>
      </c>
      <c r="E76" s="11">
        <f>Alex_ITSD_count_data!E76</f>
        <v>45246.588530092595</v>
      </c>
      <c r="F76" s="8" t="str">
        <f>Alex_ITSD_count_data!F76</f>
        <v>Sample</v>
      </c>
      <c r="G76" s="8">
        <f>Alex_ITSD_count_data!G76</f>
        <v>0</v>
      </c>
      <c r="H76" s="8" t="str">
        <f>Alex_ITSD_count_data!H76</f>
        <v>20-60-B</v>
      </c>
      <c r="I76" s="17">
        <f>Alex_ITSD_count_data!M76</f>
        <v>3495919.95</v>
      </c>
      <c r="J76" s="17">
        <f>Alex_ITSD_count_data!N76</f>
        <v>2.2000000000000002</v>
      </c>
      <c r="K76" s="47">
        <f t="shared" si="58"/>
        <v>3236555.7167631011</v>
      </c>
      <c r="L76" s="17">
        <f t="shared" si="59"/>
        <v>103.9801874356598</v>
      </c>
      <c r="M76" s="17">
        <f>[2]Alex_MS_FE_AL_data!L78</f>
        <v>235.304</v>
      </c>
      <c r="N76" s="8">
        <v>10</v>
      </c>
      <c r="O76" s="17">
        <f>IF(L76 &lt; $S$44, "NA", N76*L76)</f>
        <v>1039.8018743565981</v>
      </c>
      <c r="P76" s="17">
        <f>IF(M76 &lt; $S$45, "NA", N76*M76)</f>
        <v>2353.04</v>
      </c>
    </row>
    <row r="77" spans="1:16" x14ac:dyDescent="0.25">
      <c r="A77" s="23">
        <f>Alex_ITSD_count_data!A77</f>
        <v>0.10947916666191304</v>
      </c>
      <c r="B77" s="8" t="str">
        <f>Alex_ITSD_count_data!B77</f>
        <v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v>
      </c>
      <c r="C77" s="8" t="b">
        <f>Alex_ITSD_count_data!C77</f>
        <v>0</v>
      </c>
      <c r="D77" s="8" t="str">
        <f>Alex_ITSD_count_data!D77</f>
        <v>075SMPL.d</v>
      </c>
      <c r="E77" s="11">
        <f>Alex_ITSD_count_data!E77</f>
        <v>45246.58966435185</v>
      </c>
      <c r="F77" s="8" t="str">
        <f>Alex_ITSD_count_data!F77</f>
        <v>Sample</v>
      </c>
      <c r="G77" s="8">
        <f>Alex_ITSD_count_data!G77</f>
        <v>0</v>
      </c>
      <c r="H77" s="8" t="str">
        <f>Alex_ITSD_count_data!H77</f>
        <v>20-80-B</v>
      </c>
      <c r="I77" s="17">
        <f>Alex_ITSD_count_data!M77</f>
        <v>482160.53</v>
      </c>
      <c r="J77" s="17">
        <f>Alex_ITSD_count_data!N77</f>
        <v>2.2000000000000002</v>
      </c>
      <c r="K77" s="47">
        <f t="shared" si="58"/>
        <v>220081.02117648476</v>
      </c>
      <c r="L77" s="17">
        <f t="shared" si="59"/>
        <v>-134.01838541628672</v>
      </c>
      <c r="M77" s="17">
        <f>[2]Alex_MS_FE_AL_data!L79</f>
        <v>30.280999999999999</v>
      </c>
      <c r="N77" s="8">
        <v>10</v>
      </c>
      <c r="O77" s="17">
        <f t="shared" ref="O77:O78" si="60">IF(L77 &lt; $S$44, "NA", N77*L77)</f>
        <v>-1340.1838541628672</v>
      </c>
      <c r="P77" s="17">
        <f t="shared" ref="P77:P78" si="61">IF(M77 &lt; $S$45, "NA", N77*M77)</f>
        <v>302.81</v>
      </c>
    </row>
    <row r="78" spans="1:16" x14ac:dyDescent="0.25">
      <c r="A78" s="23">
        <f>Alex_ITSD_count_data!A78</f>
        <v>0.1106134259243845</v>
      </c>
      <c r="B78" s="8" t="str">
        <f>Alex_ITSD_count_data!B78</f>
        <v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v>
      </c>
      <c r="C78" s="8" t="b">
        <f>Alex_ITSD_count_data!C78</f>
        <v>0</v>
      </c>
      <c r="D78" s="8" t="str">
        <f>Alex_ITSD_count_data!D78</f>
        <v>076SMPL.d</v>
      </c>
      <c r="E78" s="11">
        <f>Alex_ITSD_count_data!E78</f>
        <v>45246.590798611112</v>
      </c>
      <c r="F78" s="8" t="str">
        <f>Alex_ITSD_count_data!F78</f>
        <v>Sample</v>
      </c>
      <c r="G78" s="8">
        <f>Alex_ITSD_count_data!G78</f>
        <v>0</v>
      </c>
      <c r="H78" s="8" t="str">
        <f>Alex_ITSD_count_data!H78</f>
        <v>20-90-T</v>
      </c>
      <c r="I78" s="17">
        <f>Alex_ITSD_count_data!M78</f>
        <v>5681613.6699999999</v>
      </c>
      <c r="J78" s="17">
        <f>Alex_ITSD_count_data!N78</f>
        <v>0.4</v>
      </c>
      <c r="K78" s="47">
        <f t="shared" si="58"/>
        <v>5416818.8855724512</v>
      </c>
      <c r="L78" s="17">
        <f t="shared" si="59"/>
        <v>276.58586478314425</v>
      </c>
      <c r="M78" s="17">
        <f>[2]Alex_MS_FE_AL_data!L80</f>
        <v>383.99599999999998</v>
      </c>
      <c r="N78" s="8">
        <v>10</v>
      </c>
      <c r="O78" s="17">
        <f t="shared" si="60"/>
        <v>2765.8586478314423</v>
      </c>
      <c r="P78" s="17">
        <f t="shared" si="61"/>
        <v>3839.96</v>
      </c>
    </row>
    <row r="79" spans="1:16" x14ac:dyDescent="0.25">
      <c r="A79" s="23">
        <f>Alex_ITSD_count_data!A79</f>
        <v>0.11174768517958</v>
      </c>
      <c r="B79" s="8" t="str">
        <f>Alex_ITSD_count_data!B79</f>
        <v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v>
      </c>
      <c r="C79" s="8" t="b">
        <f>Alex_ITSD_count_data!C79</f>
        <v>0</v>
      </c>
      <c r="D79" s="8" t="str">
        <f>Alex_ITSD_count_data!D79</f>
        <v>077SMPL.d</v>
      </c>
      <c r="E79" s="11">
        <f>Alex_ITSD_count_data!E79</f>
        <v>45246.591932870368</v>
      </c>
      <c r="F79" s="8" t="str">
        <f>Alex_ITSD_count_data!F79</f>
        <v>Sample</v>
      </c>
      <c r="G79" s="8">
        <f>Alex_ITSD_count_data!G79</f>
        <v>0</v>
      </c>
      <c r="H79" s="8" t="str">
        <f>Alex_ITSD_count_data!H79</f>
        <v>DI H2O</v>
      </c>
      <c r="I79" s="17">
        <f>Alex_ITSD_count_data!M79</f>
        <v>102736.51</v>
      </c>
      <c r="J79" s="17">
        <f>Alex_ITSD_count_data!N79</f>
        <v>5.8</v>
      </c>
      <c r="K79" s="47">
        <f t="shared" si="58"/>
        <v>-164773.55001416511</v>
      </c>
      <c r="L79" s="17">
        <f t="shared" si="59"/>
        <v>-163.98175099433556</v>
      </c>
      <c r="M79" s="17">
        <f>[2]Alex_MS_FE_AL_data!L81</f>
        <v>4.4690000000000003</v>
      </c>
      <c r="N79" s="8"/>
      <c r="O79" s="17"/>
      <c r="P79" s="17"/>
    </row>
    <row r="80" spans="1:16" x14ac:dyDescent="0.25">
      <c r="A80" s="23">
        <f>Alex_ITSD_count_data!A80</f>
        <v>0.11293981481139781</v>
      </c>
      <c r="B80" s="8" t="str">
        <f>Alex_ITSD_count_data!B80</f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C80" s="8" t="b">
        <f>Alex_ITSD_count_data!C80</f>
        <v>0</v>
      </c>
      <c r="D80" s="8" t="str">
        <f>Alex_ITSD_count_data!D80</f>
        <v>078SMPL.d</v>
      </c>
      <c r="E80" s="11">
        <f>Alex_ITSD_count_data!E80</f>
        <v>45246.593124999999</v>
      </c>
      <c r="F80" s="8" t="str">
        <f>Alex_ITSD_count_data!F80</f>
        <v>Sample</v>
      </c>
      <c r="G80" s="8">
        <f>Alex_ITSD_count_data!G80</f>
        <v>0</v>
      </c>
      <c r="H80" s="40" t="str">
        <f>Alex_ITSD_count_data!H80</f>
        <v>blk</v>
      </c>
      <c r="I80" s="43">
        <f>Alex_ITSD_count_data!M80</f>
        <v>184749.22</v>
      </c>
      <c r="J80" s="43">
        <f>Alex_ITSD_count_data!N80</f>
        <v>5.5</v>
      </c>
      <c r="K80" s="48">
        <f t="shared" si="58"/>
        <v>-85614.650084948778</v>
      </c>
      <c r="L80" s="43">
        <f t="shared" si="59"/>
        <v>-157.50515309266211</v>
      </c>
      <c r="M80" s="43">
        <f>[2]Alex_MS_FE_AL_data!L82</f>
        <v>10.048</v>
      </c>
      <c r="N80" s="8"/>
      <c r="O80" s="17"/>
      <c r="P80" s="17"/>
    </row>
    <row r="81" spans="1:16" x14ac:dyDescent="0.25">
      <c r="A81" s="23">
        <f>Alex_ITSD_count_data!A81</f>
        <v>0.11407407407386927</v>
      </c>
      <c r="B81" s="8" t="str">
        <f>Alex_ITSD_count_data!B81</f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C81" s="8" t="b">
        <f>Alex_ITSD_count_data!C81</f>
        <v>0</v>
      </c>
      <c r="D81" s="8" t="str">
        <f>Alex_ITSD_count_data!D81</f>
        <v>079SMPL.d</v>
      </c>
      <c r="E81" s="11">
        <f>Alex_ITSD_count_data!E81</f>
        <v>45246.594259259262</v>
      </c>
      <c r="F81" s="8" t="str">
        <f>Alex_ITSD_count_data!F81</f>
        <v>Sample</v>
      </c>
      <c r="G81" s="8">
        <f>Alex_ITSD_count_data!G81</f>
        <v>0</v>
      </c>
      <c r="H81" s="8" t="str">
        <f>Alex_ITSD_count_data!H81</f>
        <v>100 ppb check</v>
      </c>
      <c r="I81" s="17">
        <f>Alex_ITSD_count_data!M81</f>
        <v>1752843.73</v>
      </c>
      <c r="J81" s="17">
        <f>Alex_ITSD_count_data!N81</f>
        <v>3.7</v>
      </c>
      <c r="K81" s="47">
        <f t="shared" si="58"/>
        <v>1479764.5843110173</v>
      </c>
      <c r="L81" s="17">
        <f t="shared" si="59"/>
        <v>-33.67169346071433</v>
      </c>
      <c r="M81" s="17">
        <f>[2]Alex_MS_FE_AL_data!L83</f>
        <v>116.724</v>
      </c>
      <c r="N81" s="8"/>
      <c r="O81" s="17"/>
      <c r="P81" s="17"/>
    </row>
    <row r="82" spans="1:16" x14ac:dyDescent="0.25">
      <c r="A82" s="23">
        <f>Alex_ITSD_count_data!A82</f>
        <v>0.11520833332906477</v>
      </c>
      <c r="B82" s="8" t="str">
        <f>Alex_ITSD_count_data!B82</f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C82" s="8" t="b">
        <f>Alex_ITSD_count_data!C82</f>
        <v>0</v>
      </c>
      <c r="D82" s="8" t="str">
        <f>Alex_ITSD_count_data!D82</f>
        <v>080SMPL.d</v>
      </c>
      <c r="E82" s="11">
        <f>Alex_ITSD_count_data!E82</f>
        <v>45246.595393518517</v>
      </c>
      <c r="F82" s="8" t="str">
        <f>Alex_ITSD_count_data!F82</f>
        <v>CalStd</v>
      </c>
      <c r="G82" s="8">
        <f>Alex_ITSD_count_data!G82</f>
        <v>10</v>
      </c>
      <c r="H82" s="8" t="str">
        <f>Alex_ITSD_count_data!H82</f>
        <v>level 10 m6</v>
      </c>
      <c r="I82" s="17">
        <f>Alex_ITSD_count_data!M82</f>
        <v>147082961.13999999</v>
      </c>
      <c r="J82" s="17">
        <f>Alex_ITSD_count_data!N82</f>
        <v>1.5</v>
      </c>
      <c r="K82" s="47">
        <f t="shared" si="58"/>
        <v>146807166.7187244</v>
      </c>
      <c r="L82" s="17">
        <f t="shared" si="59"/>
        <v>11443.143710731641</v>
      </c>
      <c r="M82" s="17">
        <f>[2]Alex_MS_FE_AL_data!L15</f>
        <v>10003.431</v>
      </c>
      <c r="N82" s="8"/>
      <c r="O82" s="17"/>
      <c r="P82" s="17"/>
    </row>
    <row r="83" spans="1:16" x14ac:dyDescent="0.25">
      <c r="A83" s="23">
        <f>Alex_ITSD_count_data!A83</f>
        <v>0.11633101851475658</v>
      </c>
      <c r="B83" s="8" t="str">
        <f>Alex_ITSD_count_data!B83</f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C83" s="8" t="b">
        <f>Alex_ITSD_count_data!C83</f>
        <v>0</v>
      </c>
      <c r="D83" s="8" t="str">
        <f>Alex_ITSD_count_data!D83</f>
        <v>081SMPL.d</v>
      </c>
      <c r="E83" s="11">
        <f>Alex_ITSD_count_data!E83</f>
        <v>45246.596516203703</v>
      </c>
      <c r="F83" s="8" t="str">
        <f>Alex_ITSD_count_data!F83</f>
        <v>CalStd</v>
      </c>
      <c r="G83" s="8">
        <f>Alex_ITSD_count_data!G83</f>
        <v>11</v>
      </c>
      <c r="H83" s="8" t="str">
        <f>Alex_ITSD_count_data!H83</f>
        <v>level 11 m6</v>
      </c>
      <c r="I83" s="17">
        <f>Alex_ITSD_count_data!M83</f>
        <v>1266659874.46</v>
      </c>
      <c r="J83" s="17">
        <f>Alex_ITSD_count_data!N83</f>
        <v>0.8</v>
      </c>
      <c r="K83" s="47">
        <f t="shared" si="58"/>
        <v>1266381392.4700208</v>
      </c>
      <c r="L83" s="17">
        <f t="shared" si="59"/>
        <v>99856.872358039342</v>
      </c>
      <c r="M83" s="17">
        <f>[2]Alex_MS_FE_AL_data!L16</f>
        <v>86167.467000000004</v>
      </c>
      <c r="N83" s="8"/>
      <c r="O83" s="17"/>
      <c r="P83" s="17"/>
    </row>
    <row r="84" spans="1:16" x14ac:dyDescent="0.25">
      <c r="A84" s="23">
        <f>Alex_ITSD_count_data!A84</f>
        <v>0.11753472221607808</v>
      </c>
      <c r="B84" s="8" t="str">
        <f>Alex_ITSD_count_data!B84</f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C84" s="8" t="b">
        <f>Alex_ITSD_count_data!C84</f>
        <v>0</v>
      </c>
      <c r="D84" s="8" t="str">
        <f>Alex_ITSD_count_data!D84</f>
        <v>082SMPL.d</v>
      </c>
      <c r="E84" s="11">
        <f>Alex_ITSD_count_data!E84</f>
        <v>45246.597719907404</v>
      </c>
      <c r="F84" s="8" t="str">
        <f>Alex_ITSD_count_data!F84</f>
        <v>Sample</v>
      </c>
      <c r="G84" s="8">
        <f>Alex_ITSD_count_data!G84</f>
        <v>0</v>
      </c>
      <c r="H84" s="40" t="str">
        <f>Alex_ITSD_count_data!H84</f>
        <v>blk</v>
      </c>
      <c r="I84" s="43">
        <f>Alex_ITSD_count_data!M84</f>
        <v>195294.66</v>
      </c>
      <c r="J84" s="43">
        <f>Alex_ITSD_count_data!N84</f>
        <v>2.2000000000000002</v>
      </c>
      <c r="K84" s="48">
        <f t="shared" si="58"/>
        <v>-86068.846932998364</v>
      </c>
      <c r="L84" s="43">
        <f>(I84-$AP$30)*(1/$AO$30)</f>
        <v>-156.67237272756719</v>
      </c>
      <c r="M84" s="43">
        <f>[2]Alex_MS_FE_AL_data!L84</f>
        <v>10.765000000000001</v>
      </c>
      <c r="N84" s="8"/>
      <c r="O84" s="8"/>
      <c r="P84" s="8"/>
    </row>
    <row r="85" spans="1:16" x14ac:dyDescent="0.25">
      <c r="A85" s="23">
        <f>Alex_ITSD_count_data!A85</f>
        <v>0.11868055555532919</v>
      </c>
      <c r="B85" s="8" t="str">
        <f>Alex_ITSD_count_data!B85</f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C85" s="8" t="b">
        <f>Alex_ITSD_count_data!C85</f>
        <v>0</v>
      </c>
      <c r="D85" s="8" t="str">
        <f>Alex_ITSD_count_data!D85</f>
        <v>083SMPL.d</v>
      </c>
      <c r="E85" s="11">
        <f>Alex_ITSD_count_data!E85</f>
        <v>45246.598865740743</v>
      </c>
      <c r="F85" s="8" t="str">
        <f>Alex_ITSD_count_data!F85</f>
        <v>Sample</v>
      </c>
      <c r="G85" s="8">
        <f>Alex_ITSD_count_data!G85</f>
        <v>0</v>
      </c>
      <c r="H85" s="40" t="str">
        <f>Alex_ITSD_count_data!H85</f>
        <v>blk</v>
      </c>
      <c r="I85" s="43">
        <f>Alex_ITSD_count_data!M85</f>
        <v>114440.64</v>
      </c>
      <c r="J85" s="43">
        <f>Alex_ITSD_count_data!N85</f>
        <v>3.8</v>
      </c>
      <c r="K85" s="48">
        <f t="shared" si="58"/>
        <v>-169665.84943734918</v>
      </c>
      <c r="L85" s="43">
        <f t="shared" si="59"/>
        <v>-163.05746811429279</v>
      </c>
      <c r="M85" s="43">
        <f>[2]Alex_MS_FE_AL_data!L85</f>
        <v>5.2649999999999997</v>
      </c>
      <c r="N85" s="8"/>
      <c r="O85" s="8"/>
      <c r="P85" s="8"/>
    </row>
    <row r="86" spans="1:16" x14ac:dyDescent="0.25">
      <c r="A86" s="23">
        <f>Alex_ITSD_count_data!A86</f>
        <v>0.119803240741021</v>
      </c>
      <c r="B86" s="8" t="str">
        <f>Alex_ITSD_count_data!B86</f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C86" s="8" t="b">
        <f>Alex_ITSD_count_data!C86</f>
        <v>0</v>
      </c>
      <c r="D86" s="8" t="str">
        <f>Alex_ITSD_count_data!D86</f>
        <v>084SMPL.d</v>
      </c>
      <c r="E86" s="11">
        <f>Alex_ITSD_count_data!E86</f>
        <v>45246.599988425929</v>
      </c>
      <c r="F86" s="8" t="str">
        <f>Alex_ITSD_count_data!F86</f>
        <v>Sample</v>
      </c>
      <c r="G86" s="8">
        <f>Alex_ITSD_count_data!G86</f>
        <v>0</v>
      </c>
      <c r="H86" s="40" t="str">
        <f>Alex_ITSD_count_data!H86</f>
        <v>blk</v>
      </c>
      <c r="I86" s="43">
        <f>Alex_ITSD_count_data!M86</f>
        <v>84468.47</v>
      </c>
      <c r="J86" s="43">
        <f>Alex_ITSD_count_data!N86</f>
        <v>5.3</v>
      </c>
      <c r="K86" s="48">
        <f t="shared" si="58"/>
        <v>-202325.58814106593</v>
      </c>
      <c r="L86" s="43">
        <f t="shared" si="59"/>
        <v>-165.42439018442801</v>
      </c>
      <c r="M86" s="43">
        <f>[2]Alex_MS_FE_AL_data!L86</f>
        <v>3.226</v>
      </c>
      <c r="N86" s="8"/>
      <c r="O86" s="8"/>
      <c r="P86" s="8"/>
    </row>
  </sheetData>
  <autoFilter ref="A1:J86" xr:uid="{831C3614-7E82-469C-9EC7-2C530BF5CE48}"/>
  <conditionalFormatting sqref="I1:I86">
    <cfRule type="cellIs" dxfId="23" priority="14" operator="lessThan">
      <formula>$S$43</formula>
    </cfRule>
  </conditionalFormatting>
  <conditionalFormatting sqref="I3:I86">
    <cfRule type="cellIs" dxfId="22" priority="17" operator="lessThan">
      <formula>$T$43</formula>
    </cfRule>
  </conditionalFormatting>
  <conditionalFormatting sqref="L1:L86">
    <cfRule type="cellIs" dxfId="21" priority="15" operator="lessThan">
      <formula>$S$44</formula>
    </cfRule>
    <cfRule type="cellIs" dxfId="20" priority="16" operator="lessThan">
      <formula>$T$44</formula>
    </cfRule>
  </conditionalFormatting>
  <conditionalFormatting sqref="M1:M86">
    <cfRule type="cellIs" dxfId="19" priority="11" operator="equal">
      <formula>$M$28</formula>
    </cfRule>
    <cfRule type="cellIs" dxfId="18" priority="12" operator="lessThan">
      <formula>$S$45</formula>
    </cfRule>
    <cfRule type="cellIs" dxfId="17" priority="13" operator="lessThan">
      <formula>$T$45</formula>
    </cfRule>
  </conditionalFormatting>
  <conditionalFormatting sqref="O1:O2">
    <cfRule type="cellIs" dxfId="16" priority="4" operator="lessThan">
      <formula>$S$44</formula>
    </cfRule>
    <cfRule type="cellIs" dxfId="15" priority="5" operator="lessThan">
      <formula>$T$44</formula>
    </cfRule>
  </conditionalFormatting>
  <conditionalFormatting sqref="P1:P2">
    <cfRule type="cellIs" dxfId="14" priority="1" operator="equal">
      <formula>$M$28</formula>
    </cfRule>
    <cfRule type="cellIs" dxfId="13" priority="2" operator="lessThan">
      <formula>$S$45</formula>
    </cfRule>
    <cfRule type="cellIs" dxfId="12" priority="3" operator="lessThan">
      <formula>$T$45</formula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1786-1BA4-4A37-8E15-33B5D8C6828D}">
  <dimension ref="A1:BU86"/>
  <sheetViews>
    <sheetView topLeftCell="I37" zoomScale="70" zoomScaleNormal="70" workbookViewId="0">
      <selection activeCell="O19" sqref="O19"/>
    </sheetView>
  </sheetViews>
  <sheetFormatPr defaultRowHeight="15" x14ac:dyDescent="0.25"/>
  <cols>
    <col min="1" max="1" width="9.140625" style="24"/>
    <col min="5" max="5" width="9.140625" style="1"/>
    <col min="8" max="8" width="17.42578125" customWidth="1"/>
    <col min="9" max="9" width="13.42578125" bestFit="1" customWidth="1"/>
    <col min="10" max="10" width="9.28515625" bestFit="1" customWidth="1"/>
    <col min="12" max="12" width="12" customWidth="1"/>
    <col min="13" max="16" width="11.140625" customWidth="1"/>
    <col min="17" max="17" width="27.85546875" customWidth="1"/>
    <col min="18" max="18" width="20.7109375" style="1" customWidth="1"/>
    <col min="19" max="19" width="13.28515625" customWidth="1"/>
    <col min="20" max="20" width="12.42578125" customWidth="1"/>
    <col min="22" max="22" width="11.7109375" style="1" customWidth="1"/>
    <col min="23" max="23" width="14.28515625" customWidth="1"/>
    <col min="24" max="24" width="13" customWidth="1"/>
    <col min="25" max="25" width="13.42578125" customWidth="1"/>
    <col min="26" max="26" width="14.140625" customWidth="1"/>
    <col min="29" max="29" width="13.42578125" bestFit="1" customWidth="1"/>
    <col min="31" max="31" width="13.42578125" bestFit="1" customWidth="1"/>
    <col min="40" max="40" width="13.85546875" customWidth="1"/>
    <col min="41" max="41" width="16.85546875" customWidth="1"/>
    <col min="42" max="42" width="18.28515625" customWidth="1"/>
    <col min="43" max="43" width="27.85546875" customWidth="1"/>
    <col min="45" max="45" width="22.140625" customWidth="1"/>
    <col min="46" max="46" width="14" style="1" customWidth="1"/>
    <col min="50" max="50" width="9.140625" style="1"/>
    <col min="52" max="52" width="15" customWidth="1"/>
    <col min="54" max="54" width="35.85546875" customWidth="1"/>
    <col min="55" max="55" width="13" customWidth="1"/>
    <col min="56" max="56" width="13.28515625" style="20" customWidth="1"/>
    <col min="57" max="57" width="11.7109375" style="20" bestFit="1" customWidth="1"/>
    <col min="58" max="58" width="11.42578125" style="20" bestFit="1" customWidth="1"/>
    <col min="59" max="59" width="12.5703125" style="20" bestFit="1" customWidth="1"/>
    <col min="60" max="60" width="11.7109375" style="20" bestFit="1" customWidth="1"/>
    <col min="61" max="61" width="10.5703125" style="20" bestFit="1" customWidth="1"/>
    <col min="62" max="62" width="9.28515625" style="20" bestFit="1" customWidth="1"/>
    <col min="63" max="63" width="11.5703125" style="20" customWidth="1"/>
    <col min="64" max="66" width="9.28515625" style="20" bestFit="1" customWidth="1"/>
    <col min="67" max="67" width="10" style="20" bestFit="1" customWidth="1"/>
    <col min="68" max="68" width="11.85546875" bestFit="1" customWidth="1"/>
    <col min="69" max="69" width="18.140625" bestFit="1" customWidth="1"/>
    <col min="70" max="70" width="15" bestFit="1" customWidth="1"/>
  </cols>
  <sheetData>
    <row r="1" spans="1:73" x14ac:dyDescent="0.25">
      <c r="A1" s="22"/>
      <c r="B1" s="7" t="str">
        <f>Alex_ITSD_count_data!B1</f>
        <v>Sample</v>
      </c>
      <c r="C1" s="7"/>
      <c r="D1" s="7"/>
      <c r="E1" s="10"/>
      <c r="F1" s="7"/>
      <c r="G1" s="7"/>
      <c r="H1" s="7"/>
      <c r="I1" s="15" t="str">
        <f>Alex_ITSD_count_data!O1</f>
        <v xml:space="preserve">57  Fe  [ He ] </v>
      </c>
      <c r="J1" s="15">
        <f>Alex_ITSD_count_data!P1</f>
        <v>0</v>
      </c>
      <c r="K1" s="63" t="s">
        <v>367</v>
      </c>
      <c r="L1" s="64" t="s">
        <v>368</v>
      </c>
      <c r="M1" s="64" t="s">
        <v>369</v>
      </c>
      <c r="N1" s="7" t="s">
        <v>362</v>
      </c>
      <c r="O1" s="15" t="s">
        <v>365</v>
      </c>
      <c r="P1" s="15" t="s">
        <v>366</v>
      </c>
      <c r="Q1" s="2" t="s">
        <v>275</v>
      </c>
      <c r="R1" s="10"/>
      <c r="S1" s="7" t="str">
        <f>B1</f>
        <v>Sample</v>
      </c>
      <c r="T1" s="7"/>
      <c r="U1" s="7"/>
      <c r="V1" s="10"/>
      <c r="W1" s="7"/>
      <c r="X1" s="7"/>
      <c r="Y1" s="7"/>
      <c r="Z1" s="15" t="str">
        <f>I1</f>
        <v xml:space="preserve">57  Fe  [ He ] </v>
      </c>
      <c r="AA1" s="15"/>
      <c r="AB1" s="38"/>
      <c r="AC1" s="38"/>
      <c r="AD1" s="38"/>
      <c r="AE1" s="38"/>
      <c r="AF1" s="38"/>
      <c r="AG1" s="38"/>
      <c r="AH1" s="38"/>
      <c r="AI1" s="38"/>
      <c r="AJ1" s="38"/>
      <c r="AO1" s="2" t="s">
        <v>288</v>
      </c>
      <c r="AS1" s="2" t="s">
        <v>274</v>
      </c>
      <c r="AT1" s="10"/>
      <c r="AU1" s="7" t="str">
        <f>S1</f>
        <v>Sample</v>
      </c>
      <c r="AV1" s="7"/>
      <c r="AW1" s="7"/>
      <c r="AX1" s="10"/>
      <c r="AY1" s="7"/>
      <c r="AZ1" s="7"/>
      <c r="BA1" s="7"/>
      <c r="BB1" s="15" t="s">
        <v>294</v>
      </c>
      <c r="BC1" s="15"/>
      <c r="BD1" s="38"/>
      <c r="BE1" s="38"/>
      <c r="BF1" s="38"/>
      <c r="BG1" s="38"/>
      <c r="BH1" s="38"/>
      <c r="BI1" s="38"/>
      <c r="BJ1" s="38"/>
      <c r="BK1" s="38"/>
      <c r="BL1" s="38"/>
      <c r="BM1"/>
      <c r="BN1"/>
      <c r="BO1"/>
      <c r="BQ1" s="2" t="s">
        <v>288</v>
      </c>
      <c r="BU1" s="2"/>
    </row>
    <row r="2" spans="1:73" x14ac:dyDescent="0.25">
      <c r="A2" s="22" t="str">
        <f>Alex_ITSD_count_data!A2</f>
        <v>Number</v>
      </c>
      <c r="B2" s="7"/>
      <c r="C2" s="7" t="str">
        <f>Alex_ITSD_count_data!C2</f>
        <v>Rjct</v>
      </c>
      <c r="D2" s="7" t="str">
        <f>Alex_ITSD_count_data!D2</f>
        <v>Data File</v>
      </c>
      <c r="E2" s="10" t="str">
        <f>Alex_ITSD_count_data!E2</f>
        <v>Acq. Date-Time</v>
      </c>
      <c r="F2" s="7" t="str">
        <f>Alex_ITSD_count_data!F2</f>
        <v>Type</v>
      </c>
      <c r="G2" s="7" t="str">
        <f>Alex_ITSD_count_data!G2</f>
        <v>Level</v>
      </c>
      <c r="H2" s="7" t="str">
        <f>Alex_ITSD_count_data!H2</f>
        <v>Sample Name</v>
      </c>
      <c r="I2" s="15" t="str">
        <f>Alex_ITSD_count_data!O2</f>
        <v>CPS</v>
      </c>
      <c r="J2" s="15" t="str">
        <f>Alex_ITSD_count_data!P2</f>
        <v>CPS RSD</v>
      </c>
      <c r="K2" s="63" t="s">
        <v>296</v>
      </c>
      <c r="L2" s="64" t="s">
        <v>326</v>
      </c>
      <c r="M2" s="64" t="s">
        <v>327</v>
      </c>
      <c r="N2" s="28"/>
      <c r="O2" s="64" t="s">
        <v>326</v>
      </c>
      <c r="P2" s="64" t="s">
        <v>327</v>
      </c>
      <c r="R2" s="10" t="str">
        <f>A2</f>
        <v>Number</v>
      </c>
      <c r="S2" s="7"/>
      <c r="T2" s="7" t="str">
        <f t="shared" ref="T2:Y2" si="0">C2</f>
        <v>Rjct</v>
      </c>
      <c r="U2" s="7" t="str">
        <f t="shared" si="0"/>
        <v>Data File</v>
      </c>
      <c r="V2" s="10" t="str">
        <f t="shared" si="0"/>
        <v>Acq. Date-Time</v>
      </c>
      <c r="W2" s="7" t="str">
        <f t="shared" si="0"/>
        <v>Type</v>
      </c>
      <c r="X2" s="7" t="str">
        <f t="shared" si="0"/>
        <v>Level</v>
      </c>
      <c r="Y2" s="7" t="str">
        <f t="shared" si="0"/>
        <v>Sample Name</v>
      </c>
      <c r="Z2" s="15" t="str">
        <f>I2</f>
        <v>CPS</v>
      </c>
      <c r="AA2" s="15" t="str">
        <f>J2</f>
        <v>CPS RSD</v>
      </c>
      <c r="AB2" s="27" t="s">
        <v>256</v>
      </c>
      <c r="AC2" s="27" t="s">
        <v>264</v>
      </c>
      <c r="AD2" s="27" t="s">
        <v>265</v>
      </c>
      <c r="AE2" s="27" t="s">
        <v>266</v>
      </c>
      <c r="AF2" s="27" t="s">
        <v>267</v>
      </c>
      <c r="AG2" s="28" t="s">
        <v>257</v>
      </c>
      <c r="AH2" s="28" t="s">
        <v>260</v>
      </c>
      <c r="AI2" s="28" t="s">
        <v>261</v>
      </c>
      <c r="AJ2" s="28" t="s">
        <v>287</v>
      </c>
      <c r="AO2" s="7" t="s">
        <v>272</v>
      </c>
      <c r="AP2" s="7" t="s">
        <v>273</v>
      </c>
      <c r="AT2" s="10" t="str">
        <f t="shared" ref="AT2:AT8" si="1">R2</f>
        <v>Number</v>
      </c>
      <c r="AU2" s="7"/>
      <c r="AV2" s="7" t="str">
        <f t="shared" ref="AV2:BK2" si="2">T2</f>
        <v>Rjct</v>
      </c>
      <c r="AW2" s="7" t="str">
        <f t="shared" si="2"/>
        <v>Data File</v>
      </c>
      <c r="AX2" s="10" t="str">
        <f t="shared" si="2"/>
        <v>Acq. Date-Time</v>
      </c>
      <c r="AY2" s="7" t="str">
        <f t="shared" si="2"/>
        <v>Type</v>
      </c>
      <c r="AZ2" s="7" t="str">
        <f t="shared" si="2"/>
        <v>Level</v>
      </c>
      <c r="BA2" s="7" t="str">
        <f t="shared" si="2"/>
        <v>Sample Name</v>
      </c>
      <c r="BB2" s="15" t="str">
        <f t="shared" si="2"/>
        <v>CPS</v>
      </c>
      <c r="BC2" s="15" t="str">
        <f t="shared" si="2"/>
        <v>CPS RSD</v>
      </c>
      <c r="BD2" s="27" t="str">
        <f t="shared" si="2"/>
        <v>Mean</v>
      </c>
      <c r="BE2" s="27" t="str">
        <f t="shared" si="2"/>
        <v>120% Mean</v>
      </c>
      <c r="BF2" s="27" t="str">
        <f t="shared" si="2"/>
        <v>80% Mean</v>
      </c>
      <c r="BG2" s="27" t="str">
        <f t="shared" si="2"/>
        <v>110% Mean</v>
      </c>
      <c r="BH2" s="27" t="str">
        <f t="shared" si="2"/>
        <v>90% Mean</v>
      </c>
      <c r="BI2" s="28" t="str">
        <f t="shared" si="2"/>
        <v>Stdev</v>
      </c>
      <c r="BJ2" s="28" t="str">
        <f t="shared" si="2"/>
        <v>RelStdev</v>
      </c>
      <c r="BK2" s="28" t="str">
        <f t="shared" si="2"/>
        <v>Range</v>
      </c>
      <c r="BL2" s="28" t="s">
        <v>287</v>
      </c>
      <c r="BM2"/>
      <c r="BN2"/>
      <c r="BO2"/>
      <c r="BQ2" s="7" t="s">
        <v>272</v>
      </c>
      <c r="BR2" s="7" t="s">
        <v>273</v>
      </c>
      <c r="BU2" s="2"/>
    </row>
    <row r="3" spans="1:73" x14ac:dyDescent="0.25">
      <c r="A3" s="23">
        <f>Alex_ITSD_count_data!A3</f>
        <v>0</v>
      </c>
      <c r="B3" s="8"/>
      <c r="C3" s="8" t="b">
        <f>Alex_ITSD_count_data!C3</f>
        <v>0</v>
      </c>
      <c r="D3" s="8" t="str">
        <f>Alex_ITSD_count_data!D3</f>
        <v>001SMPL.d</v>
      </c>
      <c r="E3" s="11">
        <f>Alex_ITSD_count_data!E3</f>
        <v>45246.480185185188</v>
      </c>
      <c r="F3" s="8" t="str">
        <f>Alex_ITSD_count_data!F3</f>
        <v>Sample</v>
      </c>
      <c r="G3" s="8">
        <f>Alex_ITSD_count_data!G3</f>
        <v>0</v>
      </c>
      <c r="H3" s="8" t="str">
        <f>Alex_ITSD_count_data!H3</f>
        <v>blk</v>
      </c>
      <c r="I3" s="17">
        <f>Alex_ITSD_count_data!O3</f>
        <v>823.48</v>
      </c>
      <c r="J3" s="17">
        <f>Alex_ITSD_count_data!P3</f>
        <v>12.8</v>
      </c>
      <c r="K3" s="46"/>
      <c r="L3" s="17"/>
      <c r="M3" s="17"/>
      <c r="N3" s="8"/>
      <c r="O3" s="8"/>
      <c r="P3" s="8"/>
      <c r="R3" s="23">
        <f t="shared" ref="R3:AA3" si="3">A12</f>
        <v>1.0532407402934041E-2</v>
      </c>
      <c r="S3" s="8" t="str">
        <f t="shared" si="3"/>
        <v>45  Sc ( ISTD )  [ He ] :  ISTD Recovery Percent value = 294.14 is outside the allowed range [80.00, 120.00]103  Rh ( ISTD )  [ He ] :  ISTD Recovery Percent value = 306.45 is outside the allowed range [80.00, 120.00]</v>
      </c>
      <c r="T3" s="8" t="b">
        <f t="shared" si="3"/>
        <v>0</v>
      </c>
      <c r="U3" s="8" t="str">
        <f t="shared" si="3"/>
        <v>010CALS.d</v>
      </c>
      <c r="V3" s="11">
        <f t="shared" si="3"/>
        <v>45246.490717592591</v>
      </c>
      <c r="W3" s="8" t="str">
        <f t="shared" si="3"/>
        <v>CalStd</v>
      </c>
      <c r="X3" s="8">
        <f t="shared" si="3"/>
        <v>7</v>
      </c>
      <c r="Y3" s="8" t="str">
        <f t="shared" si="3"/>
        <v>100 ppb m16 + Al</v>
      </c>
      <c r="Z3" s="17">
        <f t="shared" si="3"/>
        <v>38979.96</v>
      </c>
      <c r="AA3" s="8">
        <f t="shared" si="3"/>
        <v>4.0999999999999996</v>
      </c>
      <c r="AB3" s="8">
        <f>AVERAGE(Z3:Z8)</f>
        <v>41795.86</v>
      </c>
      <c r="AC3" s="8">
        <f>1.2*AB3</f>
        <v>50155.031999999999</v>
      </c>
      <c r="AD3" s="8">
        <f>0.8*AB3</f>
        <v>33436.688000000002</v>
      </c>
      <c r="AE3" s="8">
        <f>1.1*AB3</f>
        <v>45975.446000000004</v>
      </c>
      <c r="AF3" s="8">
        <f>0.9*AB3</f>
        <v>37616.274000000005</v>
      </c>
      <c r="AG3" s="8">
        <f>STDEV(Z3:Z8)</f>
        <v>2201.2291911384423</v>
      </c>
      <c r="AH3" s="8">
        <f>AG3/AB3 * 100</f>
        <v>5.2666201655820508</v>
      </c>
      <c r="AI3" s="8">
        <f>MAX(Z3:Z8)-MIN(Z3:Z8)</f>
        <v>5602.7700000000041</v>
      </c>
      <c r="AJ3" s="8">
        <f>AG3/SQRT(COUNT(Z3:Z8))</f>
        <v>898.64805420142113</v>
      </c>
      <c r="AN3" t="s">
        <v>280</v>
      </c>
      <c r="AO3" s="17" cm="1">
        <f t="array" ref="AO3:AP7">LINEST(Z3:Z8,V3:V8, TRUE, TRUE)</f>
        <v>54325.10149899908</v>
      </c>
      <c r="AP3" s="17">
        <v>-2457981539.6482153</v>
      </c>
      <c r="AQ3" s="20" t="s">
        <v>281</v>
      </c>
      <c r="AT3" s="23">
        <f t="shared" si="1"/>
        <v>1.0532407402934041E-2</v>
      </c>
      <c r="AU3" s="8" t="str">
        <f t="shared" ref="AU3:BA8" si="4">S3</f>
        <v>45  Sc ( ISTD )  [ He ] :  ISTD Recovery Percent value = 294.14 is outside the allowed range [80.00, 120.00]103  Rh ( ISTD )  [ He ] :  ISTD Recovery Percent value = 306.45 is outside the allowed range [80.00, 120.00]</v>
      </c>
      <c r="AV3" s="8" t="b">
        <f t="shared" si="4"/>
        <v>0</v>
      </c>
      <c r="AW3" s="8" t="str">
        <f t="shared" si="4"/>
        <v>010CALS.d</v>
      </c>
      <c r="AX3" s="11">
        <f t="shared" si="4"/>
        <v>45246.490717592591</v>
      </c>
      <c r="AY3" s="8" t="str">
        <f t="shared" si="4"/>
        <v>CalStd</v>
      </c>
      <c r="AZ3" s="8">
        <f t="shared" si="4"/>
        <v>7</v>
      </c>
      <c r="BA3" s="8" t="str">
        <f t="shared" si="4"/>
        <v>100 ppb m16 + Al</v>
      </c>
      <c r="BB3" s="8">
        <f t="shared" ref="BB3:BB8" si="5">Z3-($AO$3*AT3)</f>
        <v>38407.785898806796</v>
      </c>
      <c r="BC3" s="8"/>
      <c r="BD3" s="8">
        <f>AVERAGE(BB3:BB8)</f>
        <v>38088.884420614493</v>
      </c>
      <c r="BE3" s="8">
        <f>1.2*BD3</f>
        <v>45706.66130473739</v>
      </c>
      <c r="BF3" s="8">
        <f>0.8*BD3</f>
        <v>30471.107536491596</v>
      </c>
      <c r="BG3" s="8">
        <f>1.1*BD3</f>
        <v>41897.772862675949</v>
      </c>
      <c r="BH3" s="8">
        <f>0.9*BD3</f>
        <v>34279.995978553045</v>
      </c>
      <c r="BI3" s="8">
        <f>STDEV(BB3:BB8)</f>
        <v>824.75627430652048</v>
      </c>
      <c r="BJ3" s="8">
        <f>BI3/BD3 * 100</f>
        <v>2.1653463650937104</v>
      </c>
      <c r="BK3" s="8">
        <f>MAX(BB3:BB8)-MIN(BB3:BB8)</f>
        <v>2483.8720192218607</v>
      </c>
      <c r="BL3" s="8">
        <f>BI3/SQRT(COUNT(BB3:BB8))</f>
        <v>336.70533903498188</v>
      </c>
      <c r="BM3"/>
      <c r="BN3"/>
      <c r="BO3"/>
      <c r="BP3" t="s">
        <v>280</v>
      </c>
      <c r="BQ3" s="17" cm="1">
        <f t="array" ref="BQ3:BR7">LINEST(BB3:BB8,AX3:AX8, TRUE, TRUE)</f>
        <v>2.842024197229675E-11</v>
      </c>
      <c r="BR3" s="17">
        <v>38088.884419328577</v>
      </c>
      <c r="BS3" s="20" t="s">
        <v>281</v>
      </c>
      <c r="BU3" s="20"/>
    </row>
    <row r="4" spans="1:73" x14ac:dyDescent="0.25">
      <c r="A4" s="23">
        <f>Alex_ITSD_count_data!A4</f>
        <v>1.1458333319751546E-3</v>
      </c>
      <c r="B4" s="8" t="str">
        <f>Alex_ITSD_count_data!B4</f>
        <v>56  Fe  [ He ] :  CPS RSD value = 5.02 is over the allowed maximum = 5.00</v>
      </c>
      <c r="C4" s="8" t="b">
        <f>Alex_ITSD_count_data!C4</f>
        <v>0</v>
      </c>
      <c r="D4" s="8" t="str">
        <f>Alex_ITSD_count_data!D4</f>
        <v>002SMPL.d</v>
      </c>
      <c r="E4" s="11">
        <f>Alex_ITSD_count_data!E4</f>
        <v>45246.48133101852</v>
      </c>
      <c r="F4" s="8" t="str">
        <f>Alex_ITSD_count_data!F4</f>
        <v>Sample</v>
      </c>
      <c r="G4" s="8">
        <f>Alex_ITSD_count_data!G4</f>
        <v>0</v>
      </c>
      <c r="H4" s="8" t="str">
        <f>Alex_ITSD_count_data!H4</f>
        <v>blk</v>
      </c>
      <c r="I4" s="17">
        <f>Alex_ITSD_count_data!O4</f>
        <v>920.06</v>
      </c>
      <c r="J4" s="17">
        <f>Alex_ITSD_count_data!P4</f>
        <v>12.3</v>
      </c>
      <c r="K4" s="46"/>
      <c r="L4" s="17"/>
      <c r="M4" s="17"/>
      <c r="N4" s="8"/>
      <c r="O4" s="8"/>
      <c r="P4" s="8"/>
      <c r="R4" s="23">
        <f t="shared" ref="R4:AA4" si="6">A29</f>
        <v>4.2407407403516117E-2</v>
      </c>
      <c r="S4" s="8" t="str">
        <f t="shared" si="6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T4" s="8" t="b">
        <f t="shared" si="6"/>
        <v>0</v>
      </c>
      <c r="U4" s="8" t="str">
        <f t="shared" si="6"/>
        <v>027SMPL.d</v>
      </c>
      <c r="V4" s="11">
        <f t="shared" si="6"/>
        <v>45246.522592592592</v>
      </c>
      <c r="W4" s="8" t="str">
        <f t="shared" si="6"/>
        <v>Sample</v>
      </c>
      <c r="X4" s="8">
        <f t="shared" si="6"/>
        <v>0</v>
      </c>
      <c r="Y4" s="8" t="str">
        <f t="shared" si="6"/>
        <v>100 ppb check</v>
      </c>
      <c r="Z4" s="8">
        <f t="shared" si="6"/>
        <v>40567.760000000002</v>
      </c>
      <c r="AA4" s="8">
        <f t="shared" si="6"/>
        <v>1.9</v>
      </c>
      <c r="AB4" s="8">
        <f>$AB$3</f>
        <v>41795.86</v>
      </c>
      <c r="AC4" s="8">
        <f t="shared" ref="AC4:AJ4" si="7">AC$3</f>
        <v>50155.031999999999</v>
      </c>
      <c r="AD4" s="8">
        <f t="shared" si="7"/>
        <v>33436.688000000002</v>
      </c>
      <c r="AE4" s="8">
        <f t="shared" si="7"/>
        <v>45975.446000000004</v>
      </c>
      <c r="AF4" s="8">
        <f t="shared" si="7"/>
        <v>37616.274000000005</v>
      </c>
      <c r="AG4" s="8">
        <f t="shared" si="7"/>
        <v>2201.2291911384423</v>
      </c>
      <c r="AH4" s="8">
        <f t="shared" si="7"/>
        <v>5.2666201655820508</v>
      </c>
      <c r="AI4" s="8">
        <f t="shared" si="7"/>
        <v>5602.7700000000041</v>
      </c>
      <c r="AJ4" s="8">
        <f t="shared" si="7"/>
        <v>898.64805420142113</v>
      </c>
      <c r="AN4" t="s">
        <v>286</v>
      </c>
      <c r="AO4" s="17">
        <v>10976.880206332937</v>
      </c>
      <c r="AP4" s="17">
        <v>496665941.77922463</v>
      </c>
      <c r="AQ4" t="s">
        <v>282</v>
      </c>
      <c r="AT4" s="23">
        <f t="shared" si="1"/>
        <v>4.2407407403516117E-2</v>
      </c>
      <c r="AU4" s="8" t="str">
        <f t="shared" si="4"/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AV4" s="8" t="b">
        <f t="shared" si="4"/>
        <v>0</v>
      </c>
      <c r="AW4" s="8" t="str">
        <f t="shared" si="4"/>
        <v>027SMPL.d</v>
      </c>
      <c r="AX4" s="11">
        <f t="shared" si="4"/>
        <v>45246.522592592592</v>
      </c>
      <c r="AY4" s="8" t="str">
        <f t="shared" si="4"/>
        <v>Sample</v>
      </c>
      <c r="AZ4" s="8">
        <f t="shared" si="4"/>
        <v>0</v>
      </c>
      <c r="BA4" s="8" t="str">
        <f t="shared" si="4"/>
        <v>100 ppb check</v>
      </c>
      <c r="BB4" s="8">
        <f t="shared" si="5"/>
        <v>38263.973288494584</v>
      </c>
      <c r="BC4" s="8"/>
      <c r="BD4" s="8">
        <f t="shared" ref="BD4:BL4" si="8">BD$3</f>
        <v>38088.884420614493</v>
      </c>
      <c r="BE4" s="8">
        <f t="shared" si="8"/>
        <v>45706.66130473739</v>
      </c>
      <c r="BF4" s="8">
        <f t="shared" si="8"/>
        <v>30471.107536491596</v>
      </c>
      <c r="BG4" s="8">
        <f t="shared" si="8"/>
        <v>41897.772862675949</v>
      </c>
      <c r="BH4" s="8">
        <f t="shared" si="8"/>
        <v>34279.995978553045</v>
      </c>
      <c r="BI4" s="8">
        <f t="shared" si="8"/>
        <v>824.75627430652048</v>
      </c>
      <c r="BJ4" s="8">
        <f t="shared" si="8"/>
        <v>2.1653463650937104</v>
      </c>
      <c r="BK4" s="8">
        <f t="shared" si="8"/>
        <v>2483.8720192218607</v>
      </c>
      <c r="BL4" s="8">
        <f t="shared" si="8"/>
        <v>336.70533903498188</v>
      </c>
      <c r="BM4"/>
      <c r="BN4"/>
      <c r="BO4"/>
      <c r="BP4" t="s">
        <v>286</v>
      </c>
      <c r="BQ4" s="17">
        <v>10976.880206332942</v>
      </c>
      <c r="BR4" s="17">
        <v>496665941.77922487</v>
      </c>
      <c r="BS4" t="s">
        <v>282</v>
      </c>
      <c r="BU4" s="20"/>
    </row>
    <row r="5" spans="1:73" x14ac:dyDescent="0.25">
      <c r="A5" s="23">
        <f>Alex_ITSD_count_data!A5</f>
        <v>2.3263888870133087E-3</v>
      </c>
      <c r="B5" s="8"/>
      <c r="C5" s="8" t="b">
        <f>Alex_ITSD_count_data!C5</f>
        <v>0</v>
      </c>
      <c r="D5" s="8" t="str">
        <f>Alex_ITSD_count_data!D5</f>
        <v>003SMPL.d</v>
      </c>
      <c r="E5" s="11">
        <f>Alex_ITSD_count_data!E5</f>
        <v>45246.482511574075</v>
      </c>
      <c r="F5" s="8" t="str">
        <f>Alex_ITSD_count_data!F5</f>
        <v>Sample</v>
      </c>
      <c r="G5" s="8">
        <f>Alex_ITSD_count_data!G5</f>
        <v>0</v>
      </c>
      <c r="H5" s="8" t="str">
        <f>Alex_ITSD_count_data!H5</f>
        <v>blk</v>
      </c>
      <c r="I5" s="17">
        <f>Alex_ITSD_count_data!O5</f>
        <v>636.71</v>
      </c>
      <c r="J5" s="17">
        <f>Alex_ITSD_count_data!P5</f>
        <v>17.3</v>
      </c>
      <c r="K5" s="46"/>
      <c r="L5" s="17"/>
      <c r="M5" s="17"/>
      <c r="N5" s="8"/>
      <c r="O5" s="8"/>
      <c r="P5" s="8"/>
      <c r="R5" s="23">
        <f t="shared" ref="R5:AA5" si="9">A41</f>
        <v>6.4664351848477963E-2</v>
      </c>
      <c r="S5" s="8" t="str">
        <f t="shared" si="9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T5" s="8" t="b">
        <f t="shared" si="9"/>
        <v>0</v>
      </c>
      <c r="U5" s="8" t="str">
        <f t="shared" si="9"/>
        <v>039SMPL.d</v>
      </c>
      <c r="V5" s="11">
        <f t="shared" si="9"/>
        <v>45246.544849537036</v>
      </c>
      <c r="W5" s="8" t="str">
        <f t="shared" si="9"/>
        <v>Sample</v>
      </c>
      <c r="X5" s="8">
        <f t="shared" si="9"/>
        <v>0</v>
      </c>
      <c r="Y5" s="8" t="str">
        <f t="shared" si="9"/>
        <v>100 ppb check</v>
      </c>
      <c r="Z5" s="8">
        <f t="shared" si="9"/>
        <v>40410.629999999997</v>
      </c>
      <c r="AA5" s="8">
        <f t="shared" si="9"/>
        <v>3.5</v>
      </c>
      <c r="AB5" s="8">
        <f t="shared" ref="AB5:AB8" si="10">$AB$3</f>
        <v>41795.86</v>
      </c>
      <c r="AC5" s="8">
        <f t="shared" ref="AC5:AF8" si="11">AC$3</f>
        <v>50155.031999999999</v>
      </c>
      <c r="AD5" s="8">
        <f t="shared" si="11"/>
        <v>33436.688000000002</v>
      </c>
      <c r="AE5" s="8">
        <f t="shared" si="11"/>
        <v>45975.446000000004</v>
      </c>
      <c r="AF5" s="8">
        <f t="shared" si="11"/>
        <v>37616.274000000005</v>
      </c>
      <c r="AG5" s="8">
        <f t="shared" ref="AG5:AI8" si="12">AG$3</f>
        <v>2201.2291911384423</v>
      </c>
      <c r="AH5" s="8">
        <f t="shared" si="12"/>
        <v>5.2666201655820508</v>
      </c>
      <c r="AI5" s="8">
        <f t="shared" si="12"/>
        <v>5602.7700000000041</v>
      </c>
      <c r="AJ5" s="8">
        <f t="shared" ref="AJ5:AJ8" si="13">AJ$3</f>
        <v>898.64805420142113</v>
      </c>
      <c r="AN5" t="s">
        <v>277</v>
      </c>
      <c r="AO5" s="17">
        <v>0.85961499258934071</v>
      </c>
      <c r="AP5" s="17">
        <v>922.10554710942108</v>
      </c>
      <c r="AQ5" t="s">
        <v>285</v>
      </c>
      <c r="AT5" s="23">
        <f t="shared" si="1"/>
        <v>6.4664351848477963E-2</v>
      </c>
      <c r="AU5" s="8" t="str">
        <f t="shared" si="4"/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AV5" s="8" t="b">
        <f t="shared" si="4"/>
        <v>0</v>
      </c>
      <c r="AW5" s="8" t="str">
        <f t="shared" si="4"/>
        <v>039SMPL.d</v>
      </c>
      <c r="AX5" s="11">
        <f t="shared" si="4"/>
        <v>45246.544849537036</v>
      </c>
      <c r="AY5" s="8" t="str">
        <f t="shared" si="4"/>
        <v>Sample</v>
      </c>
      <c r="AZ5" s="8">
        <f t="shared" si="4"/>
        <v>0</v>
      </c>
      <c r="BA5" s="8" t="str">
        <f t="shared" si="4"/>
        <v>100 ppb check</v>
      </c>
      <c r="BB5" s="8">
        <f t="shared" si="5"/>
        <v>36897.732522464445</v>
      </c>
      <c r="BC5" s="8"/>
      <c r="BD5" s="8">
        <f t="shared" ref="BD5:BH8" si="14">BD$3</f>
        <v>38088.884420614493</v>
      </c>
      <c r="BE5" s="8">
        <f t="shared" si="14"/>
        <v>45706.66130473739</v>
      </c>
      <c r="BF5" s="8">
        <f t="shared" si="14"/>
        <v>30471.107536491596</v>
      </c>
      <c r="BG5" s="8">
        <f t="shared" si="14"/>
        <v>41897.772862675949</v>
      </c>
      <c r="BH5" s="8">
        <f t="shared" si="14"/>
        <v>34279.995978553045</v>
      </c>
      <c r="BI5" s="8">
        <f t="shared" ref="BI5:BK8" si="15">BI$3</f>
        <v>824.75627430652048</v>
      </c>
      <c r="BJ5" s="8">
        <f t="shared" si="15"/>
        <v>2.1653463650937104</v>
      </c>
      <c r="BK5" s="8">
        <f t="shared" si="15"/>
        <v>2483.8720192218607</v>
      </c>
      <c r="BL5" s="8">
        <f t="shared" ref="BL5:BL8" si="16">BL$3</f>
        <v>336.70533903498188</v>
      </c>
      <c r="BM5"/>
      <c r="BN5"/>
      <c r="BO5"/>
      <c r="BP5" t="s">
        <v>277</v>
      </c>
      <c r="BQ5" s="17">
        <v>-1.3691432002286967E-16</v>
      </c>
      <c r="BR5" s="17">
        <v>922.10554710942154</v>
      </c>
      <c r="BS5" t="s">
        <v>285</v>
      </c>
      <c r="BU5" s="20"/>
    </row>
    <row r="6" spans="1:73" x14ac:dyDescent="0.25">
      <c r="A6" s="23">
        <f>Alex_ITSD_count_data!A6</f>
        <v>3.4490740727051161E-3</v>
      </c>
      <c r="B6" s="8"/>
      <c r="C6" s="8" t="b">
        <f>Alex_ITSD_count_data!C6</f>
        <v>0</v>
      </c>
      <c r="D6" s="8" t="str">
        <f>Alex_ITSD_count_data!D6</f>
        <v>004CALB.d</v>
      </c>
      <c r="E6" s="11">
        <f>Alex_ITSD_count_data!E6</f>
        <v>45246.483634259261</v>
      </c>
      <c r="F6" s="8" t="str">
        <f>Alex_ITSD_count_data!F6</f>
        <v>CalBlk</v>
      </c>
      <c r="G6" s="8">
        <f>Alex_ITSD_count_data!G6</f>
        <v>1</v>
      </c>
      <c r="H6" s="8" t="str">
        <f>Alex_ITSD_count_data!H6</f>
        <v xml:space="preserve">0 ppb </v>
      </c>
      <c r="I6" s="17">
        <f>Alex_ITSD_count_data!O6</f>
        <v>1140.0899999999999</v>
      </c>
      <c r="J6" s="17">
        <f>Alex_ITSD_count_data!P6</f>
        <v>15.9</v>
      </c>
      <c r="K6" s="47">
        <f>I6-($AO$3*A6)</f>
        <v>952.71870092272832</v>
      </c>
      <c r="L6" s="17">
        <f>(I6-$AP$30)*(1/$AO$30)</f>
        <v>-174.07175862736952</v>
      </c>
      <c r="M6" s="17">
        <f>[2]Alex_MS_FE_AL_data!N6</f>
        <v>0</v>
      </c>
      <c r="N6" s="8"/>
      <c r="O6" s="8"/>
      <c r="P6" s="8"/>
      <c r="R6" s="23">
        <f t="shared" ref="R6:AA6" si="17">A53</f>
        <v>8.2002314811688848E-2</v>
      </c>
      <c r="S6" s="8" t="str">
        <f t="shared" si="17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T6" s="8" t="b">
        <f t="shared" si="17"/>
        <v>0</v>
      </c>
      <c r="U6" s="8" t="str">
        <f t="shared" si="17"/>
        <v>051SMPL.d</v>
      </c>
      <c r="V6" s="11">
        <f t="shared" si="17"/>
        <v>45246.5621875</v>
      </c>
      <c r="W6" s="8" t="str">
        <f t="shared" si="17"/>
        <v>Sample</v>
      </c>
      <c r="X6" s="8">
        <f t="shared" si="17"/>
        <v>0</v>
      </c>
      <c r="Y6" s="8" t="str">
        <f t="shared" si="17"/>
        <v>100 ppb check</v>
      </c>
      <c r="Z6" s="8">
        <f t="shared" si="17"/>
        <v>42218.99</v>
      </c>
      <c r="AA6" s="8">
        <f t="shared" si="17"/>
        <v>2.5</v>
      </c>
      <c r="AB6" s="8">
        <f t="shared" si="10"/>
        <v>41795.86</v>
      </c>
      <c r="AC6" s="8">
        <f t="shared" si="11"/>
        <v>50155.031999999999</v>
      </c>
      <c r="AD6" s="8">
        <f t="shared" si="11"/>
        <v>33436.688000000002</v>
      </c>
      <c r="AE6" s="8">
        <f t="shared" si="11"/>
        <v>45975.446000000004</v>
      </c>
      <c r="AF6" s="8">
        <f t="shared" si="11"/>
        <v>37616.274000000005</v>
      </c>
      <c r="AG6" s="8">
        <f t="shared" si="12"/>
        <v>2201.2291911384423</v>
      </c>
      <c r="AH6" s="8">
        <f t="shared" si="12"/>
        <v>5.2666201655820508</v>
      </c>
      <c r="AI6" s="8">
        <f t="shared" si="12"/>
        <v>5602.7700000000041</v>
      </c>
      <c r="AJ6" s="8">
        <f t="shared" si="13"/>
        <v>898.64805420142113</v>
      </c>
      <c r="AN6" t="s">
        <v>278</v>
      </c>
      <c r="AO6" s="17">
        <v>24.493071117623369</v>
      </c>
      <c r="AP6" s="17">
        <v>4</v>
      </c>
      <c r="AQ6" t="s">
        <v>283</v>
      </c>
      <c r="AT6" s="23">
        <f t="shared" si="1"/>
        <v>8.2002314811688848E-2</v>
      </c>
      <c r="AU6" s="8" t="str">
        <f t="shared" si="4"/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AV6" s="8" t="b">
        <f t="shared" si="4"/>
        <v>0</v>
      </c>
      <c r="AW6" s="8" t="str">
        <f t="shared" si="4"/>
        <v>051SMPL.d</v>
      </c>
      <c r="AX6" s="11">
        <f t="shared" si="4"/>
        <v>45246.5621875</v>
      </c>
      <c r="AY6" s="8" t="str">
        <f t="shared" si="4"/>
        <v>Sample</v>
      </c>
      <c r="AZ6" s="8">
        <f t="shared" si="4"/>
        <v>0</v>
      </c>
      <c r="BA6" s="8" t="str">
        <f t="shared" si="4"/>
        <v>100 ppb check</v>
      </c>
      <c r="BB6" s="8">
        <f t="shared" si="5"/>
        <v>37764.205924702124</v>
      </c>
      <c r="BC6" s="8"/>
      <c r="BD6" s="8">
        <f t="shared" si="14"/>
        <v>38088.884420614493</v>
      </c>
      <c r="BE6" s="8">
        <f t="shared" si="14"/>
        <v>45706.66130473739</v>
      </c>
      <c r="BF6" s="8">
        <f t="shared" si="14"/>
        <v>30471.107536491596</v>
      </c>
      <c r="BG6" s="8">
        <f t="shared" si="14"/>
        <v>41897.772862675949</v>
      </c>
      <c r="BH6" s="8">
        <f t="shared" si="14"/>
        <v>34279.995978553045</v>
      </c>
      <c r="BI6" s="8">
        <f t="shared" si="15"/>
        <v>824.75627430652048</v>
      </c>
      <c r="BJ6" s="8">
        <f t="shared" si="15"/>
        <v>2.1653463650937104</v>
      </c>
      <c r="BK6" s="8">
        <f t="shared" si="15"/>
        <v>2483.8720192218607</v>
      </c>
      <c r="BL6" s="8">
        <f t="shared" si="16"/>
        <v>336.70533903498188</v>
      </c>
      <c r="BM6"/>
      <c r="BN6"/>
      <c r="BO6"/>
      <c r="BP6" t="s">
        <v>278</v>
      </c>
      <c r="BQ6" s="17">
        <v>-5.4765728009147858E-16</v>
      </c>
      <c r="BR6" s="17">
        <v>4</v>
      </c>
      <c r="BS6" t="s">
        <v>283</v>
      </c>
      <c r="BU6" s="20"/>
    </row>
    <row r="7" spans="1:73" x14ac:dyDescent="0.25">
      <c r="A7" s="23">
        <f>Alex_ITSD_count_data!A7</f>
        <v>4.6180555509636179E-3</v>
      </c>
      <c r="B7" s="8"/>
      <c r="C7" s="8" t="b">
        <f>Alex_ITSD_count_data!C7</f>
        <v>0</v>
      </c>
      <c r="D7" s="8" t="str">
        <f>Alex_ITSD_count_data!D7</f>
        <v>005CALS.d</v>
      </c>
      <c r="E7" s="11">
        <f>Alex_ITSD_count_data!E7</f>
        <v>45246.484803240739</v>
      </c>
      <c r="F7" s="8" t="str">
        <f>Alex_ITSD_count_data!F7</f>
        <v>CalStd</v>
      </c>
      <c r="G7" s="8">
        <f>Alex_ITSD_count_data!G7</f>
        <v>2</v>
      </c>
      <c r="H7" s="8" t="str">
        <f>Alex_ITSD_count_data!H7</f>
        <v>0.5 ppb m16 + Al</v>
      </c>
      <c r="I7" s="17">
        <f>Alex_ITSD_count_data!O7</f>
        <v>950.06</v>
      </c>
      <c r="J7" s="17">
        <f>Alex_ITSD_count_data!P7</f>
        <v>9.1999999999999993</v>
      </c>
      <c r="K7" s="47">
        <f t="shared" ref="K7:K70" si="18">I7-($AO$3*A7)</f>
        <v>699.18366346588527</v>
      </c>
      <c r="L7" s="17">
        <f>(I7-$AP$30)*(1/$AO$30)</f>
        <v>-174.66727505424575</v>
      </c>
      <c r="M7" s="17" t="str">
        <f>[2]Alex_MS_FE_AL_data!N7</f>
        <v>&lt;0.000</v>
      </c>
      <c r="N7" s="8"/>
      <c r="O7" s="8"/>
      <c r="P7" s="8"/>
      <c r="R7" s="23">
        <f t="shared" ref="R7:AA7" si="19">A65</f>
        <v>9.5740740740438923E-2</v>
      </c>
      <c r="S7" s="8" t="str">
        <f t="shared" si="19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T7" s="8" t="b">
        <f t="shared" si="19"/>
        <v>0</v>
      </c>
      <c r="U7" s="8" t="str">
        <f t="shared" si="19"/>
        <v>063SMPL.d</v>
      </c>
      <c r="V7" s="11">
        <f t="shared" si="19"/>
        <v>45246.575925925928</v>
      </c>
      <c r="W7" s="8" t="str">
        <f t="shared" si="19"/>
        <v>Sample</v>
      </c>
      <c r="X7" s="8">
        <f t="shared" si="19"/>
        <v>0</v>
      </c>
      <c r="Y7" s="8" t="str">
        <f t="shared" si="19"/>
        <v>100 ppb check</v>
      </c>
      <c r="Z7" s="8">
        <f t="shared" si="19"/>
        <v>44582.73</v>
      </c>
      <c r="AA7" s="8">
        <f t="shared" si="19"/>
        <v>4.3</v>
      </c>
      <c r="AB7" s="8">
        <f t="shared" si="10"/>
        <v>41795.86</v>
      </c>
      <c r="AC7" s="8">
        <f t="shared" si="11"/>
        <v>50155.031999999999</v>
      </c>
      <c r="AD7" s="8">
        <f t="shared" si="11"/>
        <v>33436.688000000002</v>
      </c>
      <c r="AE7" s="8">
        <f t="shared" si="11"/>
        <v>45975.446000000004</v>
      </c>
      <c r="AF7" s="8">
        <f t="shared" si="11"/>
        <v>37616.274000000005</v>
      </c>
      <c r="AG7" s="8">
        <f t="shared" si="12"/>
        <v>2201.2291911384423</v>
      </c>
      <c r="AH7" s="8">
        <f t="shared" si="12"/>
        <v>5.2666201655820508</v>
      </c>
      <c r="AI7" s="8">
        <f t="shared" si="12"/>
        <v>5602.7700000000041</v>
      </c>
      <c r="AJ7" s="8">
        <f t="shared" si="13"/>
        <v>898.64805420142113</v>
      </c>
      <c r="AN7" t="s">
        <v>279</v>
      </c>
      <c r="AO7" s="17">
        <v>20825935.199560147</v>
      </c>
      <c r="AP7" s="17">
        <v>3401114.5600398593</v>
      </c>
      <c r="AQ7" t="s">
        <v>284</v>
      </c>
      <c r="AT7" s="23">
        <f t="shared" si="1"/>
        <v>9.5740740740438923E-2</v>
      </c>
      <c r="AU7" s="8" t="str">
        <f t="shared" si="4"/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AV7" s="8" t="b">
        <f t="shared" si="4"/>
        <v>0</v>
      </c>
      <c r="AW7" s="8" t="str">
        <f t="shared" si="4"/>
        <v>063SMPL.d</v>
      </c>
      <c r="AX7" s="11">
        <f t="shared" si="4"/>
        <v>45246.575925925928</v>
      </c>
      <c r="AY7" s="8" t="str">
        <f t="shared" si="4"/>
        <v>Sample</v>
      </c>
      <c r="AZ7" s="8">
        <f t="shared" si="4"/>
        <v>0</v>
      </c>
      <c r="BA7" s="8" t="str">
        <f t="shared" si="4"/>
        <v>100 ppb check</v>
      </c>
      <c r="BB7" s="8">
        <f t="shared" si="5"/>
        <v>39381.604541686305</v>
      </c>
      <c r="BC7" s="8"/>
      <c r="BD7" s="8">
        <f t="shared" si="14"/>
        <v>38088.884420614493</v>
      </c>
      <c r="BE7" s="8">
        <f t="shared" si="14"/>
        <v>45706.66130473739</v>
      </c>
      <c r="BF7" s="8">
        <f t="shared" si="14"/>
        <v>30471.107536491596</v>
      </c>
      <c r="BG7" s="8">
        <f t="shared" si="14"/>
        <v>41897.772862675949</v>
      </c>
      <c r="BH7" s="8">
        <f t="shared" si="14"/>
        <v>34279.995978553045</v>
      </c>
      <c r="BI7" s="8">
        <f t="shared" si="15"/>
        <v>824.75627430652048</v>
      </c>
      <c r="BJ7" s="8">
        <f t="shared" si="15"/>
        <v>2.1653463650937104</v>
      </c>
      <c r="BK7" s="8">
        <f t="shared" si="15"/>
        <v>2483.8720192218607</v>
      </c>
      <c r="BL7" s="8">
        <f t="shared" si="16"/>
        <v>336.70533903498188</v>
      </c>
      <c r="BM7"/>
      <c r="BN7"/>
      <c r="BO7"/>
      <c r="BP7" t="s">
        <v>279</v>
      </c>
      <c r="BQ7" s="17">
        <v>-4.6566128730773926E-10</v>
      </c>
      <c r="BR7" s="17">
        <v>3401114.5600398625</v>
      </c>
      <c r="BS7" t="s">
        <v>284</v>
      </c>
      <c r="BU7" s="20"/>
    </row>
    <row r="8" spans="1:73" x14ac:dyDescent="0.25">
      <c r="A8" s="23">
        <f>Alex_ITSD_count_data!A8</f>
        <v>5.7870370364980772E-3</v>
      </c>
      <c r="B8" s="8" t="str">
        <f>Alex_ITSD_count_data!B8</f>
        <v>45  Sc ( ISTD )  [ He ] :  ISTD Recovery Percent value = 135.23 is outside the allowed range [80.00, 120.00]103  Rh ( ISTD )  [ He ] :  ISTD Recovery Percent value = 137.11 is outside the allowed range [80.00, 120.00]</v>
      </c>
      <c r="C8" s="8" t="b">
        <f>Alex_ITSD_count_data!C8</f>
        <v>0</v>
      </c>
      <c r="D8" s="8" t="str">
        <f>Alex_ITSD_count_data!D8</f>
        <v>006CALS.d</v>
      </c>
      <c r="E8" s="11">
        <f>Alex_ITSD_count_data!E8</f>
        <v>45246.485972222225</v>
      </c>
      <c r="F8" s="8" t="str">
        <f>Alex_ITSD_count_data!F8</f>
        <v>CalStd</v>
      </c>
      <c r="G8" s="8">
        <f>Alex_ITSD_count_data!G8</f>
        <v>3</v>
      </c>
      <c r="H8" s="8" t="str">
        <f>Alex_ITSD_count_data!H8</f>
        <v>1 ppb m16 + Al</v>
      </c>
      <c r="I8" s="17">
        <f>Alex_ITSD_count_data!O8</f>
        <v>1130.23</v>
      </c>
      <c r="J8" s="17">
        <f>Alex_ITSD_count_data!P8</f>
        <v>20</v>
      </c>
      <c r="K8" s="47">
        <f t="shared" si="18"/>
        <v>815.84862561377508</v>
      </c>
      <c r="L8" s="17">
        <f t="shared" ref="L8:L71" si="20">(I8-$AP$30)*(1/$AO$30)</f>
        <v>-174.10265791679223</v>
      </c>
      <c r="M8" s="17" t="str">
        <f>[2]Alex_MS_FE_AL_data!N8</f>
        <v>&lt;0.000</v>
      </c>
      <c r="N8" s="8"/>
      <c r="O8" s="8"/>
      <c r="P8" s="8"/>
      <c r="R8" s="23">
        <f t="shared" ref="R8:AA8" si="21">A81</f>
        <v>0.11407407407386927</v>
      </c>
      <c r="S8" s="8" t="str">
        <f t="shared" si="21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T8" s="8" t="b">
        <f t="shared" si="21"/>
        <v>0</v>
      </c>
      <c r="U8" s="8" t="str">
        <f t="shared" si="21"/>
        <v>079SMPL.d</v>
      </c>
      <c r="V8" s="11">
        <f t="shared" si="21"/>
        <v>45246.594259259262</v>
      </c>
      <c r="W8" s="8" t="str">
        <f t="shared" si="21"/>
        <v>Sample</v>
      </c>
      <c r="X8" s="8">
        <f t="shared" si="21"/>
        <v>0</v>
      </c>
      <c r="Y8" s="8" t="str">
        <f t="shared" si="21"/>
        <v>100 ppb check</v>
      </c>
      <c r="Z8" s="8">
        <f t="shared" si="21"/>
        <v>44015.09</v>
      </c>
      <c r="AA8" s="8">
        <f t="shared" si="21"/>
        <v>4.3</v>
      </c>
      <c r="AB8" s="8">
        <f t="shared" si="10"/>
        <v>41795.86</v>
      </c>
      <c r="AC8" s="8">
        <f t="shared" si="11"/>
        <v>50155.031999999999</v>
      </c>
      <c r="AD8" s="8">
        <f t="shared" si="11"/>
        <v>33436.688000000002</v>
      </c>
      <c r="AE8" s="8">
        <f t="shared" si="11"/>
        <v>45975.446000000004</v>
      </c>
      <c r="AF8" s="8">
        <f t="shared" si="11"/>
        <v>37616.274000000005</v>
      </c>
      <c r="AG8" s="8">
        <f t="shared" si="12"/>
        <v>2201.2291911384423</v>
      </c>
      <c r="AH8" s="8">
        <f t="shared" si="12"/>
        <v>5.2666201655820508</v>
      </c>
      <c r="AI8" s="8">
        <f t="shared" si="12"/>
        <v>5602.7700000000041</v>
      </c>
      <c r="AJ8" s="8">
        <f t="shared" si="13"/>
        <v>898.64805420142113</v>
      </c>
      <c r="AT8" s="23">
        <f t="shared" si="1"/>
        <v>0.11407407407386927</v>
      </c>
      <c r="AU8" s="8" t="str">
        <f t="shared" si="4"/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AV8" s="8" t="b">
        <f t="shared" si="4"/>
        <v>0</v>
      </c>
      <c r="AW8" s="8" t="str">
        <f t="shared" si="4"/>
        <v>079SMPL.d</v>
      </c>
      <c r="AX8" s="11">
        <f t="shared" si="4"/>
        <v>45246.594259259262</v>
      </c>
      <c r="AY8" s="8" t="str">
        <f t="shared" si="4"/>
        <v>Sample</v>
      </c>
      <c r="AZ8" s="8">
        <f t="shared" si="4"/>
        <v>0</v>
      </c>
      <c r="BA8" s="8" t="str">
        <f t="shared" si="4"/>
        <v>100 ppb check</v>
      </c>
      <c r="BB8" s="8">
        <f t="shared" si="5"/>
        <v>37818.004347532711</v>
      </c>
      <c r="BC8" s="8"/>
      <c r="BD8" s="8">
        <f t="shared" si="14"/>
        <v>38088.884420614493</v>
      </c>
      <c r="BE8" s="8">
        <f t="shared" si="14"/>
        <v>45706.66130473739</v>
      </c>
      <c r="BF8" s="8">
        <f t="shared" si="14"/>
        <v>30471.107536491596</v>
      </c>
      <c r="BG8" s="8">
        <f t="shared" si="14"/>
        <v>41897.772862675949</v>
      </c>
      <c r="BH8" s="8">
        <f t="shared" si="14"/>
        <v>34279.995978553045</v>
      </c>
      <c r="BI8" s="8">
        <f t="shared" si="15"/>
        <v>824.75627430652048</v>
      </c>
      <c r="BJ8" s="8">
        <f t="shared" si="15"/>
        <v>2.1653463650937104</v>
      </c>
      <c r="BK8" s="8">
        <f t="shared" si="15"/>
        <v>2483.8720192218607</v>
      </c>
      <c r="BL8" s="8">
        <f t="shared" si="16"/>
        <v>336.70533903498188</v>
      </c>
      <c r="BM8"/>
      <c r="BN8"/>
      <c r="BO8"/>
    </row>
    <row r="9" spans="1:73" x14ac:dyDescent="0.25">
      <c r="A9" s="23">
        <f>Alex_ITSD_count_data!A9</f>
        <v>7.0023148145992309E-3</v>
      </c>
      <c r="B9" s="8" t="str">
        <f>Alex_ITSD_count_data!B9</f>
        <v>45  Sc ( ISTD )  [ He ] :  ISTD Recovery Percent value = 158.50 is outside the allowed range [80.00, 120.00]103  Rh ( ISTD )  [ He ] :  ISTD Recovery Percent value = 166.42 is outside the allowed range [80.00, 120.00]</v>
      </c>
      <c r="C9" s="8" t="b">
        <f>Alex_ITSD_count_data!C9</f>
        <v>0</v>
      </c>
      <c r="D9" s="8" t="str">
        <f>Alex_ITSD_count_data!D9</f>
        <v>007CALS.d</v>
      </c>
      <c r="E9" s="11">
        <f>Alex_ITSD_count_data!E9</f>
        <v>45246.487187500003</v>
      </c>
      <c r="F9" s="8" t="str">
        <f>Alex_ITSD_count_data!F9</f>
        <v>CalStd</v>
      </c>
      <c r="G9" s="8">
        <f>Alex_ITSD_count_data!G9</f>
        <v>4</v>
      </c>
      <c r="H9" s="8" t="str">
        <f>Alex_ITSD_count_data!H9</f>
        <v>5 ppb m16 + Al</v>
      </c>
      <c r="I9" s="17">
        <f>Alex_ITSD_count_data!O9</f>
        <v>2737.01</v>
      </c>
      <c r="J9" s="17">
        <f>Alex_ITSD_count_data!P9</f>
        <v>2.2000000000000002</v>
      </c>
      <c r="K9" s="47">
        <f t="shared" si="18"/>
        <v>2356.6085369689522</v>
      </c>
      <c r="L9" s="17">
        <f t="shared" si="20"/>
        <v>-169.0673272617579</v>
      </c>
      <c r="M9" s="17">
        <f>[2]Alex_MS_FE_AL_data!N9</f>
        <v>4.3079999999999998</v>
      </c>
      <c r="N9" s="8"/>
      <c r="O9" s="8"/>
      <c r="P9" s="8"/>
      <c r="BD9"/>
      <c r="BE9"/>
      <c r="BF9"/>
      <c r="BG9"/>
      <c r="BH9"/>
      <c r="BI9"/>
      <c r="BJ9"/>
      <c r="BK9"/>
      <c r="BL9"/>
      <c r="BM9"/>
      <c r="BN9"/>
      <c r="BO9"/>
    </row>
    <row r="10" spans="1:73" x14ac:dyDescent="0.25">
      <c r="A10" s="23">
        <f>Alex_ITSD_count_data!A10</f>
        <v>8.182870369637385E-3</v>
      </c>
      <c r="B10" s="8" t="str">
        <f>Alex_ITSD_count_data!B10</f>
        <v>45  Sc ( ISTD )  [ He ] :  ISTD Recovery Percent value = 191.39 is outside the allowed range [80.00, 120.00]103  Rh ( ISTD )  [ He ] :  ISTD Recovery Percent value = 202.01 is outside the allowed range [80.00, 120.00]</v>
      </c>
      <c r="C10" s="8" t="b">
        <f>Alex_ITSD_count_data!C10</f>
        <v>0</v>
      </c>
      <c r="D10" s="8" t="str">
        <f>Alex_ITSD_count_data!D10</f>
        <v>008CALS.d</v>
      </c>
      <c r="E10" s="11">
        <f>Alex_ITSD_count_data!E10</f>
        <v>45246.488368055558</v>
      </c>
      <c r="F10" s="8" t="str">
        <f>Alex_ITSD_count_data!F10</f>
        <v>CalStd</v>
      </c>
      <c r="G10" s="8">
        <f>Alex_ITSD_count_data!G10</f>
        <v>5</v>
      </c>
      <c r="H10" s="8" t="str">
        <f>Alex_ITSD_count_data!H10</f>
        <v>10 ppb m16 + Al</v>
      </c>
      <c r="I10" s="17">
        <f>Alex_ITSD_count_data!O10</f>
        <v>4684.25</v>
      </c>
      <c r="J10" s="17">
        <f>Alex_ITSD_count_data!P10</f>
        <v>7.4</v>
      </c>
      <c r="K10" s="47">
        <f t="shared" si="18"/>
        <v>4239.7147366162972</v>
      </c>
      <c r="L10" s="17">
        <f t="shared" si="20"/>
        <v>-162.96506231900963</v>
      </c>
      <c r="M10" s="17">
        <f>[2]Alex_MS_FE_AL_data!N10</f>
        <v>9.56</v>
      </c>
      <c r="N10" s="8"/>
      <c r="O10" s="8"/>
      <c r="P10" s="8"/>
      <c r="Q10" s="2" t="s">
        <v>263</v>
      </c>
      <c r="R10" s="10"/>
      <c r="S10" s="7" t="str">
        <f>B1</f>
        <v>Sample</v>
      </c>
      <c r="T10" s="7"/>
      <c r="U10" s="7"/>
      <c r="V10" s="10"/>
      <c r="W10" s="7"/>
      <c r="X10" s="7"/>
      <c r="Y10" s="7"/>
      <c r="Z10" s="15" t="str">
        <f>I1</f>
        <v xml:space="preserve">57  Fe  [ He ] </v>
      </c>
      <c r="AA10" s="15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O10" s="2" t="s">
        <v>290</v>
      </c>
      <c r="AS10" s="2" t="s">
        <v>289</v>
      </c>
      <c r="AT10" s="10"/>
      <c r="AU10" s="7" t="str">
        <f t="shared" ref="AU10" si="22">S10</f>
        <v>Sample</v>
      </c>
      <c r="AV10" s="7"/>
      <c r="AW10" s="7"/>
      <c r="AX10" s="10"/>
      <c r="AY10" s="7"/>
      <c r="AZ10" s="7"/>
      <c r="BA10" s="7"/>
      <c r="BB10" s="15" t="str">
        <f t="shared" ref="BB10:BO11" si="23">Z10</f>
        <v xml:space="preserve">57  Fe  [ He ] </v>
      </c>
      <c r="BC10" s="15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Q10" s="2" t="s">
        <v>288</v>
      </c>
      <c r="BU10" s="2"/>
    </row>
    <row r="11" spans="1:73" x14ac:dyDescent="0.25">
      <c r="A11" s="23">
        <f>Alex_ITSD_count_data!A11</f>
        <v>9.3287037016125396E-3</v>
      </c>
      <c r="B11" s="8" t="str">
        <f>Alex_ITSD_count_data!B11</f>
        <v>45  Sc ( ISTD )  [ He ] :  ISTD Recovery Percent value = 226.75 is outside the allowed range [80.00, 120.00]103  Rh ( ISTD )  [ He ] :  ISTD Recovery Percent value = 246.55 is outside the allowed range [80.00, 120.00]</v>
      </c>
      <c r="C11" s="8" t="b">
        <f>Alex_ITSD_count_data!C11</f>
        <v>0</v>
      </c>
      <c r="D11" s="8" t="str">
        <f>Alex_ITSD_count_data!D11</f>
        <v>009CALS.d</v>
      </c>
      <c r="E11" s="11">
        <f>Alex_ITSD_count_data!E11</f>
        <v>45246.48951388889</v>
      </c>
      <c r="F11" s="8" t="str">
        <f>Alex_ITSD_count_data!F11</f>
        <v>CalStd</v>
      </c>
      <c r="G11" s="8">
        <f>Alex_ITSD_count_data!G11</f>
        <v>6</v>
      </c>
      <c r="H11" s="8" t="str">
        <f>Alex_ITSD_count_data!H11</f>
        <v>50 ppb m16 + Al</v>
      </c>
      <c r="I11" s="17">
        <f>Alex_ITSD_count_data!O11</f>
        <v>20154.63</v>
      </c>
      <c r="J11" s="17">
        <f>Alex_ITSD_count_data!P11</f>
        <v>1</v>
      </c>
      <c r="K11" s="47">
        <f t="shared" si="18"/>
        <v>19647.847224555811</v>
      </c>
      <c r="L11" s="17">
        <f t="shared" si="20"/>
        <v>-114.4839518626745</v>
      </c>
      <c r="M11" s="17">
        <f>[2]Alex_MS_FE_AL_data!N11</f>
        <v>51.29</v>
      </c>
      <c r="N11" s="8"/>
      <c r="O11" s="8"/>
      <c r="P11" s="8"/>
      <c r="R11" s="10" t="str">
        <f>A2</f>
        <v>Number</v>
      </c>
      <c r="S11" s="7"/>
      <c r="T11" s="7" t="str">
        <f t="shared" ref="T11:Y14" si="24">C2</f>
        <v>Rjct</v>
      </c>
      <c r="U11" s="7" t="str">
        <f t="shared" si="24"/>
        <v>Data File</v>
      </c>
      <c r="V11" s="10" t="str">
        <f t="shared" si="24"/>
        <v>Acq. Date-Time</v>
      </c>
      <c r="W11" s="7" t="str">
        <f t="shared" si="24"/>
        <v>Type</v>
      </c>
      <c r="X11" s="7" t="str">
        <f t="shared" si="24"/>
        <v>Level</v>
      </c>
      <c r="Y11" s="7" t="str">
        <f t="shared" si="24"/>
        <v>Sample Name</v>
      </c>
      <c r="Z11" s="15" t="str">
        <f>I2</f>
        <v>CPS</v>
      </c>
      <c r="AA11" s="15" t="str">
        <f>J2</f>
        <v>CPS RSD</v>
      </c>
      <c r="AB11" s="27" t="s">
        <v>256</v>
      </c>
      <c r="AC11" s="27" t="s">
        <v>264</v>
      </c>
      <c r="AD11" s="27" t="s">
        <v>265</v>
      </c>
      <c r="AE11" s="27" t="s">
        <v>266</v>
      </c>
      <c r="AF11" s="27" t="s">
        <v>267</v>
      </c>
      <c r="AG11" s="28" t="s">
        <v>257</v>
      </c>
      <c r="AH11" s="28" t="s">
        <v>260</v>
      </c>
      <c r="AI11" s="28" t="s">
        <v>261</v>
      </c>
      <c r="AJ11" s="28" t="s">
        <v>269</v>
      </c>
      <c r="AK11" s="28" t="s">
        <v>270</v>
      </c>
      <c r="AL11" s="28" t="s">
        <v>271</v>
      </c>
      <c r="AM11" s="28" t="s">
        <v>268</v>
      </c>
      <c r="AO11" s="7" t="s">
        <v>272</v>
      </c>
      <c r="AP11" s="7" t="s">
        <v>273</v>
      </c>
      <c r="AT11" s="10" t="str">
        <f t="shared" ref="AT11" si="25">R11</f>
        <v>Number</v>
      </c>
      <c r="AU11" s="7"/>
      <c r="AV11" s="7" t="str">
        <f t="shared" ref="AV11:BA24" si="26">T11</f>
        <v>Rjct</v>
      </c>
      <c r="AW11" s="7" t="str">
        <f t="shared" si="26"/>
        <v>Data File</v>
      </c>
      <c r="AX11" s="10" t="str">
        <f t="shared" si="26"/>
        <v>Acq. Date-Time</v>
      </c>
      <c r="AY11" s="7" t="str">
        <f t="shared" si="26"/>
        <v>Type</v>
      </c>
      <c r="AZ11" s="7" t="str">
        <f t="shared" si="26"/>
        <v>Level</v>
      </c>
      <c r="BA11" s="7" t="str">
        <f t="shared" si="26"/>
        <v>Sample Name</v>
      </c>
      <c r="BB11" s="15" t="str">
        <f t="shared" si="23"/>
        <v>CPS</v>
      </c>
      <c r="BC11" s="15" t="str">
        <f t="shared" si="23"/>
        <v>CPS RSD</v>
      </c>
      <c r="BD11" s="27" t="str">
        <f t="shared" si="23"/>
        <v>Mean</v>
      </c>
      <c r="BE11" s="27" t="str">
        <f t="shared" si="23"/>
        <v>120% Mean</v>
      </c>
      <c r="BF11" s="27" t="str">
        <f t="shared" si="23"/>
        <v>80% Mean</v>
      </c>
      <c r="BG11" s="27" t="str">
        <f t="shared" si="23"/>
        <v>110% Mean</v>
      </c>
      <c r="BH11" s="27" t="str">
        <f t="shared" si="23"/>
        <v>90% Mean</v>
      </c>
      <c r="BI11" s="28" t="str">
        <f t="shared" si="23"/>
        <v>Stdev</v>
      </c>
      <c r="BJ11" s="28" t="str">
        <f t="shared" si="23"/>
        <v>RelStdev</v>
      </c>
      <c r="BK11" s="28" t="str">
        <f t="shared" si="23"/>
        <v>Range</v>
      </c>
      <c r="BL11" s="28" t="str">
        <f t="shared" si="23"/>
        <v>plus 1 Std</v>
      </c>
      <c r="BM11" s="28" t="str">
        <f t="shared" si="23"/>
        <v>minus 1 Std</v>
      </c>
      <c r="BN11" s="28" t="str">
        <f t="shared" si="23"/>
        <v>plus 2 Std</v>
      </c>
      <c r="BO11" s="28" t="str">
        <f t="shared" si="23"/>
        <v>minus 2 Std</v>
      </c>
      <c r="BQ11" s="7" t="s">
        <v>272</v>
      </c>
      <c r="BR11" s="7" t="s">
        <v>273</v>
      </c>
      <c r="BU11" s="2"/>
    </row>
    <row r="12" spans="1:73" x14ac:dyDescent="0.25">
      <c r="A12" s="23">
        <f>Alex_ITSD_count_data!A12</f>
        <v>1.0532407402934041E-2</v>
      </c>
      <c r="B12" s="8" t="str">
        <f>Alex_ITSD_count_data!B12</f>
        <v>45  Sc ( ISTD )  [ He ] :  ISTD Recovery Percent value = 294.14 is outside the allowed range [80.00, 120.00]103  Rh ( ISTD )  [ He ] :  ISTD Recovery Percent value = 306.45 is outside the allowed range [80.00, 120.00]</v>
      </c>
      <c r="C12" s="8" t="b">
        <f>Alex_ITSD_count_data!C12</f>
        <v>0</v>
      </c>
      <c r="D12" s="8" t="str">
        <f>Alex_ITSD_count_data!D12</f>
        <v>010CALS.d</v>
      </c>
      <c r="E12" s="11">
        <f>Alex_ITSD_count_data!E12</f>
        <v>45246.490717592591</v>
      </c>
      <c r="F12" s="8" t="str">
        <f>Alex_ITSD_count_data!F12</f>
        <v>CalStd</v>
      </c>
      <c r="G12" s="8">
        <f>Alex_ITSD_count_data!G12</f>
        <v>7</v>
      </c>
      <c r="H12" s="8" t="str">
        <f>Alex_ITSD_count_data!H12</f>
        <v>100 ppb m16 + Al</v>
      </c>
      <c r="I12" s="17">
        <f>Alex_ITSD_count_data!O12</f>
        <v>38979.96</v>
      </c>
      <c r="J12" s="17">
        <f>Alex_ITSD_count_data!P12</f>
        <v>4.0999999999999996</v>
      </c>
      <c r="K12" s="47">
        <f t="shared" si="18"/>
        <v>38407.785898806796</v>
      </c>
      <c r="L12" s="17">
        <f t="shared" si="20"/>
        <v>-55.489091807074125</v>
      </c>
      <c r="M12" s="17">
        <f>[2]Alex_MS_FE_AL_data!N12</f>
        <v>102.07</v>
      </c>
      <c r="N12" s="8"/>
      <c r="O12" s="8"/>
      <c r="P12" s="8"/>
      <c r="R12" s="26">
        <f>A3</f>
        <v>0</v>
      </c>
      <c r="S12" s="18"/>
      <c r="T12" s="18" t="b">
        <f t="shared" si="24"/>
        <v>0</v>
      </c>
      <c r="U12" s="18" t="str">
        <f t="shared" si="24"/>
        <v>001SMPL.d</v>
      </c>
      <c r="V12" s="19">
        <f t="shared" si="24"/>
        <v>45246.480185185188</v>
      </c>
      <c r="W12" s="18" t="str">
        <f t="shared" si="24"/>
        <v>Sample</v>
      </c>
      <c r="X12" s="18">
        <f t="shared" si="24"/>
        <v>0</v>
      </c>
      <c r="Y12" s="18" t="str">
        <f t="shared" si="24"/>
        <v>blk</v>
      </c>
      <c r="Z12" s="18">
        <f>I3</f>
        <v>823.48</v>
      </c>
      <c r="AA12" s="18">
        <f>J3</f>
        <v>12.8</v>
      </c>
      <c r="AB12" s="18"/>
      <c r="AC12" s="18"/>
      <c r="AD12" s="18"/>
      <c r="AE12" s="18"/>
      <c r="AF12" s="18"/>
      <c r="AG12" s="18"/>
      <c r="AH12" s="18"/>
      <c r="AI12" s="18"/>
      <c r="AJ12" s="31"/>
      <c r="AK12" s="31"/>
      <c r="AL12" s="31"/>
      <c r="AM12" s="31"/>
      <c r="AN12" t="s">
        <v>280</v>
      </c>
      <c r="AO12" s="17" cm="1">
        <f t="array" ref="AO12:AP16">LINEST(Z15:Z24,V15:V24, TRUE, TRUE)</f>
        <v>34447.231485563891</v>
      </c>
      <c r="AP12" s="17">
        <v>-1558615799.0882833</v>
      </c>
      <c r="AQ12" s="20" t="s">
        <v>281</v>
      </c>
      <c r="AT12" s="26">
        <f>R12</f>
        <v>0</v>
      </c>
      <c r="AU12" s="18"/>
      <c r="AV12" s="18" t="b">
        <f t="shared" si="26"/>
        <v>0</v>
      </c>
      <c r="AW12" s="18" t="str">
        <f t="shared" si="26"/>
        <v>001SMPL.d</v>
      </c>
      <c r="AX12" s="19">
        <f t="shared" si="26"/>
        <v>45246.480185185188</v>
      </c>
      <c r="AY12" s="18" t="str">
        <f t="shared" si="26"/>
        <v>Sample</v>
      </c>
      <c r="AZ12" s="18"/>
      <c r="BA12" s="18" t="str">
        <f t="shared" si="26"/>
        <v>blk</v>
      </c>
      <c r="BB12" s="18">
        <f>Z12-($AO$12*AT12)</f>
        <v>823.48</v>
      </c>
      <c r="BC12" s="18"/>
      <c r="BD12" s="18"/>
      <c r="BE12" s="18"/>
      <c r="BF12" s="18"/>
      <c r="BG12" s="18"/>
      <c r="BH12" s="18"/>
      <c r="BI12" s="18"/>
      <c r="BJ12" s="18"/>
      <c r="BK12" s="18"/>
      <c r="BL12" s="31"/>
      <c r="BM12" s="31"/>
      <c r="BN12" s="31"/>
      <c r="BO12" s="31"/>
      <c r="BP12" t="s">
        <v>280</v>
      </c>
      <c r="BQ12" s="17" cm="1">
        <f t="array" ref="BQ12:BR16">LINEST(BB15:BB24,AX15:AX24, TRUE, TRUE)</f>
        <v>-1.0371772744785497E-11</v>
      </c>
      <c r="BR12" s="17">
        <v>177.75777091611326</v>
      </c>
      <c r="BS12" s="20" t="s">
        <v>281</v>
      </c>
      <c r="BU12" s="20"/>
    </row>
    <row r="13" spans="1:73" x14ac:dyDescent="0.25">
      <c r="A13" s="23">
        <f>Alex_ITSD_count_data!A13</f>
        <v>1.1689814811688848E-2</v>
      </c>
      <c r="B13" s="8" t="str">
        <f>Alex_ITSD_count_data!B13</f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C13" s="8" t="b">
        <f>Alex_ITSD_count_data!C13</f>
        <v>0</v>
      </c>
      <c r="D13" s="8" t="str">
        <f>Alex_ITSD_count_data!D13</f>
        <v>011CALS.d</v>
      </c>
      <c r="E13" s="11">
        <f>Alex_ITSD_count_data!E13</f>
        <v>45246.491875</v>
      </c>
      <c r="F13" s="8" t="str">
        <f>Alex_ITSD_count_data!F13</f>
        <v>CalStd</v>
      </c>
      <c r="G13" s="8">
        <f>Alex_ITSD_count_data!G13</f>
        <v>8</v>
      </c>
      <c r="H13" s="8" t="str">
        <f>Alex_ITSD_count_data!H13</f>
        <v>500 ppb m16 + Al</v>
      </c>
      <c r="I13" s="17">
        <f>Alex_ITSD_count_data!O13</f>
        <v>188359.97</v>
      </c>
      <c r="J13" s="17">
        <f>Alex_ITSD_count_data!P13</f>
        <v>1.1000000000000001</v>
      </c>
      <c r="K13" s="47">
        <f t="shared" si="18"/>
        <v>187724.9196238505</v>
      </c>
      <c r="L13" s="17">
        <f t="shared" si="20"/>
        <v>412.63830808733337</v>
      </c>
      <c r="M13" s="17">
        <f>[2]Alex_MS_FE_AL_data!N13</f>
        <v>505.01299999999998</v>
      </c>
      <c r="N13" s="8"/>
      <c r="O13" s="8"/>
      <c r="P13" s="8"/>
      <c r="R13" s="26">
        <f>A4</f>
        <v>1.1458333319751546E-3</v>
      </c>
      <c r="S13" s="18" t="str">
        <f>B4</f>
        <v>56  Fe  [ He ] :  CPS RSD value = 5.02 is over the allowed maximum = 5.00</v>
      </c>
      <c r="T13" s="18" t="b">
        <f t="shared" si="24"/>
        <v>0</v>
      </c>
      <c r="U13" s="18" t="str">
        <f t="shared" si="24"/>
        <v>002SMPL.d</v>
      </c>
      <c r="V13" s="19">
        <f t="shared" si="24"/>
        <v>45246.48133101852</v>
      </c>
      <c r="W13" s="18" t="str">
        <f t="shared" si="24"/>
        <v>Sample</v>
      </c>
      <c r="X13" s="18">
        <f t="shared" si="24"/>
        <v>0</v>
      </c>
      <c r="Y13" s="18" t="str">
        <f t="shared" si="24"/>
        <v>blk</v>
      </c>
      <c r="Z13" s="18">
        <f>I4</f>
        <v>920.06</v>
      </c>
      <c r="AA13" s="18">
        <f>J4</f>
        <v>12.3</v>
      </c>
      <c r="AB13" s="18"/>
      <c r="AC13" s="18"/>
      <c r="AD13" s="18"/>
      <c r="AE13" s="18"/>
      <c r="AF13" s="18"/>
      <c r="AG13" s="18"/>
      <c r="AH13" s="18"/>
      <c r="AI13" s="18"/>
      <c r="AJ13" s="31"/>
      <c r="AK13" s="31"/>
      <c r="AL13" s="31"/>
      <c r="AM13" s="31"/>
      <c r="AN13" t="s">
        <v>286</v>
      </c>
      <c r="AO13" s="17">
        <v>9489.7595895000395</v>
      </c>
      <c r="AP13" s="17">
        <v>429378970.77585924</v>
      </c>
      <c r="AQ13" t="s">
        <v>282</v>
      </c>
      <c r="AT13" s="26">
        <f t="shared" ref="AT13:AU24" si="27">R13</f>
        <v>1.1458333319751546E-3</v>
      </c>
      <c r="AU13" s="18" t="str">
        <f t="shared" si="27"/>
        <v>56  Fe  [ He ] :  CPS RSD value = 5.02 is over the allowed maximum = 5.00</v>
      </c>
      <c r="AV13" s="18" t="b">
        <f t="shared" si="26"/>
        <v>0</v>
      </c>
      <c r="AW13" s="18" t="str">
        <f t="shared" si="26"/>
        <v>002SMPL.d</v>
      </c>
      <c r="AX13" s="19">
        <f t="shared" si="26"/>
        <v>45246.48133101852</v>
      </c>
      <c r="AY13" s="18" t="str">
        <f t="shared" si="26"/>
        <v>Sample</v>
      </c>
      <c r="AZ13" s="18"/>
      <c r="BA13" s="18" t="str">
        <f t="shared" si="26"/>
        <v>blk</v>
      </c>
      <c r="BB13" s="18">
        <f t="shared" ref="BB13:BB23" si="28">Z13-($AO$12*AT13)</f>
        <v>880.5892139695768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31"/>
      <c r="BM13" s="31"/>
      <c r="BN13" s="31"/>
      <c r="BO13" s="31"/>
      <c r="BP13" t="s">
        <v>286</v>
      </c>
      <c r="BQ13" s="17">
        <v>9489.7595895000377</v>
      </c>
      <c r="BR13" s="17">
        <v>429378970.77585912</v>
      </c>
      <c r="BS13" t="s">
        <v>282</v>
      </c>
      <c r="BU13" s="20"/>
    </row>
    <row r="14" spans="1:73" x14ac:dyDescent="0.25">
      <c r="A14" s="23">
        <f>Alex_ITSD_count_data!A14</f>
        <v>1.2847222220443655E-2</v>
      </c>
      <c r="B14" s="8" t="str">
        <f>Alex_ITSD_count_data!B14</f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C14" s="8" t="b">
        <f>Alex_ITSD_count_data!C14</f>
        <v>0</v>
      </c>
      <c r="D14" s="8" t="str">
        <f>Alex_ITSD_count_data!D14</f>
        <v>012CALS.d</v>
      </c>
      <c r="E14" s="11">
        <f>Alex_ITSD_count_data!E14</f>
        <v>45246.493032407408</v>
      </c>
      <c r="F14" s="8" t="str">
        <f>Alex_ITSD_count_data!F14</f>
        <v>CalStd</v>
      </c>
      <c r="G14" s="8">
        <f>Alex_ITSD_count_data!G14</f>
        <v>9</v>
      </c>
      <c r="H14" s="8" t="str">
        <f>Alex_ITSD_count_data!H14</f>
        <v>1000 ppb m16 + Al</v>
      </c>
      <c r="I14" s="17">
        <f>Alex_ITSD_count_data!O14</f>
        <v>368734.71999999997</v>
      </c>
      <c r="J14" s="17">
        <f>Alex_ITSD_count_data!P14</f>
        <v>2.4</v>
      </c>
      <c r="K14" s="47">
        <f t="shared" si="18"/>
        <v>368036.79334889416</v>
      </c>
      <c r="L14" s="17">
        <f t="shared" si="20"/>
        <v>977.89709153569277</v>
      </c>
      <c r="M14" s="17">
        <f>[2]Alex_MS_FE_AL_data!N14</f>
        <v>991.56100000000004</v>
      </c>
      <c r="N14" s="8"/>
      <c r="O14" s="8"/>
      <c r="P14" s="8"/>
      <c r="R14" s="26">
        <f>A5</f>
        <v>2.3263888870133087E-3</v>
      </c>
      <c r="S14" s="18"/>
      <c r="T14" s="18" t="b">
        <f t="shared" si="24"/>
        <v>0</v>
      </c>
      <c r="U14" s="18" t="str">
        <f t="shared" si="24"/>
        <v>003SMPL.d</v>
      </c>
      <c r="V14" s="19">
        <f t="shared" si="24"/>
        <v>45246.482511574075</v>
      </c>
      <c r="W14" s="18" t="str">
        <f t="shared" si="24"/>
        <v>Sample</v>
      </c>
      <c r="X14" s="18">
        <f t="shared" si="24"/>
        <v>0</v>
      </c>
      <c r="Y14" s="18" t="str">
        <f t="shared" si="24"/>
        <v>blk</v>
      </c>
      <c r="Z14" s="18">
        <f>I5</f>
        <v>636.71</v>
      </c>
      <c r="AA14" s="18">
        <f>J5</f>
        <v>17.3</v>
      </c>
      <c r="AB14" s="18"/>
      <c r="AC14" s="18"/>
      <c r="AD14" s="18"/>
      <c r="AE14" s="18"/>
      <c r="AF14" s="18"/>
      <c r="AG14" s="18"/>
      <c r="AH14" s="18"/>
      <c r="AI14" s="18"/>
      <c r="AJ14" s="31"/>
      <c r="AK14" s="31"/>
      <c r="AL14" s="31"/>
      <c r="AM14" s="31"/>
      <c r="AN14" t="s">
        <v>277</v>
      </c>
      <c r="AO14" s="17">
        <v>0.62222175106486111</v>
      </c>
      <c r="AP14" s="17">
        <v>1144.2082887056629</v>
      </c>
      <c r="AQ14" t="s">
        <v>285</v>
      </c>
      <c r="AT14" s="26">
        <f t="shared" si="27"/>
        <v>2.3263888870133087E-3</v>
      </c>
      <c r="AU14" s="18"/>
      <c r="AV14" s="18" t="b">
        <f t="shared" si="26"/>
        <v>0</v>
      </c>
      <c r="AW14" s="18" t="str">
        <f t="shared" si="26"/>
        <v>003SMPL.d</v>
      </c>
      <c r="AX14" s="19">
        <f t="shared" si="26"/>
        <v>45246.482511574075</v>
      </c>
      <c r="AY14" s="18" t="str">
        <f t="shared" si="26"/>
        <v>Sample</v>
      </c>
      <c r="AZ14" s="18"/>
      <c r="BA14" s="18" t="str">
        <f t="shared" si="26"/>
        <v>blk</v>
      </c>
      <c r="BB14" s="18">
        <f t="shared" si="28"/>
        <v>556.5723434836093</v>
      </c>
      <c r="BC14" s="18"/>
      <c r="BD14" s="18"/>
      <c r="BE14" s="18"/>
      <c r="BF14" s="18"/>
      <c r="BG14" s="18"/>
      <c r="BH14" s="18"/>
      <c r="BI14" s="18"/>
      <c r="BJ14" s="18"/>
      <c r="BK14" s="18"/>
      <c r="BL14" s="31"/>
      <c r="BM14" s="31"/>
      <c r="BN14" s="31"/>
      <c r="BO14" s="31"/>
      <c r="BP14" t="s">
        <v>277</v>
      </c>
      <c r="BQ14" s="17">
        <v>-1.7784020887160035E-16</v>
      </c>
      <c r="BR14" s="17">
        <v>1144.2082887056627</v>
      </c>
      <c r="BS14" t="s">
        <v>285</v>
      </c>
      <c r="BU14" s="20"/>
    </row>
    <row r="15" spans="1:73" x14ac:dyDescent="0.25">
      <c r="A15" s="23">
        <f>Alex_ITSD_count_data!A15</f>
        <v>1.395833332935581E-2</v>
      </c>
      <c r="B15" s="8" t="str">
        <f>Alex_ITSD_count_data!B15</f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C15" s="8" t="b">
        <f>Alex_ITSD_count_data!C15</f>
        <v>0</v>
      </c>
      <c r="D15" s="8" t="str">
        <f>Alex_ITSD_count_data!D15</f>
        <v>013SMPL.d</v>
      </c>
      <c r="E15" s="11">
        <f>Alex_ITSD_count_data!E15</f>
        <v>45246.494143518517</v>
      </c>
      <c r="F15" s="8" t="str">
        <f>Alex_ITSD_count_data!F15</f>
        <v>Sample</v>
      </c>
      <c r="G15" s="8">
        <f>Alex_ITSD_count_data!G15</f>
        <v>0</v>
      </c>
      <c r="H15" s="40" t="str">
        <f>Alex_ITSD_count_data!H15</f>
        <v>blk</v>
      </c>
      <c r="I15" s="43">
        <f>Alex_ITSD_count_data!O15</f>
        <v>570.04</v>
      </c>
      <c r="J15" s="43">
        <f>Alex_ITSD_count_data!P15</f>
        <v>23.2</v>
      </c>
      <c r="K15" s="48">
        <f t="shared" si="18"/>
        <v>-188.24787487411618</v>
      </c>
      <c r="L15" s="43">
        <f t="shared" si="20"/>
        <v>-175.85818255591127</v>
      </c>
      <c r="M15" s="43" t="str">
        <f>[2]Alex_MS_FE_AL_data!N17</f>
        <v>&lt;0.000</v>
      </c>
      <c r="N15" s="8"/>
      <c r="O15" s="8"/>
      <c r="P15" s="8"/>
      <c r="R15" s="23">
        <f t="shared" ref="R15:AA15" si="29">A15</f>
        <v>1.395833332935581E-2</v>
      </c>
      <c r="S15" s="8" t="str">
        <f t="shared" si="29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T15" s="8" t="b">
        <f t="shared" si="29"/>
        <v>0</v>
      </c>
      <c r="U15" s="8" t="str">
        <f t="shared" si="29"/>
        <v>013SMPL.d</v>
      </c>
      <c r="V15" s="11">
        <f t="shared" si="29"/>
        <v>45246.494143518517</v>
      </c>
      <c r="W15" s="8" t="str">
        <f t="shared" si="29"/>
        <v>Sample</v>
      </c>
      <c r="X15" s="8">
        <f t="shared" si="29"/>
        <v>0</v>
      </c>
      <c r="Y15" s="8" t="str">
        <f t="shared" si="29"/>
        <v>blk</v>
      </c>
      <c r="Z15" s="8">
        <f t="shared" si="29"/>
        <v>570.04</v>
      </c>
      <c r="AA15" s="8">
        <f t="shared" si="29"/>
        <v>23.2</v>
      </c>
      <c r="AB15" s="8">
        <f>AVERAGE(Z15:Z24)</f>
        <v>2905.8269999999998</v>
      </c>
      <c r="AC15" s="8">
        <f>1.2*AB15</f>
        <v>3486.9923999999996</v>
      </c>
      <c r="AD15" s="8">
        <f>0.8*AB15</f>
        <v>2324.6615999999999</v>
      </c>
      <c r="AE15" s="8">
        <f>1.1*AB15</f>
        <v>3196.4097000000002</v>
      </c>
      <c r="AF15" s="8">
        <f>0.9*AB15</f>
        <v>2615.2442999999998</v>
      </c>
      <c r="AG15" s="8">
        <f>STDEV(Z15:Z24)</f>
        <v>1755.1343002874614</v>
      </c>
      <c r="AH15" s="8">
        <f>AG15/AB15 * 100</f>
        <v>60.400509056026443</v>
      </c>
      <c r="AI15" s="8">
        <f>MAX(Z15:Z24)-MIN(Z15:Z24)</f>
        <v>4834.51</v>
      </c>
      <c r="AJ15" s="8">
        <f>AE15+AG15</f>
        <v>4951.544000287462</v>
      </c>
      <c r="AK15" s="8">
        <f>AB15-AG15</f>
        <v>1150.6926997125383</v>
      </c>
      <c r="AL15" s="8">
        <f>AB15+2*AG15</f>
        <v>6416.0956005749231</v>
      </c>
      <c r="AM15" s="8">
        <f>AB15-2*AG15</f>
        <v>-604.44160057492309</v>
      </c>
      <c r="AN15" t="s">
        <v>278</v>
      </c>
      <c r="AO15" s="17">
        <v>13.176444177371174</v>
      </c>
      <c r="AP15" s="17">
        <v>8</v>
      </c>
      <c r="AQ15" t="s">
        <v>283</v>
      </c>
      <c r="AT15" s="23">
        <f t="shared" si="27"/>
        <v>1.395833332935581E-2</v>
      </c>
      <c r="AU15" s="8" t="str">
        <f t="shared" si="27"/>
        <v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v>
      </c>
      <c r="AV15" s="8" t="b">
        <f t="shared" si="26"/>
        <v>0</v>
      </c>
      <c r="AW15" s="8" t="str">
        <f t="shared" si="26"/>
        <v>013SMPL.d</v>
      </c>
      <c r="AX15" s="11">
        <f t="shared" si="26"/>
        <v>45246.494143518517</v>
      </c>
      <c r="AY15" s="8" t="str">
        <f t="shared" si="26"/>
        <v>Sample</v>
      </c>
      <c r="AZ15" s="8">
        <f t="shared" si="26"/>
        <v>0</v>
      </c>
      <c r="BA15" s="8" t="str">
        <f t="shared" si="26"/>
        <v>blk</v>
      </c>
      <c r="BB15" s="8">
        <f t="shared" si="28"/>
        <v>89.214060651018656</v>
      </c>
      <c r="BC15" s="8"/>
      <c r="BD15" s="8">
        <f>AVERAGE(BB15:BB24)</f>
        <v>177.75777044682621</v>
      </c>
      <c r="BE15" s="8">
        <f>1.2*BD15</f>
        <v>213.30932453619144</v>
      </c>
      <c r="BF15" s="8">
        <f>0.8*BD15</f>
        <v>142.20621635746099</v>
      </c>
      <c r="BG15" s="8">
        <f>1.1*BD15</f>
        <v>195.53354749150884</v>
      </c>
      <c r="BH15" s="8">
        <f>0.9*BD15</f>
        <v>159.98199340214359</v>
      </c>
      <c r="BI15" s="8">
        <f>STDEV(BB15:BB24)</f>
        <v>1078.7699200448385</v>
      </c>
      <c r="BJ15" s="8">
        <f>BI15/BD15 * 100</f>
        <v>606.87637864333897</v>
      </c>
      <c r="BK15" s="8">
        <f>MAX(BB15:BB24)-MIN(BB15:BB24)</f>
        <v>3525.3885990204312</v>
      </c>
      <c r="BL15" s="8">
        <f>BG15+BI15</f>
        <v>1274.3034675363474</v>
      </c>
      <c r="BM15" s="8">
        <f>BD15-BI15</f>
        <v>-901.01214959801223</v>
      </c>
      <c r="BN15" s="8">
        <f>BD15+2*BI15</f>
        <v>2335.2976105365033</v>
      </c>
      <c r="BO15" s="8">
        <f>BD15-2*BI15</f>
        <v>-1979.7820696428507</v>
      </c>
      <c r="BP15" t="s">
        <v>278</v>
      </c>
      <c r="BQ15" s="17">
        <v>-1.4227216709728026E-15</v>
      </c>
      <c r="BR15" s="17">
        <v>8</v>
      </c>
      <c r="BS15" t="s">
        <v>283</v>
      </c>
      <c r="BU15" s="20"/>
    </row>
    <row r="16" spans="1:73" x14ac:dyDescent="0.25">
      <c r="A16" s="23">
        <f>Alex_ITSD_count_data!A16</f>
        <v>1.5127314814890269E-2</v>
      </c>
      <c r="B16" s="8" t="str">
        <f>Alex_ITSD_count_data!B16</f>
        <v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v>
      </c>
      <c r="C16" s="8" t="b">
        <f>Alex_ITSD_count_data!C16</f>
        <v>0</v>
      </c>
      <c r="D16" s="8" t="str">
        <f>Alex_ITSD_count_data!D16</f>
        <v>014SMPL.d</v>
      </c>
      <c r="E16" s="11">
        <f>Alex_ITSD_count_data!E16</f>
        <v>45246.495312500003</v>
      </c>
      <c r="F16" s="8" t="str">
        <f>Alex_ITSD_count_data!F16</f>
        <v>Sample</v>
      </c>
      <c r="G16" s="8">
        <f>Alex_ITSD_count_data!G16</f>
        <v>0</v>
      </c>
      <c r="H16" s="8" t="str">
        <f>Alex_ITSD_count_data!H16</f>
        <v>m6 x100 x100</v>
      </c>
      <c r="I16" s="17">
        <f>Alex_ITSD_count_data!O16</f>
        <v>4824.32</v>
      </c>
      <c r="J16" s="17">
        <f>Alex_ITSD_count_data!P16</f>
        <v>3.3</v>
      </c>
      <c r="K16" s="47">
        <f t="shared" si="18"/>
        <v>4002.5270872737733</v>
      </c>
      <c r="L16" s="17">
        <f t="shared" si="20"/>
        <v>-162.52611064868097</v>
      </c>
      <c r="M16" s="17">
        <f>[2]Alex_MS_FE_AL_data!N18</f>
        <v>9.9380000000000006</v>
      </c>
      <c r="N16" s="8"/>
      <c r="O16" s="8"/>
      <c r="P16" s="8"/>
      <c r="R16" s="23">
        <f t="shared" ref="R16:AA16" si="30">A17</f>
        <v>2.880787036701804E-2</v>
      </c>
      <c r="S16" s="8" t="str">
        <f t="shared" si="30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T16" s="8" t="b">
        <f t="shared" si="30"/>
        <v>0</v>
      </c>
      <c r="U16" s="8" t="str">
        <f t="shared" si="30"/>
        <v>015SMPL.d</v>
      </c>
      <c r="V16" s="11">
        <f t="shared" si="30"/>
        <v>45246.508993055555</v>
      </c>
      <c r="W16" s="8" t="str">
        <f t="shared" si="30"/>
        <v>Sample</v>
      </c>
      <c r="X16" s="8">
        <f t="shared" si="30"/>
        <v>0</v>
      </c>
      <c r="Y16" s="8" t="str">
        <f t="shared" si="30"/>
        <v>blk</v>
      </c>
      <c r="Z16" s="8">
        <f t="shared" si="30"/>
        <v>663.37</v>
      </c>
      <c r="AA16" s="8">
        <f t="shared" si="30"/>
        <v>22</v>
      </c>
      <c r="AB16" s="8">
        <f t="shared" ref="AB16:AM16" si="31">AB$15</f>
        <v>2905.8269999999998</v>
      </c>
      <c r="AC16" s="8">
        <f t="shared" si="31"/>
        <v>3486.9923999999996</v>
      </c>
      <c r="AD16" s="8">
        <f t="shared" si="31"/>
        <v>2324.6615999999999</v>
      </c>
      <c r="AE16" s="8">
        <f t="shared" si="31"/>
        <v>3196.4097000000002</v>
      </c>
      <c r="AF16" s="8">
        <f t="shared" si="31"/>
        <v>2615.2442999999998</v>
      </c>
      <c r="AG16" s="8">
        <f t="shared" si="31"/>
        <v>1755.1343002874614</v>
      </c>
      <c r="AH16" s="8">
        <f t="shared" si="31"/>
        <v>60.400509056026443</v>
      </c>
      <c r="AI16" s="8">
        <f t="shared" si="31"/>
        <v>4834.51</v>
      </c>
      <c r="AJ16" s="8">
        <f t="shared" si="31"/>
        <v>4951.544000287462</v>
      </c>
      <c r="AK16" s="8">
        <f t="shared" si="31"/>
        <v>1150.6926997125383</v>
      </c>
      <c r="AL16" s="8">
        <f t="shared" si="31"/>
        <v>6416.0956005749231</v>
      </c>
      <c r="AM16" s="8">
        <f t="shared" si="31"/>
        <v>-604.44160057492309</v>
      </c>
      <c r="AN16" t="s">
        <v>279</v>
      </c>
      <c r="AO16" s="17">
        <v>17250766.844868064</v>
      </c>
      <c r="AP16" s="17">
        <v>10473700.863541931</v>
      </c>
      <c r="AQ16" t="s">
        <v>284</v>
      </c>
      <c r="AT16" s="23">
        <f t="shared" si="27"/>
        <v>2.880787036701804E-2</v>
      </c>
      <c r="AU16" s="8" t="str">
        <f t="shared" si="27"/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AV16" s="8" t="b">
        <f t="shared" si="26"/>
        <v>0</v>
      </c>
      <c r="AW16" s="8" t="str">
        <f t="shared" si="26"/>
        <v>015SMPL.d</v>
      </c>
      <c r="AX16" s="11">
        <f t="shared" si="26"/>
        <v>45246.508993055555</v>
      </c>
      <c r="AY16" s="8" t="str">
        <f t="shared" si="26"/>
        <v>Sample</v>
      </c>
      <c r="AZ16" s="8">
        <f t="shared" si="26"/>
        <v>0</v>
      </c>
      <c r="BA16" s="8" t="str">
        <f t="shared" si="26"/>
        <v>blk</v>
      </c>
      <c r="BB16" s="8">
        <f t="shared" si="28"/>
        <v>-328.98137913878679</v>
      </c>
      <c r="BC16" s="8"/>
      <c r="BD16" s="8">
        <f>BD$15</f>
        <v>177.75777044682621</v>
      </c>
      <c r="BE16" s="8">
        <f t="shared" ref="BE16:BO24" si="32">BE$15</f>
        <v>213.30932453619144</v>
      </c>
      <c r="BF16" s="8">
        <f t="shared" si="32"/>
        <v>142.20621635746099</v>
      </c>
      <c r="BG16" s="8">
        <f t="shared" si="32"/>
        <v>195.53354749150884</v>
      </c>
      <c r="BH16" s="8">
        <f t="shared" si="32"/>
        <v>159.98199340214359</v>
      </c>
      <c r="BI16" s="8">
        <f t="shared" si="32"/>
        <v>1078.7699200448385</v>
      </c>
      <c r="BJ16" s="8">
        <f t="shared" si="32"/>
        <v>606.87637864333897</v>
      </c>
      <c r="BK16" s="8">
        <f t="shared" si="32"/>
        <v>3525.3885990204312</v>
      </c>
      <c r="BL16" s="8">
        <f t="shared" si="32"/>
        <v>1274.3034675363474</v>
      </c>
      <c r="BM16" s="8">
        <f t="shared" si="32"/>
        <v>-901.01214959801223</v>
      </c>
      <c r="BN16" s="8">
        <f t="shared" si="32"/>
        <v>2335.2976105365033</v>
      </c>
      <c r="BO16" s="8">
        <f t="shared" si="32"/>
        <v>-1979.7820696428507</v>
      </c>
      <c r="BP16" t="s">
        <v>279</v>
      </c>
      <c r="BQ16" s="17">
        <v>-1.862645149230957E-9</v>
      </c>
      <c r="BR16" s="17">
        <v>10473700.863541927</v>
      </c>
      <c r="BS16" t="s">
        <v>284</v>
      </c>
      <c r="BU16" s="20"/>
    </row>
    <row r="17" spans="1:67" x14ac:dyDescent="0.25">
      <c r="A17" s="23">
        <f>Alex_ITSD_count_data!A17</f>
        <v>2.880787036701804E-2</v>
      </c>
      <c r="B17" s="8" t="str">
        <f>Alex_ITSD_count_data!B17</f>
        <v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v>
      </c>
      <c r="C17" s="8" t="b">
        <f>Alex_ITSD_count_data!C17</f>
        <v>0</v>
      </c>
      <c r="D17" s="8" t="str">
        <f>Alex_ITSD_count_data!D17</f>
        <v>015SMPL.d</v>
      </c>
      <c r="E17" s="11">
        <f>Alex_ITSD_count_data!E17</f>
        <v>45246.508993055555</v>
      </c>
      <c r="F17" s="8" t="str">
        <f>Alex_ITSD_count_data!F17</f>
        <v>Sample</v>
      </c>
      <c r="G17" s="8">
        <f>Alex_ITSD_count_data!G17</f>
        <v>0</v>
      </c>
      <c r="H17" s="40" t="str">
        <f>Alex_ITSD_count_data!H17</f>
        <v>blk</v>
      </c>
      <c r="I17" s="43">
        <f>Alex_ITSD_count_data!O17</f>
        <v>663.37</v>
      </c>
      <c r="J17" s="43">
        <f>Alex_ITSD_count_data!P17</f>
        <v>22</v>
      </c>
      <c r="K17" s="48">
        <f t="shared" si="18"/>
        <v>-901.62048165826297</v>
      </c>
      <c r="L17" s="43">
        <f t="shared" si="20"/>
        <v>-175.56570479913412</v>
      </c>
      <c r="M17" s="43" t="str">
        <f>[2]Alex_MS_FE_AL_data!N19</f>
        <v>&lt;0.000</v>
      </c>
      <c r="N17" s="8"/>
      <c r="O17" s="8"/>
      <c r="P17" s="8"/>
      <c r="R17" s="23">
        <f t="shared" ref="R17:AA17" si="33">A28</f>
        <v>4.1238425925257616E-2</v>
      </c>
      <c r="S17" s="8" t="str">
        <f t="shared" si="33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T17" s="8" t="b">
        <f t="shared" si="33"/>
        <v>0</v>
      </c>
      <c r="U17" s="8" t="str">
        <f t="shared" si="33"/>
        <v>026SMPL.d</v>
      </c>
      <c r="V17" s="11">
        <f t="shared" si="33"/>
        <v>45246.521423611113</v>
      </c>
      <c r="W17" s="8" t="str">
        <f t="shared" si="33"/>
        <v>Sample</v>
      </c>
      <c r="X17" s="8">
        <f t="shared" si="33"/>
        <v>0</v>
      </c>
      <c r="Y17" s="8" t="str">
        <f t="shared" si="33"/>
        <v xml:space="preserve">blk </v>
      </c>
      <c r="Z17" s="8">
        <f t="shared" si="33"/>
        <v>2176.9</v>
      </c>
      <c r="AA17" s="8">
        <f t="shared" si="33"/>
        <v>1.4</v>
      </c>
      <c r="AB17" s="8">
        <f t="shared" ref="AB17:AI24" si="34">AB$15</f>
        <v>2905.8269999999998</v>
      </c>
      <c r="AC17" s="8">
        <f t="shared" si="34"/>
        <v>3486.9923999999996</v>
      </c>
      <c r="AD17" s="8">
        <f t="shared" si="34"/>
        <v>2324.6615999999999</v>
      </c>
      <c r="AE17" s="8">
        <f t="shared" si="34"/>
        <v>3196.4097000000002</v>
      </c>
      <c r="AF17" s="8">
        <f t="shared" si="34"/>
        <v>2615.2442999999998</v>
      </c>
      <c r="AG17" s="8">
        <f t="shared" si="34"/>
        <v>1755.1343002874614</v>
      </c>
      <c r="AH17" s="8">
        <f t="shared" si="34"/>
        <v>60.400509056026443</v>
      </c>
      <c r="AI17" s="8">
        <f t="shared" si="34"/>
        <v>4834.51</v>
      </c>
      <c r="AJ17" s="8">
        <f t="shared" ref="AJ17:AM24" si="35">AJ$15</f>
        <v>4951.544000287462</v>
      </c>
      <c r="AK17" s="8">
        <f t="shared" si="35"/>
        <v>1150.6926997125383</v>
      </c>
      <c r="AL17" s="8">
        <f t="shared" si="35"/>
        <v>6416.0956005749231</v>
      </c>
      <c r="AM17" s="8">
        <f t="shared" si="35"/>
        <v>-604.44160057492309</v>
      </c>
      <c r="AT17" s="23">
        <f t="shared" si="27"/>
        <v>4.1238425925257616E-2</v>
      </c>
      <c r="AU17" s="8" t="str">
        <f t="shared" si="27"/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AV17" s="8" t="b">
        <f t="shared" si="26"/>
        <v>0</v>
      </c>
      <c r="AW17" s="8" t="str">
        <f t="shared" si="26"/>
        <v>026SMPL.d</v>
      </c>
      <c r="AX17" s="11">
        <f t="shared" si="26"/>
        <v>45246.521423611113</v>
      </c>
      <c r="AY17" s="8" t="str">
        <f t="shared" si="26"/>
        <v>Sample</v>
      </c>
      <c r="AZ17" s="8">
        <f t="shared" si="26"/>
        <v>0</v>
      </c>
      <c r="BA17" s="8" t="str">
        <f t="shared" si="26"/>
        <v xml:space="preserve">blk </v>
      </c>
      <c r="BB17" s="8">
        <f t="shared" si="28"/>
        <v>756.35039605237171</v>
      </c>
      <c r="BC17" s="8"/>
      <c r="BD17" s="8">
        <f t="shared" ref="BD17:BD24" si="36">BD$15</f>
        <v>177.75777044682621</v>
      </c>
      <c r="BE17" s="8">
        <f t="shared" si="32"/>
        <v>213.30932453619144</v>
      </c>
      <c r="BF17" s="8">
        <f t="shared" si="32"/>
        <v>142.20621635746099</v>
      </c>
      <c r="BG17" s="8">
        <f t="shared" si="32"/>
        <v>195.53354749150884</v>
      </c>
      <c r="BH17" s="8">
        <f t="shared" si="32"/>
        <v>159.98199340214359</v>
      </c>
      <c r="BI17" s="8">
        <f t="shared" si="32"/>
        <v>1078.7699200448385</v>
      </c>
      <c r="BJ17" s="8">
        <f t="shared" si="32"/>
        <v>606.87637864333897</v>
      </c>
      <c r="BK17" s="8">
        <f t="shared" si="32"/>
        <v>3525.3885990204312</v>
      </c>
      <c r="BL17" s="8">
        <f t="shared" si="32"/>
        <v>1274.3034675363474</v>
      </c>
      <c r="BM17" s="8">
        <f t="shared" si="32"/>
        <v>-901.01214959801223</v>
      </c>
      <c r="BN17" s="8">
        <f t="shared" si="32"/>
        <v>2335.2976105365033</v>
      </c>
      <c r="BO17" s="8">
        <f t="shared" si="32"/>
        <v>-1979.7820696428507</v>
      </c>
    </row>
    <row r="18" spans="1:67" x14ac:dyDescent="0.25">
      <c r="A18" s="23">
        <f>Alex_ITSD_count_data!A18</f>
        <v>2.9930555552709848E-2</v>
      </c>
      <c r="B18" s="8" t="str">
        <f>Alex_ITSD_count_data!B18</f>
        <v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v>
      </c>
      <c r="C18" s="8" t="b">
        <f>Alex_ITSD_count_data!C18</f>
        <v>0</v>
      </c>
      <c r="D18" s="8" t="str">
        <f>Alex_ITSD_count_data!D18</f>
        <v>016SMPL.d</v>
      </c>
      <c r="E18" s="11">
        <f>Alex_ITSD_count_data!E18</f>
        <v>45246.510115740741</v>
      </c>
      <c r="F18" s="8" t="str">
        <f>Alex_ITSD_count_data!F18</f>
        <v>Sample</v>
      </c>
      <c r="G18" s="8">
        <f>Alex_ITSD_count_data!G18</f>
        <v>0</v>
      </c>
      <c r="H18" s="8" t="str">
        <f>Alex_ITSD_count_data!H18</f>
        <v>0-10-T</v>
      </c>
      <c r="I18" s="17">
        <f>Alex_ITSD_count_data!O18</f>
        <v>276623.07</v>
      </c>
      <c r="J18" s="17">
        <f>Alex_ITSD_count_data!P18</f>
        <v>1.4</v>
      </c>
      <c r="K18" s="47">
        <f t="shared" si="18"/>
        <v>274997.0895316776</v>
      </c>
      <c r="L18" s="17">
        <f t="shared" si="20"/>
        <v>689.23740263566071</v>
      </c>
      <c r="M18" s="17">
        <f>[2]Alex_MS_FE_AL_data!N20</f>
        <v>743.096</v>
      </c>
      <c r="N18" s="8">
        <v>5</v>
      </c>
      <c r="O18" s="17">
        <f>IF(L18 &lt; $S$44, "NA", N18*L18)</f>
        <v>3446.1870131783035</v>
      </c>
      <c r="P18" s="17">
        <f>IF(M18 &lt; $S$45, "NA", N18*M18)</f>
        <v>3715.48</v>
      </c>
      <c r="R18" s="23">
        <f t="shared" ref="R18:AA18" si="37">A40</f>
        <v>6.3530092593282461E-2</v>
      </c>
      <c r="S18" s="8" t="str">
        <f t="shared" si="37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T18" s="8" t="b">
        <f t="shared" si="37"/>
        <v>0</v>
      </c>
      <c r="U18" s="8" t="str">
        <f t="shared" si="37"/>
        <v>038SMPL.d</v>
      </c>
      <c r="V18" s="11">
        <f t="shared" si="37"/>
        <v>45246.543715277781</v>
      </c>
      <c r="W18" s="8" t="str">
        <f t="shared" si="37"/>
        <v>Sample</v>
      </c>
      <c r="X18" s="8">
        <f t="shared" si="37"/>
        <v>0</v>
      </c>
      <c r="Y18" s="8" t="str">
        <f t="shared" si="37"/>
        <v xml:space="preserve">blk </v>
      </c>
      <c r="Z18" s="8">
        <f t="shared" si="37"/>
        <v>2033.54</v>
      </c>
      <c r="AA18" s="8">
        <f t="shared" si="37"/>
        <v>6.6</v>
      </c>
      <c r="AB18" s="8">
        <f t="shared" si="34"/>
        <v>2905.8269999999998</v>
      </c>
      <c r="AC18" s="8">
        <f t="shared" si="34"/>
        <v>3486.9923999999996</v>
      </c>
      <c r="AD18" s="8">
        <f t="shared" si="34"/>
        <v>2324.6615999999999</v>
      </c>
      <c r="AE18" s="8">
        <f t="shared" si="34"/>
        <v>3196.4097000000002</v>
      </c>
      <c r="AF18" s="8">
        <f t="shared" si="34"/>
        <v>2615.2442999999998</v>
      </c>
      <c r="AG18" s="8">
        <f t="shared" si="34"/>
        <v>1755.1343002874614</v>
      </c>
      <c r="AH18" s="8">
        <f t="shared" si="34"/>
        <v>60.400509056026443</v>
      </c>
      <c r="AI18" s="8">
        <f t="shared" si="34"/>
        <v>4834.51</v>
      </c>
      <c r="AJ18" s="8">
        <f t="shared" si="35"/>
        <v>4951.544000287462</v>
      </c>
      <c r="AK18" s="8">
        <f t="shared" si="35"/>
        <v>1150.6926997125383</v>
      </c>
      <c r="AL18" s="8">
        <f t="shared" si="35"/>
        <v>6416.0956005749231</v>
      </c>
      <c r="AM18" s="8">
        <f t="shared" si="35"/>
        <v>-604.44160057492309</v>
      </c>
      <c r="AT18" s="23">
        <f t="shared" si="27"/>
        <v>6.3530092593282461E-2</v>
      </c>
      <c r="AU18" s="8" t="str">
        <f t="shared" si="27"/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AV18" s="8" t="b">
        <f t="shared" si="26"/>
        <v>0</v>
      </c>
      <c r="AW18" s="8" t="str">
        <f t="shared" si="26"/>
        <v>038SMPL.d</v>
      </c>
      <c r="AX18" s="11">
        <f t="shared" si="26"/>
        <v>45246.543715277781</v>
      </c>
      <c r="AY18" s="8" t="str">
        <f t="shared" si="26"/>
        <v>Sample</v>
      </c>
      <c r="AZ18" s="8">
        <f t="shared" si="26"/>
        <v>0</v>
      </c>
      <c r="BA18" s="8" t="str">
        <f t="shared" si="26"/>
        <v xml:space="preserve">blk </v>
      </c>
      <c r="BB18" s="8">
        <f t="shared" si="28"/>
        <v>-154.89580586010879</v>
      </c>
      <c r="BC18" s="8"/>
      <c r="BD18" s="8">
        <f t="shared" si="36"/>
        <v>177.75777044682621</v>
      </c>
      <c r="BE18" s="8">
        <f t="shared" si="32"/>
        <v>213.30932453619144</v>
      </c>
      <c r="BF18" s="8">
        <f t="shared" si="32"/>
        <v>142.20621635746099</v>
      </c>
      <c r="BG18" s="8">
        <f t="shared" si="32"/>
        <v>195.53354749150884</v>
      </c>
      <c r="BH18" s="8">
        <f t="shared" si="32"/>
        <v>159.98199340214359</v>
      </c>
      <c r="BI18" s="8">
        <f t="shared" si="32"/>
        <v>1078.7699200448385</v>
      </c>
      <c r="BJ18" s="8">
        <f t="shared" si="32"/>
        <v>606.87637864333897</v>
      </c>
      <c r="BK18" s="8">
        <f t="shared" si="32"/>
        <v>3525.3885990204312</v>
      </c>
      <c r="BL18" s="8">
        <f t="shared" si="32"/>
        <v>1274.3034675363474</v>
      </c>
      <c r="BM18" s="8">
        <f t="shared" si="32"/>
        <v>-901.01214959801223</v>
      </c>
      <c r="BN18" s="8">
        <f t="shared" si="32"/>
        <v>2335.2976105365033</v>
      </c>
      <c r="BO18" s="8">
        <f t="shared" si="32"/>
        <v>-1979.7820696428507</v>
      </c>
    </row>
    <row r="19" spans="1:67" x14ac:dyDescent="0.25">
      <c r="A19" s="23">
        <f>Alex_ITSD_count_data!A19</f>
        <v>3.1076388884685002E-2</v>
      </c>
      <c r="B19" s="8" t="str">
        <f>Alex_ITSD_count_data!B19</f>
        <v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v>
      </c>
      <c r="C19" s="8" t="b">
        <f>Alex_ITSD_count_data!C19</f>
        <v>0</v>
      </c>
      <c r="D19" s="8" t="str">
        <f>Alex_ITSD_count_data!D19</f>
        <v>017SMPL.d</v>
      </c>
      <c r="E19" s="11">
        <f>Alex_ITSD_count_data!E19</f>
        <v>45246.511261574073</v>
      </c>
      <c r="F19" s="8" t="str">
        <f>Alex_ITSD_count_data!F19</f>
        <v>Sample</v>
      </c>
      <c r="G19" s="8">
        <f>Alex_ITSD_count_data!G19</f>
        <v>0</v>
      </c>
      <c r="H19" s="8" t="str">
        <f>Alex_ITSD_count_data!H19</f>
        <v>0-20-T</v>
      </c>
      <c r="I19" s="17">
        <f>Alex_ITSD_count_data!O19</f>
        <v>643767.06000000006</v>
      </c>
      <c r="J19" s="17">
        <f>Alex_ITSD_count_data!P19</f>
        <v>1.7</v>
      </c>
      <c r="K19" s="47">
        <f t="shared" si="18"/>
        <v>642078.8320196172</v>
      </c>
      <c r="L19" s="17">
        <f t="shared" si="20"/>
        <v>1839.7940361876224</v>
      </c>
      <c r="M19" s="17">
        <f>[2]Alex_MS_FE_AL_data!N21</f>
        <v>1733.441</v>
      </c>
      <c r="N19" s="8">
        <v>5</v>
      </c>
      <c r="O19" s="17">
        <f t="shared" ref="O19:O27" si="38">IF(L19 &lt; $S$44, "NA", N19*L19)</f>
        <v>9198.9701809381113</v>
      </c>
      <c r="P19" s="17">
        <f t="shared" ref="P19:P27" si="39">IF(M19 &lt; $S$45, "NA", N19*M19)</f>
        <v>8667.2049999999999</v>
      </c>
      <c r="R19" s="23">
        <f t="shared" ref="R19:AA19" si="40">A52</f>
        <v>8.0856481479713693E-2</v>
      </c>
      <c r="S19" s="8" t="str">
        <f t="shared" si="40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T19" s="8" t="b">
        <f t="shared" si="40"/>
        <v>0</v>
      </c>
      <c r="U19" s="8" t="str">
        <f t="shared" si="40"/>
        <v>050SMPL.d</v>
      </c>
      <c r="V19" s="11">
        <f t="shared" si="40"/>
        <v>45246.561041666668</v>
      </c>
      <c r="W19" s="8" t="str">
        <f t="shared" si="40"/>
        <v>Sample</v>
      </c>
      <c r="X19" s="8">
        <f t="shared" si="40"/>
        <v>0</v>
      </c>
      <c r="Y19" s="8" t="str">
        <f t="shared" si="40"/>
        <v xml:space="preserve">blk </v>
      </c>
      <c r="Z19" s="8">
        <f t="shared" si="40"/>
        <v>2493.63</v>
      </c>
      <c r="AA19" s="8">
        <f t="shared" si="40"/>
        <v>8.1999999999999993</v>
      </c>
      <c r="AB19" s="8">
        <f t="shared" si="34"/>
        <v>2905.8269999999998</v>
      </c>
      <c r="AC19" s="8">
        <f t="shared" si="34"/>
        <v>3486.9923999999996</v>
      </c>
      <c r="AD19" s="8">
        <f t="shared" si="34"/>
        <v>2324.6615999999999</v>
      </c>
      <c r="AE19" s="8">
        <f t="shared" si="34"/>
        <v>3196.4097000000002</v>
      </c>
      <c r="AF19" s="8">
        <f t="shared" si="34"/>
        <v>2615.2442999999998</v>
      </c>
      <c r="AG19" s="8">
        <f t="shared" si="34"/>
        <v>1755.1343002874614</v>
      </c>
      <c r="AH19" s="8">
        <f t="shared" si="34"/>
        <v>60.400509056026443</v>
      </c>
      <c r="AI19" s="8">
        <f t="shared" si="34"/>
        <v>4834.51</v>
      </c>
      <c r="AJ19" s="8">
        <f t="shared" si="35"/>
        <v>4951.544000287462</v>
      </c>
      <c r="AK19" s="8">
        <f t="shared" si="35"/>
        <v>1150.6926997125383</v>
      </c>
      <c r="AL19" s="8">
        <f t="shared" si="35"/>
        <v>6416.0956005749231</v>
      </c>
      <c r="AM19" s="8">
        <f t="shared" si="35"/>
        <v>-604.44160057492309</v>
      </c>
      <c r="AT19" s="23">
        <f t="shared" si="27"/>
        <v>8.0856481479713693E-2</v>
      </c>
      <c r="AU19" s="8" t="str">
        <f t="shared" si="27"/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AV19" s="8" t="b">
        <f t="shared" si="26"/>
        <v>0</v>
      </c>
      <c r="AW19" s="8" t="str">
        <f t="shared" si="26"/>
        <v>050SMPL.d</v>
      </c>
      <c r="AX19" s="11">
        <f t="shared" si="26"/>
        <v>45246.561041666668</v>
      </c>
      <c r="AY19" s="8" t="str">
        <f t="shared" si="26"/>
        <v>Sample</v>
      </c>
      <c r="AZ19" s="8">
        <f t="shared" si="26"/>
        <v>0</v>
      </c>
      <c r="BA19" s="8" t="str">
        <f t="shared" si="26"/>
        <v xml:space="preserve">blk </v>
      </c>
      <c r="BB19" s="8">
        <f t="shared" si="28"/>
        <v>-291.65193463990681</v>
      </c>
      <c r="BC19" s="8"/>
      <c r="BD19" s="8">
        <f t="shared" si="36"/>
        <v>177.75777044682621</v>
      </c>
      <c r="BE19" s="8">
        <f t="shared" si="32"/>
        <v>213.30932453619144</v>
      </c>
      <c r="BF19" s="8">
        <f t="shared" si="32"/>
        <v>142.20621635746099</v>
      </c>
      <c r="BG19" s="8">
        <f t="shared" si="32"/>
        <v>195.53354749150884</v>
      </c>
      <c r="BH19" s="8">
        <f t="shared" si="32"/>
        <v>159.98199340214359</v>
      </c>
      <c r="BI19" s="8">
        <f t="shared" si="32"/>
        <v>1078.7699200448385</v>
      </c>
      <c r="BJ19" s="8">
        <f t="shared" si="32"/>
        <v>606.87637864333897</v>
      </c>
      <c r="BK19" s="8">
        <f t="shared" si="32"/>
        <v>3525.3885990204312</v>
      </c>
      <c r="BL19" s="8">
        <f t="shared" si="32"/>
        <v>1274.3034675363474</v>
      </c>
      <c r="BM19" s="8">
        <f t="shared" si="32"/>
        <v>-901.01214959801223</v>
      </c>
      <c r="BN19" s="8">
        <f t="shared" si="32"/>
        <v>2335.2976105365033</v>
      </c>
      <c r="BO19" s="8">
        <f t="shared" si="32"/>
        <v>-1979.7820696428507</v>
      </c>
    </row>
    <row r="20" spans="1:67" x14ac:dyDescent="0.25">
      <c r="A20" s="23">
        <f>Alex_ITSD_count_data!A20</f>
        <v>3.2175925924093463E-2</v>
      </c>
      <c r="B20" s="8" t="str">
        <f>Alex_ITSD_count_data!B20</f>
        <v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v>
      </c>
      <c r="C20" s="8" t="b">
        <f>Alex_ITSD_count_data!C20</f>
        <v>0</v>
      </c>
      <c r="D20" s="8" t="str">
        <f>Alex_ITSD_count_data!D20</f>
        <v>018SMPL.d</v>
      </c>
      <c r="E20" s="11">
        <f>Alex_ITSD_count_data!E20</f>
        <v>45246.512361111112</v>
      </c>
      <c r="F20" s="8" t="str">
        <f>Alex_ITSD_count_data!F20</f>
        <v>Sample</v>
      </c>
      <c r="G20" s="8">
        <f>Alex_ITSD_count_data!G20</f>
        <v>0</v>
      </c>
      <c r="H20" s="8" t="str">
        <f>Alex_ITSD_count_data!H20</f>
        <v>0-30-T</v>
      </c>
      <c r="I20" s="17">
        <f>Alex_ITSD_count_data!O20</f>
        <v>125131.42</v>
      </c>
      <c r="J20" s="17">
        <f>Alex_ITSD_count_data!P20</f>
        <v>1.5</v>
      </c>
      <c r="K20" s="47">
        <f t="shared" si="18"/>
        <v>123383.45955834935</v>
      </c>
      <c r="L20" s="17">
        <f t="shared" si="20"/>
        <v>214.49254072131473</v>
      </c>
      <c r="M20" s="17">
        <f>[2]Alex_MS_FE_AL_data!N22</f>
        <v>334.45800000000003</v>
      </c>
      <c r="N20" s="8">
        <v>5</v>
      </c>
      <c r="O20" s="17">
        <f t="shared" si="38"/>
        <v>1072.4627036065735</v>
      </c>
      <c r="P20" s="17">
        <f t="shared" si="39"/>
        <v>1672.2900000000002</v>
      </c>
      <c r="R20" s="23">
        <f t="shared" ref="R20:AA20" si="41">A64</f>
        <v>9.4606481477967463E-2</v>
      </c>
      <c r="S20" s="8" t="str">
        <f t="shared" si="41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T20" s="8" t="b">
        <f t="shared" si="41"/>
        <v>0</v>
      </c>
      <c r="U20" s="8" t="str">
        <f t="shared" si="41"/>
        <v>062SMPL.d</v>
      </c>
      <c r="V20" s="11">
        <f t="shared" si="41"/>
        <v>45246.574791666666</v>
      </c>
      <c r="W20" s="8" t="str">
        <f t="shared" si="41"/>
        <v>Sample</v>
      </c>
      <c r="X20" s="8">
        <f t="shared" si="41"/>
        <v>0</v>
      </c>
      <c r="Y20" s="8" t="str">
        <f t="shared" si="41"/>
        <v xml:space="preserve">blk </v>
      </c>
      <c r="Z20" s="8">
        <f t="shared" si="41"/>
        <v>4961.03</v>
      </c>
      <c r="AA20" s="8">
        <f t="shared" si="41"/>
        <v>8.4</v>
      </c>
      <c r="AB20" s="8">
        <f t="shared" si="34"/>
        <v>2905.8269999999998</v>
      </c>
      <c r="AC20" s="8">
        <f t="shared" si="34"/>
        <v>3486.9923999999996</v>
      </c>
      <c r="AD20" s="8">
        <f t="shared" si="34"/>
        <v>2324.6615999999999</v>
      </c>
      <c r="AE20" s="8">
        <f t="shared" si="34"/>
        <v>3196.4097000000002</v>
      </c>
      <c r="AF20" s="8">
        <f t="shared" si="34"/>
        <v>2615.2442999999998</v>
      </c>
      <c r="AG20" s="8">
        <f t="shared" si="34"/>
        <v>1755.1343002874614</v>
      </c>
      <c r="AH20" s="8">
        <f t="shared" si="34"/>
        <v>60.400509056026443</v>
      </c>
      <c r="AI20" s="8">
        <f t="shared" si="34"/>
        <v>4834.51</v>
      </c>
      <c r="AJ20" s="8">
        <f t="shared" si="35"/>
        <v>4951.544000287462</v>
      </c>
      <c r="AK20" s="8">
        <f t="shared" si="35"/>
        <v>1150.6926997125383</v>
      </c>
      <c r="AL20" s="8">
        <f t="shared" si="35"/>
        <v>6416.0956005749231</v>
      </c>
      <c r="AM20" s="8">
        <f t="shared" si="35"/>
        <v>-604.44160057492309</v>
      </c>
      <c r="AT20" s="23">
        <f t="shared" si="27"/>
        <v>9.4606481477967463E-2</v>
      </c>
      <c r="AU20" s="8" t="str">
        <f t="shared" si="27"/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AV20" s="8" t="b">
        <f t="shared" si="26"/>
        <v>0</v>
      </c>
      <c r="AW20" s="8" t="str">
        <f t="shared" si="26"/>
        <v>062SMPL.d</v>
      </c>
      <c r="AX20" s="11">
        <f t="shared" si="26"/>
        <v>45246.574791666666</v>
      </c>
      <c r="AY20" s="8" t="str">
        <f t="shared" si="26"/>
        <v>Sample</v>
      </c>
      <c r="AZ20" s="8">
        <f t="shared" si="26"/>
        <v>0</v>
      </c>
      <c r="BA20" s="8" t="str">
        <f t="shared" si="26"/>
        <v xml:space="preserve">blk </v>
      </c>
      <c r="BB20" s="8">
        <f t="shared" si="28"/>
        <v>1702.0986324937421</v>
      </c>
      <c r="BC20" s="8"/>
      <c r="BD20" s="8">
        <f t="shared" si="36"/>
        <v>177.75777044682621</v>
      </c>
      <c r="BE20" s="8">
        <f t="shared" si="32"/>
        <v>213.30932453619144</v>
      </c>
      <c r="BF20" s="8">
        <f t="shared" si="32"/>
        <v>142.20621635746099</v>
      </c>
      <c r="BG20" s="8">
        <f t="shared" si="32"/>
        <v>195.53354749150884</v>
      </c>
      <c r="BH20" s="8">
        <f t="shared" si="32"/>
        <v>159.98199340214359</v>
      </c>
      <c r="BI20" s="8">
        <f t="shared" si="32"/>
        <v>1078.7699200448385</v>
      </c>
      <c r="BJ20" s="8">
        <f t="shared" si="32"/>
        <v>606.87637864333897</v>
      </c>
      <c r="BK20" s="8">
        <f t="shared" si="32"/>
        <v>3525.3885990204312</v>
      </c>
      <c r="BL20" s="8">
        <f t="shared" si="32"/>
        <v>1274.3034675363474</v>
      </c>
      <c r="BM20" s="8">
        <f t="shared" si="32"/>
        <v>-901.01214959801223</v>
      </c>
      <c r="BN20" s="8">
        <f t="shared" si="32"/>
        <v>2335.2976105365033</v>
      </c>
      <c r="BO20" s="8">
        <f t="shared" si="32"/>
        <v>-1979.7820696428507</v>
      </c>
    </row>
    <row r="21" spans="1:67" x14ac:dyDescent="0.25">
      <c r="A21" s="23">
        <f>Alex_ITSD_count_data!A21</f>
        <v>3.3356481479131617E-2</v>
      </c>
      <c r="B21" s="8" t="str">
        <f>Alex_ITSD_count_data!B21</f>
        <v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v>
      </c>
      <c r="C21" s="8" t="b">
        <f>Alex_ITSD_count_data!C21</f>
        <v>0</v>
      </c>
      <c r="D21" s="8" t="str">
        <f>Alex_ITSD_count_data!D21</f>
        <v>019SMPL.d</v>
      </c>
      <c r="E21" s="11">
        <f>Alex_ITSD_count_data!E21</f>
        <v>45246.513541666667</v>
      </c>
      <c r="F21" s="8" t="str">
        <f>Alex_ITSD_count_data!F21</f>
        <v>Sample</v>
      </c>
      <c r="G21" s="8">
        <f>Alex_ITSD_count_data!G21</f>
        <v>0</v>
      </c>
      <c r="H21" s="8" t="str">
        <f>Alex_ITSD_count_data!H21</f>
        <v>0-40-T</v>
      </c>
      <c r="I21" s="17">
        <f>Alex_ITSD_count_data!O21</f>
        <v>153702.78</v>
      </c>
      <c r="J21" s="17">
        <f>Alex_ITSD_count_data!P21</f>
        <v>1.2</v>
      </c>
      <c r="K21" s="47">
        <f t="shared" si="18"/>
        <v>151890.68575799669</v>
      </c>
      <c r="L21" s="17">
        <f t="shared" si="20"/>
        <v>304.02953076601398</v>
      </c>
      <c r="M21" s="17">
        <f>[2]Alex_MS_FE_AL_data!N23</f>
        <v>411.52699999999999</v>
      </c>
      <c r="N21" s="8">
        <v>5</v>
      </c>
      <c r="O21" s="17">
        <f t="shared" si="38"/>
        <v>1520.1476538300699</v>
      </c>
      <c r="P21" s="17">
        <f t="shared" si="39"/>
        <v>2057.6349999999998</v>
      </c>
      <c r="R21" s="23">
        <f t="shared" ref="R21:AA21" si="42">A80</f>
        <v>0.11293981481139781</v>
      </c>
      <c r="S21" s="8" t="str">
        <f t="shared" si="42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T21" s="8" t="b">
        <f t="shared" si="42"/>
        <v>0</v>
      </c>
      <c r="U21" s="8" t="str">
        <f t="shared" si="42"/>
        <v>078SMPL.d</v>
      </c>
      <c r="V21" s="11">
        <f t="shared" si="42"/>
        <v>45246.593124999999</v>
      </c>
      <c r="W21" s="8" t="str">
        <f t="shared" si="42"/>
        <v>Sample</v>
      </c>
      <c r="X21" s="8">
        <f t="shared" si="42"/>
        <v>0</v>
      </c>
      <c r="Y21" s="8" t="str">
        <f t="shared" si="42"/>
        <v>blk</v>
      </c>
      <c r="Z21" s="8">
        <f t="shared" si="42"/>
        <v>5081.08</v>
      </c>
      <c r="AA21" s="8">
        <f t="shared" si="42"/>
        <v>2.1</v>
      </c>
      <c r="AB21" s="8">
        <f t="shared" si="34"/>
        <v>2905.8269999999998</v>
      </c>
      <c r="AC21" s="8">
        <f t="shared" si="34"/>
        <v>3486.9923999999996</v>
      </c>
      <c r="AD21" s="8">
        <f t="shared" si="34"/>
        <v>2324.6615999999999</v>
      </c>
      <c r="AE21" s="8">
        <f t="shared" si="34"/>
        <v>3196.4097000000002</v>
      </c>
      <c r="AF21" s="8">
        <f t="shared" si="34"/>
        <v>2615.2442999999998</v>
      </c>
      <c r="AG21" s="8">
        <f t="shared" si="34"/>
        <v>1755.1343002874614</v>
      </c>
      <c r="AH21" s="8">
        <f t="shared" si="34"/>
        <v>60.400509056026443</v>
      </c>
      <c r="AI21" s="8">
        <f t="shared" si="34"/>
        <v>4834.51</v>
      </c>
      <c r="AJ21" s="8">
        <f t="shared" si="35"/>
        <v>4951.544000287462</v>
      </c>
      <c r="AK21" s="8">
        <f t="shared" si="35"/>
        <v>1150.6926997125383</v>
      </c>
      <c r="AL21" s="8">
        <f t="shared" si="35"/>
        <v>6416.0956005749231</v>
      </c>
      <c r="AM21" s="8">
        <f t="shared" si="35"/>
        <v>-604.44160057492309</v>
      </c>
      <c r="AT21" s="23">
        <f t="shared" si="27"/>
        <v>0.11293981481139781</v>
      </c>
      <c r="AU21" s="8" t="str">
        <f t="shared" si="27"/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AV21" s="8" t="b">
        <f t="shared" si="26"/>
        <v>0</v>
      </c>
      <c r="AW21" s="8" t="str">
        <f t="shared" si="26"/>
        <v>078SMPL.d</v>
      </c>
      <c r="AX21" s="11">
        <f t="shared" si="26"/>
        <v>45246.593124999999</v>
      </c>
      <c r="AY21" s="8" t="str">
        <f t="shared" si="26"/>
        <v>Sample</v>
      </c>
      <c r="AZ21" s="8">
        <f t="shared" si="26"/>
        <v>0</v>
      </c>
      <c r="BA21" s="8" t="str">
        <f t="shared" si="26"/>
        <v>blk</v>
      </c>
      <c r="BB21" s="8">
        <f t="shared" si="28"/>
        <v>1190.6160552550623</v>
      </c>
      <c r="BC21" s="8"/>
      <c r="BD21" s="8">
        <f t="shared" si="36"/>
        <v>177.75777044682621</v>
      </c>
      <c r="BE21" s="8">
        <f t="shared" si="32"/>
        <v>213.30932453619144</v>
      </c>
      <c r="BF21" s="8">
        <f t="shared" si="32"/>
        <v>142.20621635746099</v>
      </c>
      <c r="BG21" s="8">
        <f t="shared" si="32"/>
        <v>195.53354749150884</v>
      </c>
      <c r="BH21" s="8">
        <f t="shared" si="32"/>
        <v>159.98199340214359</v>
      </c>
      <c r="BI21" s="8">
        <f t="shared" si="32"/>
        <v>1078.7699200448385</v>
      </c>
      <c r="BJ21" s="8">
        <f t="shared" si="32"/>
        <v>606.87637864333897</v>
      </c>
      <c r="BK21" s="8">
        <f t="shared" si="32"/>
        <v>3525.3885990204312</v>
      </c>
      <c r="BL21" s="8">
        <f t="shared" si="32"/>
        <v>1274.3034675363474</v>
      </c>
      <c r="BM21" s="8">
        <f t="shared" si="32"/>
        <v>-901.01214959801223</v>
      </c>
      <c r="BN21" s="8">
        <f t="shared" si="32"/>
        <v>2335.2976105365033</v>
      </c>
      <c r="BO21" s="8">
        <f t="shared" si="32"/>
        <v>-1979.7820696428507</v>
      </c>
    </row>
    <row r="22" spans="1:67" x14ac:dyDescent="0.25">
      <c r="A22" s="23">
        <f>Alex_ITSD_count_data!A22</f>
        <v>3.4479166664823424E-2</v>
      </c>
      <c r="B22" s="8" t="str">
        <f>Alex_ITSD_count_data!B22</f>
        <v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v>
      </c>
      <c r="C22" s="8" t="b">
        <f>Alex_ITSD_count_data!C22</f>
        <v>0</v>
      </c>
      <c r="D22" s="8" t="str">
        <f>Alex_ITSD_count_data!D22</f>
        <v>020SMPL.d</v>
      </c>
      <c r="E22" s="11">
        <f>Alex_ITSD_count_data!E22</f>
        <v>45246.514664351853</v>
      </c>
      <c r="F22" s="8" t="str">
        <f>Alex_ITSD_count_data!F22</f>
        <v>Sample</v>
      </c>
      <c r="G22" s="8">
        <f>Alex_ITSD_count_data!G22</f>
        <v>0</v>
      </c>
      <c r="H22" s="8" t="str">
        <f>Alex_ITSD_count_data!H22</f>
        <v>0-60-T</v>
      </c>
      <c r="I22" s="17">
        <f>Alex_ITSD_count_data!O22</f>
        <v>77729.649999999994</v>
      </c>
      <c r="J22" s="17">
        <f>Alex_ITSD_count_data!P22</f>
        <v>2.9</v>
      </c>
      <c r="K22" s="47">
        <f t="shared" si="18"/>
        <v>75856.565771332549</v>
      </c>
      <c r="L22" s="17">
        <f t="shared" si="20"/>
        <v>65.944770905977776</v>
      </c>
      <c r="M22" s="17">
        <f>[2]Alex_MS_FE_AL_data!N24</f>
        <v>206.595</v>
      </c>
      <c r="N22" s="8">
        <v>5</v>
      </c>
      <c r="O22" s="17">
        <f t="shared" si="38"/>
        <v>329.72385452988885</v>
      </c>
      <c r="P22" s="17">
        <f t="shared" si="39"/>
        <v>1032.9749999999999</v>
      </c>
      <c r="R22" s="23">
        <f t="shared" ref="R22:AA24" si="43">A84</f>
        <v>0.11753472221607808</v>
      </c>
      <c r="S22" s="8" t="str">
        <f t="shared" si="43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T22" s="8" t="b">
        <f t="shared" si="43"/>
        <v>0</v>
      </c>
      <c r="U22" s="8" t="str">
        <f t="shared" si="43"/>
        <v>082SMPL.d</v>
      </c>
      <c r="V22" s="11">
        <f t="shared" si="43"/>
        <v>45246.597719907404</v>
      </c>
      <c r="W22" s="8" t="str">
        <f t="shared" si="43"/>
        <v>Sample</v>
      </c>
      <c r="X22" s="8">
        <f t="shared" si="43"/>
        <v>0</v>
      </c>
      <c r="Y22" s="8" t="str">
        <f t="shared" si="43"/>
        <v>blk</v>
      </c>
      <c r="Z22" s="8">
        <f t="shared" si="43"/>
        <v>5404.55</v>
      </c>
      <c r="AA22" s="8">
        <f t="shared" si="43"/>
        <v>5.4</v>
      </c>
      <c r="AB22" s="8">
        <f t="shared" si="34"/>
        <v>2905.8269999999998</v>
      </c>
      <c r="AC22" s="8">
        <f t="shared" si="34"/>
        <v>3486.9923999999996</v>
      </c>
      <c r="AD22" s="8">
        <f t="shared" si="34"/>
        <v>2324.6615999999999</v>
      </c>
      <c r="AE22" s="8">
        <f t="shared" si="34"/>
        <v>3196.4097000000002</v>
      </c>
      <c r="AF22" s="8">
        <f t="shared" si="34"/>
        <v>2615.2442999999998</v>
      </c>
      <c r="AG22" s="8">
        <f t="shared" si="34"/>
        <v>1755.1343002874614</v>
      </c>
      <c r="AH22" s="8">
        <f t="shared" si="34"/>
        <v>60.400509056026443</v>
      </c>
      <c r="AI22" s="8">
        <f t="shared" si="34"/>
        <v>4834.51</v>
      </c>
      <c r="AJ22" s="8">
        <f t="shared" si="35"/>
        <v>4951.544000287462</v>
      </c>
      <c r="AK22" s="8">
        <f t="shared" si="35"/>
        <v>1150.6926997125383</v>
      </c>
      <c r="AL22" s="8">
        <f t="shared" si="35"/>
        <v>6416.0956005749231</v>
      </c>
      <c r="AM22" s="8">
        <f t="shared" si="35"/>
        <v>-604.44160057492309</v>
      </c>
      <c r="AT22" s="23">
        <f t="shared" si="27"/>
        <v>0.11753472221607808</v>
      </c>
      <c r="AU22" s="8" t="str">
        <f t="shared" si="27"/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AV22" s="8" t="b">
        <f t="shared" si="26"/>
        <v>0</v>
      </c>
      <c r="AW22" s="8" t="str">
        <f t="shared" si="26"/>
        <v>082SMPL.d</v>
      </c>
      <c r="AX22" s="11">
        <f t="shared" si="26"/>
        <v>45246.597719907404</v>
      </c>
      <c r="AY22" s="8" t="str">
        <f t="shared" si="26"/>
        <v>Sample</v>
      </c>
      <c r="AZ22" s="8">
        <f t="shared" si="26"/>
        <v>0</v>
      </c>
      <c r="BA22" s="8" t="str">
        <f t="shared" si="26"/>
        <v>blk</v>
      </c>
      <c r="BB22" s="8">
        <f t="shared" si="28"/>
        <v>1355.8042162313095</v>
      </c>
      <c r="BC22" s="8"/>
      <c r="BD22" s="8">
        <f t="shared" si="36"/>
        <v>177.75777044682621</v>
      </c>
      <c r="BE22" s="8">
        <f t="shared" si="32"/>
        <v>213.30932453619144</v>
      </c>
      <c r="BF22" s="8">
        <f t="shared" si="32"/>
        <v>142.20621635746099</v>
      </c>
      <c r="BG22" s="8">
        <f t="shared" si="32"/>
        <v>195.53354749150884</v>
      </c>
      <c r="BH22" s="8">
        <f t="shared" si="32"/>
        <v>159.98199340214359</v>
      </c>
      <c r="BI22" s="8">
        <f t="shared" si="32"/>
        <v>1078.7699200448385</v>
      </c>
      <c r="BJ22" s="8">
        <f t="shared" si="32"/>
        <v>606.87637864333897</v>
      </c>
      <c r="BK22" s="8">
        <f t="shared" si="32"/>
        <v>3525.3885990204312</v>
      </c>
      <c r="BL22" s="8">
        <f t="shared" si="32"/>
        <v>1274.3034675363474</v>
      </c>
      <c r="BM22" s="8">
        <f t="shared" si="32"/>
        <v>-901.01214959801223</v>
      </c>
      <c r="BN22" s="8">
        <f t="shared" si="32"/>
        <v>2335.2976105365033</v>
      </c>
      <c r="BO22" s="8">
        <f t="shared" si="32"/>
        <v>-1979.7820696428507</v>
      </c>
    </row>
    <row r="23" spans="1:67" x14ac:dyDescent="0.25">
      <c r="A23" s="23">
        <f>Alex_ITSD_count_data!A23</f>
        <v>3.5601851850515231E-2</v>
      </c>
      <c r="B23" s="8" t="str">
        <f>Alex_ITSD_count_data!B23</f>
        <v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v>
      </c>
      <c r="C23" s="8" t="b">
        <f>Alex_ITSD_count_data!C23</f>
        <v>0</v>
      </c>
      <c r="D23" s="8" t="str">
        <f>Alex_ITSD_count_data!D23</f>
        <v>021SMPL.d</v>
      </c>
      <c r="E23" s="11">
        <f>Alex_ITSD_count_data!E23</f>
        <v>45246.515787037039</v>
      </c>
      <c r="F23" s="8" t="str">
        <f>Alex_ITSD_count_data!F23</f>
        <v>Sample</v>
      </c>
      <c r="G23" s="8">
        <f>Alex_ITSD_count_data!G23</f>
        <v>0</v>
      </c>
      <c r="H23" s="8" t="str">
        <f>Alex_ITSD_count_data!H23</f>
        <v>0-70-T</v>
      </c>
      <c r="I23" s="17">
        <f>Alex_ITSD_count_data!O23</f>
        <v>274321.94</v>
      </c>
      <c r="J23" s="17">
        <f>Alex_ITSD_count_data!P23</f>
        <v>0.3</v>
      </c>
      <c r="K23" s="47">
        <f t="shared" si="18"/>
        <v>272387.86578466842</v>
      </c>
      <c r="L23" s="17">
        <f t="shared" si="20"/>
        <v>682.0261164420192</v>
      </c>
      <c r="M23" s="17">
        <f>[2]Alex_MS_FE_AL_data!N25</f>
        <v>736.88900000000001</v>
      </c>
      <c r="N23" s="8">
        <v>5</v>
      </c>
      <c r="O23" s="17">
        <f t="shared" si="38"/>
        <v>3410.1305822100958</v>
      </c>
      <c r="P23" s="17">
        <f t="shared" si="39"/>
        <v>3684.4450000000002</v>
      </c>
      <c r="R23" s="23">
        <f t="shared" si="43"/>
        <v>0.11868055555532919</v>
      </c>
      <c r="S23" s="8" t="str">
        <f t="shared" si="43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T23" s="8" t="b">
        <f t="shared" si="43"/>
        <v>0</v>
      </c>
      <c r="U23" s="8" t="str">
        <f t="shared" si="43"/>
        <v>083SMPL.d</v>
      </c>
      <c r="V23" s="11">
        <f t="shared" si="43"/>
        <v>45246.598865740743</v>
      </c>
      <c r="W23" s="8" t="str">
        <f t="shared" si="43"/>
        <v>Sample</v>
      </c>
      <c r="X23" s="8">
        <f t="shared" si="43"/>
        <v>0</v>
      </c>
      <c r="Y23" s="8" t="str">
        <f t="shared" si="43"/>
        <v>blk</v>
      </c>
      <c r="Z23" s="8">
        <f t="shared" si="43"/>
        <v>3370.53</v>
      </c>
      <c r="AA23" s="8">
        <f t="shared" si="43"/>
        <v>5.8</v>
      </c>
      <c r="AB23" s="8">
        <f t="shared" si="34"/>
        <v>2905.8269999999998</v>
      </c>
      <c r="AC23" s="8">
        <f t="shared" si="34"/>
        <v>3486.9923999999996</v>
      </c>
      <c r="AD23" s="8">
        <f t="shared" si="34"/>
        <v>2324.6615999999999</v>
      </c>
      <c r="AE23" s="8">
        <f t="shared" si="34"/>
        <v>3196.4097000000002</v>
      </c>
      <c r="AF23" s="8">
        <f t="shared" si="34"/>
        <v>2615.2442999999998</v>
      </c>
      <c r="AG23" s="8">
        <f t="shared" si="34"/>
        <v>1755.1343002874614</v>
      </c>
      <c r="AH23" s="8">
        <f t="shared" si="34"/>
        <v>60.400509056026443</v>
      </c>
      <c r="AI23" s="8">
        <f t="shared" si="34"/>
        <v>4834.51</v>
      </c>
      <c r="AJ23" s="8">
        <f t="shared" si="35"/>
        <v>4951.544000287462</v>
      </c>
      <c r="AK23" s="8">
        <f t="shared" si="35"/>
        <v>1150.6926997125383</v>
      </c>
      <c r="AL23" s="8">
        <f t="shared" si="35"/>
        <v>6416.0956005749231</v>
      </c>
      <c r="AM23" s="8">
        <f t="shared" si="35"/>
        <v>-604.44160057492309</v>
      </c>
      <c r="AT23" s="23">
        <f t="shared" si="27"/>
        <v>0.11868055555532919</v>
      </c>
      <c r="AU23" s="8" t="str">
        <f t="shared" si="27"/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AV23" s="8" t="b">
        <f t="shared" si="26"/>
        <v>0</v>
      </c>
      <c r="AW23" s="8" t="str">
        <f t="shared" si="26"/>
        <v>083SMPL.d</v>
      </c>
      <c r="AX23" s="11">
        <f t="shared" si="26"/>
        <v>45246.598865740743</v>
      </c>
      <c r="AY23" s="8" t="str">
        <f t="shared" si="26"/>
        <v>Sample</v>
      </c>
      <c r="AZ23" s="8">
        <f t="shared" si="26"/>
        <v>0</v>
      </c>
      <c r="BA23" s="8" t="str">
        <f t="shared" si="26"/>
        <v>blk</v>
      </c>
      <c r="BB23" s="8">
        <f t="shared" si="28"/>
        <v>-717.68657004975012</v>
      </c>
      <c r="BC23" s="8"/>
      <c r="BD23" s="8">
        <f t="shared" si="36"/>
        <v>177.75777044682621</v>
      </c>
      <c r="BE23" s="8">
        <f t="shared" si="32"/>
        <v>213.30932453619144</v>
      </c>
      <c r="BF23" s="8">
        <f t="shared" si="32"/>
        <v>142.20621635746099</v>
      </c>
      <c r="BG23" s="8">
        <f t="shared" si="32"/>
        <v>195.53354749150884</v>
      </c>
      <c r="BH23" s="8">
        <f t="shared" si="32"/>
        <v>159.98199340214359</v>
      </c>
      <c r="BI23" s="8">
        <f t="shared" si="32"/>
        <v>1078.7699200448385</v>
      </c>
      <c r="BJ23" s="8">
        <f t="shared" si="32"/>
        <v>606.87637864333897</v>
      </c>
      <c r="BK23" s="8">
        <f t="shared" si="32"/>
        <v>3525.3885990204312</v>
      </c>
      <c r="BL23" s="8">
        <f t="shared" si="32"/>
        <v>1274.3034675363474</v>
      </c>
      <c r="BM23" s="8">
        <f t="shared" si="32"/>
        <v>-901.01214959801223</v>
      </c>
      <c r="BN23" s="8">
        <f t="shared" si="32"/>
        <v>2335.2976105365033</v>
      </c>
      <c r="BO23" s="8">
        <f t="shared" si="32"/>
        <v>-1979.7820696428507</v>
      </c>
    </row>
    <row r="24" spans="1:67" x14ac:dyDescent="0.25">
      <c r="A24" s="23">
        <f>Alex_ITSD_count_data!A24</f>
        <v>3.6724537036207039E-2</v>
      </c>
      <c r="B24" s="8" t="str">
        <f>Alex_ITSD_count_data!B24</f>
        <v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v>
      </c>
      <c r="C24" s="8" t="b">
        <f>Alex_ITSD_count_data!C24</f>
        <v>0</v>
      </c>
      <c r="D24" s="8" t="str">
        <f>Alex_ITSD_count_data!D24</f>
        <v>022SMPL.d</v>
      </c>
      <c r="E24" s="11">
        <f>Alex_ITSD_count_data!E24</f>
        <v>45246.516909722224</v>
      </c>
      <c r="F24" s="8" t="str">
        <f>Alex_ITSD_count_data!F24</f>
        <v>Sample</v>
      </c>
      <c r="G24" s="8">
        <f>Alex_ITSD_count_data!G24</f>
        <v>0</v>
      </c>
      <c r="H24" s="8" t="str">
        <f>Alex_ITSD_count_data!H24</f>
        <v>0-80-T</v>
      </c>
      <c r="I24" s="17">
        <f>Alex_ITSD_count_data!O24</f>
        <v>302113.40000000002</v>
      </c>
      <c r="J24" s="17">
        <f>Alex_ITSD_count_data!P24</f>
        <v>1.1000000000000001</v>
      </c>
      <c r="K24" s="47">
        <f t="shared" si="18"/>
        <v>300118.33579800435</v>
      </c>
      <c r="L24" s="17">
        <f t="shared" si="20"/>
        <v>769.11905417223795</v>
      </c>
      <c r="M24" s="17">
        <f>[2]Alex_MS_FE_AL_data!N26</f>
        <v>811.85400000000004</v>
      </c>
      <c r="N24" s="8">
        <v>5</v>
      </c>
      <c r="O24" s="17">
        <f t="shared" si="38"/>
        <v>3845.5952708611899</v>
      </c>
      <c r="P24" s="17">
        <f t="shared" si="39"/>
        <v>4059.2700000000004</v>
      </c>
      <c r="R24" s="23">
        <f t="shared" si="43"/>
        <v>0.119803240741021</v>
      </c>
      <c r="S24" s="8" t="str">
        <f t="shared" si="43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T24" s="8" t="b">
        <f t="shared" si="43"/>
        <v>0</v>
      </c>
      <c r="U24" s="8" t="str">
        <f t="shared" si="43"/>
        <v>084SMPL.d</v>
      </c>
      <c r="V24" s="11">
        <f t="shared" si="43"/>
        <v>45246.599988425929</v>
      </c>
      <c r="W24" s="8" t="str">
        <f t="shared" si="43"/>
        <v>Sample</v>
      </c>
      <c r="X24" s="8">
        <f t="shared" si="43"/>
        <v>0</v>
      </c>
      <c r="Y24" s="8" t="str">
        <f t="shared" si="43"/>
        <v>blk</v>
      </c>
      <c r="Z24" s="8">
        <f t="shared" si="43"/>
        <v>2303.6</v>
      </c>
      <c r="AA24" s="8">
        <f t="shared" si="43"/>
        <v>6.6</v>
      </c>
      <c r="AB24" s="8">
        <f t="shared" si="34"/>
        <v>2905.8269999999998</v>
      </c>
      <c r="AC24" s="8">
        <f t="shared" si="34"/>
        <v>3486.9923999999996</v>
      </c>
      <c r="AD24" s="8">
        <f t="shared" si="34"/>
        <v>2324.6615999999999</v>
      </c>
      <c r="AE24" s="8">
        <f t="shared" si="34"/>
        <v>3196.4097000000002</v>
      </c>
      <c r="AF24" s="8">
        <f t="shared" si="34"/>
        <v>2615.2442999999998</v>
      </c>
      <c r="AG24" s="8">
        <f t="shared" si="34"/>
        <v>1755.1343002874614</v>
      </c>
      <c r="AH24" s="8">
        <f t="shared" si="34"/>
        <v>60.400509056026443</v>
      </c>
      <c r="AI24" s="8">
        <f t="shared" si="34"/>
        <v>4834.51</v>
      </c>
      <c r="AJ24" s="8">
        <f t="shared" si="35"/>
        <v>4951.544000287462</v>
      </c>
      <c r="AK24" s="8">
        <f t="shared" si="35"/>
        <v>1150.6926997125383</v>
      </c>
      <c r="AL24" s="8">
        <f t="shared" si="35"/>
        <v>6416.0956005749231</v>
      </c>
      <c r="AM24" s="8">
        <f t="shared" si="35"/>
        <v>-604.44160057492309</v>
      </c>
      <c r="AT24" s="23">
        <f t="shared" si="27"/>
        <v>0.119803240741021</v>
      </c>
      <c r="AU24" s="8" t="str">
        <f t="shared" si="27"/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AV24" s="8" t="b">
        <f t="shared" si="26"/>
        <v>0</v>
      </c>
      <c r="AW24" s="8" t="str">
        <f t="shared" si="26"/>
        <v>084SMPL.d</v>
      </c>
      <c r="AX24" s="11">
        <f t="shared" si="26"/>
        <v>45246.599988425929</v>
      </c>
      <c r="AY24" s="8" t="str">
        <f t="shared" si="26"/>
        <v>Sample</v>
      </c>
      <c r="AZ24" s="8">
        <f t="shared" si="26"/>
        <v>0</v>
      </c>
      <c r="BA24" s="8" t="str">
        <f t="shared" si="26"/>
        <v>blk</v>
      </c>
      <c r="BB24" s="8">
        <f>Z24-($AO$12*AT24)</f>
        <v>-1823.2899665266891</v>
      </c>
      <c r="BC24" s="8"/>
      <c r="BD24" s="8">
        <f t="shared" si="36"/>
        <v>177.75777044682621</v>
      </c>
      <c r="BE24" s="8">
        <f t="shared" si="32"/>
        <v>213.30932453619144</v>
      </c>
      <c r="BF24" s="8">
        <f t="shared" si="32"/>
        <v>142.20621635746099</v>
      </c>
      <c r="BG24" s="8">
        <f t="shared" si="32"/>
        <v>195.53354749150884</v>
      </c>
      <c r="BH24" s="8">
        <f t="shared" si="32"/>
        <v>159.98199340214359</v>
      </c>
      <c r="BI24" s="8">
        <f t="shared" si="32"/>
        <v>1078.7699200448385</v>
      </c>
      <c r="BJ24" s="8">
        <f t="shared" si="32"/>
        <v>606.87637864333897</v>
      </c>
      <c r="BK24" s="8">
        <f t="shared" si="32"/>
        <v>3525.3885990204312</v>
      </c>
      <c r="BL24" s="8">
        <f t="shared" si="32"/>
        <v>1274.3034675363474</v>
      </c>
      <c r="BM24" s="8">
        <f t="shared" si="32"/>
        <v>-901.01214959801223</v>
      </c>
      <c r="BN24" s="8">
        <f t="shared" si="32"/>
        <v>2335.2976105365033</v>
      </c>
      <c r="BO24" s="8">
        <f t="shared" si="32"/>
        <v>-1979.7820696428507</v>
      </c>
    </row>
    <row r="25" spans="1:67" x14ac:dyDescent="0.25">
      <c r="A25" s="23">
        <f>Alex_ITSD_count_data!A25</f>
        <v>3.7893518514465541E-2</v>
      </c>
      <c r="B25" s="8" t="str">
        <f>Alex_ITSD_count_data!B25</f>
        <v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v>
      </c>
      <c r="C25" s="8" t="b">
        <f>Alex_ITSD_count_data!C25</f>
        <v>0</v>
      </c>
      <c r="D25" s="8" t="str">
        <f>Alex_ITSD_count_data!D25</f>
        <v>023SMPL.d</v>
      </c>
      <c r="E25" s="11">
        <f>Alex_ITSD_count_data!E25</f>
        <v>45246.518078703702</v>
      </c>
      <c r="F25" s="8" t="str">
        <f>Alex_ITSD_count_data!F25</f>
        <v>Sample</v>
      </c>
      <c r="G25" s="8">
        <f>Alex_ITSD_count_data!G25</f>
        <v>0</v>
      </c>
      <c r="H25" s="8" t="str">
        <f>Alex_ITSD_count_data!H25</f>
        <v>0-90-T</v>
      </c>
      <c r="I25" s="17">
        <f>Alex_ITSD_count_data!O25</f>
        <v>482050.75</v>
      </c>
      <c r="J25" s="17">
        <f>Alex_ITSD_count_data!P25</f>
        <v>2.2000000000000002</v>
      </c>
      <c r="K25" s="47">
        <f t="shared" si="18"/>
        <v>479992.18076054746</v>
      </c>
      <c r="L25" s="17">
        <f t="shared" si="20"/>
        <v>1333.0071125502629</v>
      </c>
      <c r="M25" s="17">
        <f>[2]Alex_MS_FE_AL_data!N27</f>
        <v>1297.223</v>
      </c>
      <c r="N25" s="8">
        <v>5</v>
      </c>
      <c r="O25" s="17">
        <f t="shared" si="38"/>
        <v>6665.0355627513145</v>
      </c>
      <c r="P25" s="17">
        <f t="shared" si="39"/>
        <v>6486.1149999999998</v>
      </c>
    </row>
    <row r="26" spans="1:67" x14ac:dyDescent="0.25">
      <c r="A26" s="23">
        <f>Alex_ITSD_count_data!A26</f>
        <v>3.9016203700157348E-2</v>
      </c>
      <c r="B26" s="8" t="str">
        <f>Alex_ITSD_count_data!B26</f>
        <v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v>
      </c>
      <c r="C26" s="8" t="b">
        <f>Alex_ITSD_count_data!C26</f>
        <v>0</v>
      </c>
      <c r="D26" s="8" t="str">
        <f>Alex_ITSD_count_data!D26</f>
        <v>024SMPL.d</v>
      </c>
      <c r="E26" s="11">
        <f>Alex_ITSD_count_data!E26</f>
        <v>45246.519201388888</v>
      </c>
      <c r="F26" s="8" t="str">
        <f>Alex_ITSD_count_data!F26</f>
        <v>Sample</v>
      </c>
      <c r="G26" s="8">
        <f>Alex_ITSD_count_data!G26</f>
        <v>0</v>
      </c>
      <c r="H26" s="8" t="str">
        <f>Alex_ITSD_count_data!H26</f>
        <v>0-100-T</v>
      </c>
      <c r="I26" s="17">
        <f>Alex_ITSD_count_data!O26</f>
        <v>292973.7</v>
      </c>
      <c r="J26" s="17">
        <f>Alex_ITSD_count_data!P26</f>
        <v>1</v>
      </c>
      <c r="K26" s="47">
        <f t="shared" si="18"/>
        <v>290854.14077388332</v>
      </c>
      <c r="L26" s="17">
        <f t="shared" si="20"/>
        <v>740.47704245450586</v>
      </c>
      <c r="M26" s="17">
        <f>[2]Alex_MS_FE_AL_data!N28</f>
        <v>787.20100000000002</v>
      </c>
      <c r="N26" s="8">
        <v>5</v>
      </c>
      <c r="O26" s="17">
        <f t="shared" si="38"/>
        <v>3702.3852122725293</v>
      </c>
      <c r="P26" s="17">
        <f t="shared" si="39"/>
        <v>3936.0050000000001</v>
      </c>
    </row>
    <row r="27" spans="1:67" x14ac:dyDescent="0.25">
      <c r="A27" s="23">
        <f>Alex_ITSD_count_data!A27</f>
        <v>4.0127314809069503E-2</v>
      </c>
      <c r="B27" s="8" t="str">
        <f>Alex_ITSD_count_data!B27</f>
        <v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v>
      </c>
      <c r="C27" s="8" t="b">
        <f>Alex_ITSD_count_data!C27</f>
        <v>0</v>
      </c>
      <c r="D27" s="8" t="str">
        <f>Alex_ITSD_count_data!D27</f>
        <v>025SMPL.d</v>
      </c>
      <c r="E27" s="11">
        <f>Alex_ITSD_count_data!E27</f>
        <v>45246.520312499997</v>
      </c>
      <c r="F27" s="8" t="str">
        <f>Alex_ITSD_count_data!F27</f>
        <v>Sample</v>
      </c>
      <c r="G27" s="8">
        <f>Alex_ITSD_count_data!G27</f>
        <v>0</v>
      </c>
      <c r="H27" s="8" t="str">
        <f>Alex_ITSD_count_data!H27</f>
        <v>0-10-B</v>
      </c>
      <c r="I27" s="17">
        <f>Alex_ITSD_count_data!O27</f>
        <v>409028.99</v>
      </c>
      <c r="J27" s="17">
        <f>Alex_ITSD_count_data!P27</f>
        <v>1.1000000000000001</v>
      </c>
      <c r="K27" s="47">
        <f t="shared" si="18"/>
        <v>406849.06955011497</v>
      </c>
      <c r="L27" s="17">
        <f t="shared" si="20"/>
        <v>1104.1713624086378</v>
      </c>
      <c r="M27" s="17">
        <f>[2]Alex_MS_FE_AL_data!N29</f>
        <v>1100.252</v>
      </c>
      <c r="N27" s="8">
        <v>5</v>
      </c>
      <c r="O27" s="17">
        <f t="shared" si="38"/>
        <v>5520.8568120431892</v>
      </c>
      <c r="P27" s="17">
        <f t="shared" si="39"/>
        <v>5501.26</v>
      </c>
    </row>
    <row r="28" spans="1:67" x14ac:dyDescent="0.25">
      <c r="A28" s="23">
        <f>Alex_ITSD_count_data!A28</f>
        <v>4.1238425925257616E-2</v>
      </c>
      <c r="B28" s="8" t="str">
        <f>Alex_ITSD_count_data!B28</f>
        <v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v>
      </c>
      <c r="C28" s="8" t="b">
        <f>Alex_ITSD_count_data!C28</f>
        <v>0</v>
      </c>
      <c r="D28" s="8" t="str">
        <f>Alex_ITSD_count_data!D28</f>
        <v>026SMPL.d</v>
      </c>
      <c r="E28" s="11">
        <f>Alex_ITSD_count_data!E28</f>
        <v>45246.521423611113</v>
      </c>
      <c r="F28" s="8" t="str">
        <f>Alex_ITSD_count_data!F28</f>
        <v>Sample</v>
      </c>
      <c r="G28" s="8">
        <f>Alex_ITSD_count_data!G28</f>
        <v>0</v>
      </c>
      <c r="H28" s="40" t="str">
        <f>Alex_ITSD_count_data!H28</f>
        <v xml:space="preserve">blk </v>
      </c>
      <c r="I28" s="43">
        <f>Alex_ITSD_count_data!O28</f>
        <v>2176.9</v>
      </c>
      <c r="J28" s="43">
        <f>Alex_ITSD_count_data!P28</f>
        <v>1.4</v>
      </c>
      <c r="K28" s="48">
        <f t="shared" si="18"/>
        <v>-63.381674048574951</v>
      </c>
      <c r="L28" s="43">
        <f t="shared" si="20"/>
        <v>-170.82260119670312</v>
      </c>
      <c r="M28" s="43">
        <f>[2]Alex_MS_FE_AL_data!N30</f>
        <v>2.7970000000000002</v>
      </c>
      <c r="N28" s="8"/>
      <c r="O28" s="17"/>
      <c r="P28" s="17"/>
      <c r="Q28" s="2" t="s">
        <v>318</v>
      </c>
      <c r="R28" s="10"/>
      <c r="S28" s="7" t="str">
        <f t="shared" ref="R28:AA29" si="44">B1</f>
        <v>Sample</v>
      </c>
      <c r="T28" s="7"/>
      <c r="U28" s="7"/>
      <c r="V28" s="10"/>
      <c r="W28" s="7"/>
      <c r="X28" s="7"/>
      <c r="Y28" s="7"/>
      <c r="Z28" s="13" t="str">
        <f t="shared" si="44"/>
        <v xml:space="preserve">57  Fe  [ He ] </v>
      </c>
      <c r="AA28" s="13"/>
      <c r="AB28" s="7" t="str">
        <f>'Calibration Std'!$A$1</f>
        <v>Calibration Standards Concentrations ppb</v>
      </c>
      <c r="AO28" s="2" t="s">
        <v>361</v>
      </c>
    </row>
    <row r="29" spans="1:67" x14ac:dyDescent="0.25">
      <c r="A29" s="23">
        <f>Alex_ITSD_count_data!A29</f>
        <v>4.2407407403516117E-2</v>
      </c>
      <c r="B29" s="8" t="str">
        <f>Alex_ITSD_count_data!B29</f>
        <v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v>
      </c>
      <c r="C29" s="8" t="b">
        <f>Alex_ITSD_count_data!C29</f>
        <v>0</v>
      </c>
      <c r="D29" s="8" t="str">
        <f>Alex_ITSD_count_data!D29</f>
        <v>027SMPL.d</v>
      </c>
      <c r="E29" s="11">
        <f>Alex_ITSD_count_data!E29</f>
        <v>45246.522592592592</v>
      </c>
      <c r="F29" s="8" t="str">
        <f>Alex_ITSD_count_data!F29</f>
        <v>Sample</v>
      </c>
      <c r="G29" s="8">
        <f>Alex_ITSD_count_data!G29</f>
        <v>0</v>
      </c>
      <c r="H29" s="8" t="str">
        <f>Alex_ITSD_count_data!H29</f>
        <v>100 ppb check</v>
      </c>
      <c r="I29" s="17">
        <f>Alex_ITSD_count_data!O29</f>
        <v>40567.760000000002</v>
      </c>
      <c r="J29" s="17">
        <f>Alex_ITSD_count_data!P29</f>
        <v>1.9</v>
      </c>
      <c r="K29" s="47">
        <f t="shared" si="18"/>
        <v>38263.973288494584</v>
      </c>
      <c r="L29" s="17">
        <f t="shared" si="20"/>
        <v>-50.513240717277426</v>
      </c>
      <c r="M29" s="17">
        <f>[2]Alex_MS_FE_AL_data!N31</f>
        <v>106.35299999999999</v>
      </c>
      <c r="N29" s="8"/>
      <c r="O29" s="17"/>
      <c r="P29" s="17"/>
      <c r="R29" s="10" t="str">
        <f t="shared" si="44"/>
        <v>Number</v>
      </c>
      <c r="S29" s="7">
        <f t="shared" si="44"/>
        <v>0</v>
      </c>
      <c r="T29" s="7" t="str">
        <f t="shared" si="44"/>
        <v>Rjct</v>
      </c>
      <c r="U29" s="7" t="str">
        <f t="shared" si="44"/>
        <v>Data File</v>
      </c>
      <c r="V29" s="10" t="str">
        <f t="shared" si="44"/>
        <v>Acq. Date-Time</v>
      </c>
      <c r="W29" s="7" t="str">
        <f t="shared" si="44"/>
        <v>Type</v>
      </c>
      <c r="X29" s="7" t="str">
        <f t="shared" si="44"/>
        <v>Level</v>
      </c>
      <c r="Y29" s="7" t="str">
        <f t="shared" si="44"/>
        <v>Sample Name</v>
      </c>
      <c r="Z29" s="13" t="str">
        <f t="shared" si="44"/>
        <v>CPS</v>
      </c>
      <c r="AA29" s="13" t="str">
        <f t="shared" si="44"/>
        <v>CPS RSD</v>
      </c>
      <c r="AB29" s="7"/>
      <c r="AO29" s="7" t="s">
        <v>272</v>
      </c>
      <c r="AP29" s="7" t="s">
        <v>273</v>
      </c>
    </row>
    <row r="30" spans="1:67" x14ac:dyDescent="0.25">
      <c r="A30" s="23">
        <f>Alex_ITSD_count_data!A30</f>
        <v>4.3518518512428273E-2</v>
      </c>
      <c r="B30" s="8" t="str">
        <f>Alex_ITSD_count_data!B30</f>
        <v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v>
      </c>
      <c r="C30" s="8" t="b">
        <f>Alex_ITSD_count_data!C30</f>
        <v>0</v>
      </c>
      <c r="D30" s="8" t="str">
        <f>Alex_ITSD_count_data!D30</f>
        <v>028SMPL.d</v>
      </c>
      <c r="E30" s="11">
        <f>Alex_ITSD_count_data!E30</f>
        <v>45246.5237037037</v>
      </c>
      <c r="F30" s="8" t="str">
        <f>Alex_ITSD_count_data!F30</f>
        <v>Sample</v>
      </c>
      <c r="G30" s="8">
        <f>Alex_ITSD_count_data!G30</f>
        <v>0</v>
      </c>
      <c r="H30" s="8" t="str">
        <f>Alex_ITSD_count_data!H30</f>
        <v>0-50-T</v>
      </c>
      <c r="I30" s="17">
        <f>Alex_ITSD_count_data!O30</f>
        <v>103343.92</v>
      </c>
      <c r="J30" s="17">
        <f>Alex_ITSD_count_data!P30</f>
        <v>1.4</v>
      </c>
      <c r="K30" s="47">
        <f t="shared" si="18"/>
        <v>100979.77206472626</v>
      </c>
      <c r="L30" s="17">
        <f t="shared" si="20"/>
        <v>146.2148258838381</v>
      </c>
      <c r="M30" s="17">
        <f>[2]Alex_MS_FE_AL_data!N32</f>
        <v>275.68799999999999</v>
      </c>
      <c r="N30" s="8">
        <v>10</v>
      </c>
      <c r="O30" s="17">
        <f>IF(L30 &lt; $S$44, "NA", N30*L30)</f>
        <v>1462.148258838381</v>
      </c>
      <c r="P30" s="17">
        <f>IF(M30 &lt; $S$45, "NA", N30*M30)</f>
        <v>2756.88</v>
      </c>
      <c r="R30" s="23">
        <f t="shared" ref="R30:AA38" si="45">A6</f>
        <v>3.4490740727051161E-3</v>
      </c>
      <c r="S30" s="8">
        <f t="shared" si="45"/>
        <v>0</v>
      </c>
      <c r="T30" s="8" t="b">
        <f t="shared" si="45"/>
        <v>0</v>
      </c>
      <c r="U30" s="8" t="str">
        <f t="shared" si="45"/>
        <v>004CALB.d</v>
      </c>
      <c r="V30" s="11">
        <f t="shared" si="45"/>
        <v>45246.483634259261</v>
      </c>
      <c r="W30" s="8" t="str">
        <f t="shared" si="45"/>
        <v>CalBlk</v>
      </c>
      <c r="X30" s="8">
        <f t="shared" si="45"/>
        <v>1</v>
      </c>
      <c r="Y30" s="8" t="str">
        <f t="shared" si="45"/>
        <v xml:space="preserve">0 ppb </v>
      </c>
      <c r="Z30" s="17">
        <f t="shared" si="45"/>
        <v>1140.0899999999999</v>
      </c>
      <c r="AA30" s="8">
        <f t="shared" si="45"/>
        <v>15.9</v>
      </c>
      <c r="AB30" s="8">
        <f>'Calibration Std'!D$8</f>
        <v>0</v>
      </c>
      <c r="AN30" t="s">
        <v>280</v>
      </c>
      <c r="AO30" s="17" cm="1">
        <f t="array" ref="AO30:AP34">LINEST(Z30:Z40,AB30:AB40, TRUE, TRUE)</f>
        <v>319.10118919271696</v>
      </c>
      <c r="AP30" s="17">
        <v>56686.595182861201</v>
      </c>
      <c r="AQ30" s="20" t="s">
        <v>281</v>
      </c>
    </row>
    <row r="31" spans="1:67" x14ac:dyDescent="0.25">
      <c r="A31" s="23">
        <f>Alex_ITSD_count_data!A31</f>
        <v>4.464120369812008E-2</v>
      </c>
      <c r="B31" s="8" t="str">
        <f>Alex_ITSD_count_data!B31</f>
        <v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v>
      </c>
      <c r="C31" s="8" t="b">
        <f>Alex_ITSD_count_data!C31</f>
        <v>0</v>
      </c>
      <c r="D31" s="8" t="str">
        <f>Alex_ITSD_count_data!D31</f>
        <v>029SMPL.d</v>
      </c>
      <c r="E31" s="11">
        <f>Alex_ITSD_count_data!E31</f>
        <v>45246.524826388886</v>
      </c>
      <c r="F31" s="8" t="str">
        <f>Alex_ITSD_count_data!F31</f>
        <v>Sample</v>
      </c>
      <c r="G31" s="8">
        <f>Alex_ITSD_count_data!G31</f>
        <v>0</v>
      </c>
      <c r="H31" s="8" t="str">
        <f>Alex_ITSD_count_data!H31</f>
        <v>0-60-B</v>
      </c>
      <c r="I31" s="17">
        <f>Alex_ITSD_count_data!O31</f>
        <v>40931.97</v>
      </c>
      <c r="J31" s="17">
        <f>Alex_ITSD_count_data!P31</f>
        <v>1.3</v>
      </c>
      <c r="K31" s="47">
        <f t="shared" si="18"/>
        <v>38506.832078062136</v>
      </c>
      <c r="L31" s="17">
        <f t="shared" si="20"/>
        <v>-49.371878627962118</v>
      </c>
      <c r="M31" s="17">
        <f>[2]Alex_MS_FE_AL_data!N33</f>
        <v>107.336</v>
      </c>
      <c r="N31" s="8">
        <v>5</v>
      </c>
      <c r="O31" s="17">
        <f t="shared" ref="O31:O39" si="46">IF(L31 &lt; $S$44, "NA", N31*L31)</f>
        <v>-246.85939313981061</v>
      </c>
      <c r="P31" s="17">
        <f t="shared" ref="P31:P39" si="47">IF(M31 &lt; $S$45, "NA", N31*M31)</f>
        <v>536.67999999999995</v>
      </c>
      <c r="R31" s="23">
        <f t="shared" si="45"/>
        <v>4.6180555509636179E-3</v>
      </c>
      <c r="S31" s="8">
        <f t="shared" si="45"/>
        <v>0</v>
      </c>
      <c r="T31" s="8" t="b">
        <f t="shared" si="45"/>
        <v>0</v>
      </c>
      <c r="U31" s="8" t="str">
        <f t="shared" si="45"/>
        <v>005CALS.d</v>
      </c>
      <c r="V31" s="11">
        <f t="shared" si="45"/>
        <v>45246.484803240739</v>
      </c>
      <c r="W31" s="8" t="str">
        <f t="shared" si="45"/>
        <v>CalStd</v>
      </c>
      <c r="X31" s="8">
        <f t="shared" si="45"/>
        <v>2</v>
      </c>
      <c r="Y31" s="8" t="str">
        <f t="shared" si="45"/>
        <v>0.5 ppb m16 + Al</v>
      </c>
      <c r="Z31" s="17">
        <f t="shared" si="45"/>
        <v>950.06</v>
      </c>
      <c r="AA31" s="8">
        <f t="shared" si="45"/>
        <v>9.1999999999999993</v>
      </c>
      <c r="AB31" s="8">
        <f>'Calibration Std'!E$8</f>
        <v>0.5</v>
      </c>
      <c r="AN31" t="s">
        <v>286</v>
      </c>
      <c r="AO31" s="17">
        <v>1.7100602656239301</v>
      </c>
      <c r="AP31" s="17">
        <v>51820.655795229846</v>
      </c>
      <c r="AQ31" t="s">
        <v>282</v>
      </c>
    </row>
    <row r="32" spans="1:67" x14ac:dyDescent="0.25">
      <c r="A32" s="23">
        <f>Alex_ITSD_count_data!A32</f>
        <v>4.5763888883811887E-2</v>
      </c>
      <c r="B32" s="8" t="str">
        <f>Alex_ITSD_count_data!B32</f>
        <v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v>
      </c>
      <c r="C32" s="8" t="b">
        <f>Alex_ITSD_count_data!C32</f>
        <v>0</v>
      </c>
      <c r="D32" s="8" t="str">
        <f>Alex_ITSD_count_data!D32</f>
        <v>030SMPL.d</v>
      </c>
      <c r="E32" s="11">
        <f>Alex_ITSD_count_data!E32</f>
        <v>45246.525949074072</v>
      </c>
      <c r="F32" s="8" t="str">
        <f>Alex_ITSD_count_data!F32</f>
        <v>Sample</v>
      </c>
      <c r="G32" s="8">
        <f>Alex_ITSD_count_data!G32</f>
        <v>0</v>
      </c>
      <c r="H32" s="8" t="str">
        <f>Alex_ITSD_count_data!H32</f>
        <v>0-100-B</v>
      </c>
      <c r="I32" s="17">
        <f>Alex_ITSD_count_data!O32</f>
        <v>202763.9</v>
      </c>
      <c r="J32" s="17">
        <f>Alex_ITSD_count_data!P32</f>
        <v>0.5</v>
      </c>
      <c r="K32" s="47">
        <f t="shared" si="18"/>
        <v>200277.77209139799</v>
      </c>
      <c r="L32" s="17">
        <f t="shared" si="20"/>
        <v>457.77737521660356</v>
      </c>
      <c r="M32" s="17">
        <f>[2]Alex_MS_FE_AL_data!N34</f>
        <v>543.86599999999999</v>
      </c>
      <c r="N32" s="8">
        <v>5</v>
      </c>
      <c r="O32" s="17">
        <f t="shared" si="46"/>
        <v>2288.8868760830178</v>
      </c>
      <c r="P32" s="17">
        <f t="shared" si="47"/>
        <v>2719.33</v>
      </c>
      <c r="R32" s="23">
        <f t="shared" si="45"/>
        <v>5.7870370364980772E-3</v>
      </c>
      <c r="S32" s="8" t="str">
        <f t="shared" si="45"/>
        <v>45  Sc ( ISTD )  [ He ] :  ISTD Recovery Percent value = 135.23 is outside the allowed range [80.00, 120.00]103  Rh ( ISTD )  [ He ] :  ISTD Recovery Percent value = 137.11 is outside the allowed range [80.00, 120.00]</v>
      </c>
      <c r="T32" s="8" t="b">
        <f t="shared" si="45"/>
        <v>0</v>
      </c>
      <c r="U32" s="8" t="str">
        <f t="shared" si="45"/>
        <v>006CALS.d</v>
      </c>
      <c r="V32" s="11">
        <f t="shared" si="45"/>
        <v>45246.485972222225</v>
      </c>
      <c r="W32" s="8" t="str">
        <f t="shared" si="45"/>
        <v>CalStd</v>
      </c>
      <c r="X32" s="8">
        <f t="shared" si="45"/>
        <v>3</v>
      </c>
      <c r="Y32" s="8" t="str">
        <f t="shared" si="45"/>
        <v>1 ppb m16 + Al</v>
      </c>
      <c r="Z32" s="17">
        <f t="shared" si="45"/>
        <v>1130.23</v>
      </c>
      <c r="AA32" s="8">
        <f t="shared" si="45"/>
        <v>20</v>
      </c>
      <c r="AB32" s="8">
        <f>'Calibration Std'!F$8</f>
        <v>1</v>
      </c>
      <c r="AN32" t="s">
        <v>277</v>
      </c>
      <c r="AO32" s="44">
        <v>0.9997415977690437</v>
      </c>
      <c r="AP32" s="17">
        <v>161939.00666016972</v>
      </c>
      <c r="AQ32" t="s">
        <v>285</v>
      </c>
    </row>
    <row r="33" spans="1:43" x14ac:dyDescent="0.25">
      <c r="A33" s="23">
        <f>Alex_ITSD_count_data!A33</f>
        <v>4.6944444438850041E-2</v>
      </c>
      <c r="B33" s="8" t="str">
        <f>Alex_ITSD_count_data!B33</f>
        <v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v>
      </c>
      <c r="C33" s="8" t="b">
        <f>Alex_ITSD_count_data!C33</f>
        <v>0</v>
      </c>
      <c r="D33" s="8" t="str">
        <f>Alex_ITSD_count_data!D33</f>
        <v>031SMPL.d</v>
      </c>
      <c r="E33" s="11">
        <f>Alex_ITSD_count_data!E33</f>
        <v>45246.527129629627</v>
      </c>
      <c r="F33" s="8" t="str">
        <f>Alex_ITSD_count_data!F33</f>
        <v>Sample</v>
      </c>
      <c r="G33" s="8">
        <f>Alex_ITSD_count_data!G33</f>
        <v>0</v>
      </c>
      <c r="H33" s="8" t="str">
        <f>Alex_ITSD_count_data!H33</f>
        <v>0-70-B</v>
      </c>
      <c r="I33" s="17">
        <f>Alex_ITSD_count_data!O33</f>
        <v>12789.41</v>
      </c>
      <c r="J33" s="17">
        <f>Alex_ITSD_count_data!P33</f>
        <v>3.4</v>
      </c>
      <c r="K33" s="47">
        <f t="shared" si="18"/>
        <v>10239.148291045349</v>
      </c>
      <c r="L33" s="17">
        <f t="shared" si="20"/>
        <v>-137.56509430101204</v>
      </c>
      <c r="M33" s="17">
        <f>[2]Alex_MS_FE_AL_data!N35</f>
        <v>31.422999999999998</v>
      </c>
      <c r="N33" s="8">
        <v>10</v>
      </c>
      <c r="O33" s="17">
        <f t="shared" si="46"/>
        <v>-1375.6509430101205</v>
      </c>
      <c r="P33" s="17">
        <f t="shared" si="47"/>
        <v>314.22999999999996</v>
      </c>
      <c r="R33" s="23">
        <f t="shared" si="45"/>
        <v>7.0023148145992309E-3</v>
      </c>
      <c r="S33" s="8" t="str">
        <f t="shared" si="45"/>
        <v>45  Sc ( ISTD )  [ He ] :  ISTD Recovery Percent value = 158.50 is outside the allowed range [80.00, 120.00]103  Rh ( ISTD )  [ He ] :  ISTD Recovery Percent value = 166.42 is outside the allowed range [80.00, 120.00]</v>
      </c>
      <c r="T33" s="8" t="b">
        <f t="shared" si="45"/>
        <v>0</v>
      </c>
      <c r="U33" s="8" t="str">
        <f t="shared" si="45"/>
        <v>007CALS.d</v>
      </c>
      <c r="V33" s="11">
        <f t="shared" si="45"/>
        <v>45246.487187500003</v>
      </c>
      <c r="W33" s="8" t="str">
        <f t="shared" si="45"/>
        <v>CalStd</v>
      </c>
      <c r="X33" s="8">
        <f t="shared" si="45"/>
        <v>4</v>
      </c>
      <c r="Y33" s="8" t="str">
        <f t="shared" si="45"/>
        <v>5 ppb m16 + Al</v>
      </c>
      <c r="Z33" s="17">
        <f t="shared" si="45"/>
        <v>2737.01</v>
      </c>
      <c r="AA33" s="8">
        <f t="shared" si="45"/>
        <v>2.2000000000000002</v>
      </c>
      <c r="AB33" s="8">
        <f>'Calibration Std'!G$8</f>
        <v>5</v>
      </c>
      <c r="AN33" t="s">
        <v>278</v>
      </c>
      <c r="AO33" s="17">
        <v>34820.420654346148</v>
      </c>
      <c r="AP33" s="17">
        <v>9</v>
      </c>
      <c r="AQ33" t="s">
        <v>283</v>
      </c>
    </row>
    <row r="34" spans="1:43" x14ac:dyDescent="0.25">
      <c r="A34" s="23">
        <f>Alex_ITSD_count_data!A34</f>
        <v>4.8078703701321501E-2</v>
      </c>
      <c r="B34" s="8" t="str">
        <f>Alex_ITSD_count_data!B34</f>
        <v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v>
      </c>
      <c r="C34" s="8" t="b">
        <f>Alex_ITSD_count_data!C34</f>
        <v>0</v>
      </c>
      <c r="D34" s="8" t="str">
        <f>Alex_ITSD_count_data!D34</f>
        <v>032SMPL.d</v>
      </c>
      <c r="E34" s="11">
        <f>Alex_ITSD_count_data!E34</f>
        <v>45246.528263888889</v>
      </c>
      <c r="F34" s="8" t="str">
        <f>Alex_ITSD_count_data!F34</f>
        <v>Sample</v>
      </c>
      <c r="G34" s="8">
        <f>Alex_ITSD_count_data!G34</f>
        <v>0</v>
      </c>
      <c r="H34" s="8" t="str">
        <f>Alex_ITSD_count_data!H34</f>
        <v>20-100-T</v>
      </c>
      <c r="I34" s="17">
        <f>Alex_ITSD_count_data!O34</f>
        <v>227278.2</v>
      </c>
      <c r="J34" s="17">
        <f>Alex_ITSD_count_data!P34</f>
        <v>2.2999999999999998</v>
      </c>
      <c r="K34" s="47">
        <f t="shared" si="18"/>
        <v>224666.31954148543</v>
      </c>
      <c r="L34" s="17">
        <f t="shared" si="20"/>
        <v>534.60034181857043</v>
      </c>
      <c r="M34" s="17">
        <f>[2]Alex_MS_FE_AL_data!N36</f>
        <v>609.99199999999996</v>
      </c>
      <c r="N34" s="8">
        <v>5</v>
      </c>
      <c r="O34" s="17">
        <f t="shared" si="46"/>
        <v>2673.0017090928523</v>
      </c>
      <c r="P34" s="17">
        <f t="shared" si="47"/>
        <v>3049.96</v>
      </c>
      <c r="R34" s="23">
        <f t="shared" si="45"/>
        <v>8.182870369637385E-3</v>
      </c>
      <c r="S34" s="8" t="str">
        <f t="shared" si="45"/>
        <v>45  Sc ( ISTD )  [ He ] :  ISTD Recovery Percent value = 191.39 is outside the allowed range [80.00, 120.00]103  Rh ( ISTD )  [ He ] :  ISTD Recovery Percent value = 202.01 is outside the allowed range [80.00, 120.00]</v>
      </c>
      <c r="T34" s="8" t="b">
        <f t="shared" si="45"/>
        <v>0</v>
      </c>
      <c r="U34" s="8" t="str">
        <f t="shared" si="45"/>
        <v>008CALS.d</v>
      </c>
      <c r="V34" s="11">
        <f t="shared" si="45"/>
        <v>45246.488368055558</v>
      </c>
      <c r="W34" s="8" t="str">
        <f t="shared" si="45"/>
        <v>CalStd</v>
      </c>
      <c r="X34" s="8">
        <f t="shared" si="45"/>
        <v>5</v>
      </c>
      <c r="Y34" s="8" t="str">
        <f t="shared" si="45"/>
        <v>10 ppb m16 + Al</v>
      </c>
      <c r="Z34" s="17">
        <f t="shared" si="45"/>
        <v>4684.25</v>
      </c>
      <c r="AA34" s="8">
        <f t="shared" si="45"/>
        <v>7.4</v>
      </c>
      <c r="AB34" s="8">
        <f>'Calibration Std'!H$8</f>
        <v>10</v>
      </c>
      <c r="AN34" t="s">
        <v>279</v>
      </c>
      <c r="AO34" s="17">
        <v>913139133536152.75</v>
      </c>
      <c r="AP34" s="17">
        <v>236018176902.7424</v>
      </c>
      <c r="AQ34" t="s">
        <v>284</v>
      </c>
    </row>
    <row r="35" spans="1:43" x14ac:dyDescent="0.25">
      <c r="A35" s="23">
        <f>Alex_ITSD_count_data!A35</f>
        <v>4.9201388887013309E-2</v>
      </c>
      <c r="B35" s="8" t="str">
        <f>Alex_ITSD_count_data!B35</f>
        <v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v>
      </c>
      <c r="C35" s="8" t="b">
        <f>Alex_ITSD_count_data!C35</f>
        <v>0</v>
      </c>
      <c r="D35" s="8" t="str">
        <f>Alex_ITSD_count_data!D35</f>
        <v>033SMPL.d</v>
      </c>
      <c r="E35" s="11">
        <f>Alex_ITSD_count_data!E35</f>
        <v>45246.529386574075</v>
      </c>
      <c r="F35" s="8" t="str">
        <f>Alex_ITSD_count_data!F35</f>
        <v>Sample</v>
      </c>
      <c r="G35" s="8">
        <f>Alex_ITSD_count_data!G35</f>
        <v>0</v>
      </c>
      <c r="H35" s="8" t="str">
        <f>Alex_ITSD_count_data!H35</f>
        <v>20-80-T</v>
      </c>
      <c r="I35" s="17">
        <f>Alex_ITSD_count_data!O35</f>
        <v>242456.83</v>
      </c>
      <c r="J35" s="17">
        <f>Alex_ITSD_count_data!P35</f>
        <v>0.9</v>
      </c>
      <c r="K35" s="47">
        <f t="shared" si="18"/>
        <v>239783.95955482125</v>
      </c>
      <c r="L35" s="17">
        <f t="shared" si="20"/>
        <v>582.1671654910233</v>
      </c>
      <c r="M35" s="17">
        <f>[2]Alex_MS_FE_AL_data!N37</f>
        <v>650.93499999999995</v>
      </c>
      <c r="N35" s="8">
        <v>5</v>
      </c>
      <c r="O35" s="17">
        <f t="shared" si="46"/>
        <v>2910.8358274551165</v>
      </c>
      <c r="P35" s="17">
        <f t="shared" si="47"/>
        <v>3254.6749999999997</v>
      </c>
      <c r="Q35" s="2"/>
      <c r="R35" s="23">
        <f t="shared" si="45"/>
        <v>9.3287037016125396E-3</v>
      </c>
      <c r="S35" s="8" t="str">
        <f t="shared" si="45"/>
        <v>45  Sc ( ISTD )  [ He ] :  ISTD Recovery Percent value = 226.75 is outside the allowed range [80.00, 120.00]103  Rh ( ISTD )  [ He ] :  ISTD Recovery Percent value = 246.55 is outside the allowed range [80.00, 120.00]</v>
      </c>
      <c r="T35" s="8" t="b">
        <f t="shared" si="45"/>
        <v>0</v>
      </c>
      <c r="U35" s="8" t="str">
        <f t="shared" si="45"/>
        <v>009CALS.d</v>
      </c>
      <c r="V35" s="11">
        <f t="shared" si="45"/>
        <v>45246.48951388889</v>
      </c>
      <c r="W35" s="8" t="str">
        <f t="shared" si="45"/>
        <v>CalStd</v>
      </c>
      <c r="X35" s="8">
        <f t="shared" si="45"/>
        <v>6</v>
      </c>
      <c r="Y35" s="8" t="str">
        <f t="shared" si="45"/>
        <v>50 ppb m16 + Al</v>
      </c>
      <c r="Z35" s="17">
        <f t="shared" si="45"/>
        <v>20154.63</v>
      </c>
      <c r="AA35" s="8">
        <f t="shared" si="45"/>
        <v>1</v>
      </c>
      <c r="AB35" s="8">
        <f>'Calibration Std'!I$8</f>
        <v>50</v>
      </c>
    </row>
    <row r="36" spans="1:43" x14ac:dyDescent="0.25">
      <c r="A36" s="23">
        <f>Alex_ITSD_count_data!A36</f>
        <v>5.0324074072705116E-2</v>
      </c>
      <c r="B36" s="8" t="str">
        <f>Alex_ITSD_count_data!B36</f>
        <v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v>
      </c>
      <c r="C36" s="8" t="b">
        <f>Alex_ITSD_count_data!C36</f>
        <v>0</v>
      </c>
      <c r="D36" s="8" t="str">
        <f>Alex_ITSD_count_data!D36</f>
        <v>034SMPL.d</v>
      </c>
      <c r="E36" s="11">
        <f>Alex_ITSD_count_data!E36</f>
        <v>45246.530509259261</v>
      </c>
      <c r="F36" s="8" t="str">
        <f>Alex_ITSD_count_data!F36</f>
        <v>Sample</v>
      </c>
      <c r="G36" s="8">
        <f>Alex_ITSD_count_data!G36</f>
        <v>0</v>
      </c>
      <c r="H36" s="8" t="str">
        <f>Alex_ITSD_count_data!H36</f>
        <v>20-30-B</v>
      </c>
      <c r="I36" s="17">
        <f>Alex_ITSD_count_data!O36</f>
        <v>326773.74</v>
      </c>
      <c r="J36" s="17">
        <f>Alex_ITSD_count_data!P36</f>
        <v>0.8</v>
      </c>
      <c r="K36" s="47">
        <f t="shared" si="18"/>
        <v>324039.87956815714</v>
      </c>
      <c r="L36" s="17">
        <f t="shared" si="20"/>
        <v>846.39968124350423</v>
      </c>
      <c r="M36" s="17">
        <f>[2]Alex_MS_FE_AL_data!N38</f>
        <v>878.37400000000002</v>
      </c>
      <c r="N36" s="8">
        <v>5</v>
      </c>
      <c r="O36" s="17">
        <f t="shared" si="46"/>
        <v>4231.9984062175208</v>
      </c>
      <c r="P36" s="17">
        <f t="shared" si="47"/>
        <v>4391.87</v>
      </c>
      <c r="R36" s="23">
        <f t="shared" si="45"/>
        <v>1.0532407402934041E-2</v>
      </c>
      <c r="S36" s="8" t="str">
        <f t="shared" si="45"/>
        <v>45  Sc ( ISTD )  [ He ] :  ISTD Recovery Percent value = 294.14 is outside the allowed range [80.00, 120.00]103  Rh ( ISTD )  [ He ] :  ISTD Recovery Percent value = 306.45 is outside the allowed range [80.00, 120.00]</v>
      </c>
      <c r="T36" s="8" t="b">
        <f t="shared" si="45"/>
        <v>0</v>
      </c>
      <c r="U36" s="8" t="str">
        <f t="shared" si="45"/>
        <v>010CALS.d</v>
      </c>
      <c r="V36" s="11">
        <f t="shared" si="45"/>
        <v>45246.490717592591</v>
      </c>
      <c r="W36" s="8" t="str">
        <f t="shared" si="45"/>
        <v>CalStd</v>
      </c>
      <c r="X36" s="8">
        <f t="shared" si="45"/>
        <v>7</v>
      </c>
      <c r="Y36" s="8" t="str">
        <f t="shared" si="45"/>
        <v>100 ppb m16 + Al</v>
      </c>
      <c r="Z36" s="17">
        <f t="shared" si="45"/>
        <v>38979.96</v>
      </c>
      <c r="AA36" s="8">
        <f t="shared" si="45"/>
        <v>4.0999999999999996</v>
      </c>
      <c r="AB36" s="8">
        <f>'Calibration Std'!J$8</f>
        <v>100</v>
      </c>
    </row>
    <row r="37" spans="1:43" x14ac:dyDescent="0.25">
      <c r="A37" s="23">
        <f>Alex_ITSD_count_data!A37</f>
        <v>5.1493055550963618E-2</v>
      </c>
      <c r="B37" s="8" t="str">
        <f>Alex_ITSD_count_data!B37</f>
        <v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v>
      </c>
      <c r="C37" s="8" t="b">
        <f>Alex_ITSD_count_data!C37</f>
        <v>0</v>
      </c>
      <c r="D37" s="8" t="str">
        <f>Alex_ITSD_count_data!D37</f>
        <v>035SMPL.d</v>
      </c>
      <c r="E37" s="11">
        <f>Alex_ITSD_count_data!E37</f>
        <v>45246.531678240739</v>
      </c>
      <c r="F37" s="8" t="str">
        <f>Alex_ITSD_count_data!F37</f>
        <v>Sample</v>
      </c>
      <c r="G37" s="8">
        <f>Alex_ITSD_count_data!G37</f>
        <v>0</v>
      </c>
      <c r="H37" s="8" t="str">
        <f>Alex_ITSD_count_data!H37</f>
        <v>20-70-T</v>
      </c>
      <c r="I37" s="17">
        <f>Alex_ITSD_count_data!O37</f>
        <v>310379.21999999997</v>
      </c>
      <c r="J37" s="17">
        <f>Alex_ITSD_count_data!P37</f>
        <v>0.5</v>
      </c>
      <c r="K37" s="47">
        <f t="shared" si="18"/>
        <v>307581.85453070025</v>
      </c>
      <c r="L37" s="17">
        <f t="shared" si="20"/>
        <v>795.02249884729963</v>
      </c>
      <c r="M37" s="17">
        <f>[2]Alex_MS_FE_AL_data!N39</f>
        <v>834.15099999999995</v>
      </c>
      <c r="N37" s="8">
        <v>5</v>
      </c>
      <c r="O37" s="17">
        <f t="shared" si="46"/>
        <v>3975.1124942364982</v>
      </c>
      <c r="P37" s="17">
        <f t="shared" si="47"/>
        <v>4170.7550000000001</v>
      </c>
      <c r="R37" s="23">
        <f t="shared" si="45"/>
        <v>1.1689814811688848E-2</v>
      </c>
      <c r="S37" s="8" t="str">
        <f t="shared" si="45"/>
        <v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v>
      </c>
      <c r="T37" s="8" t="b">
        <f t="shared" si="45"/>
        <v>0</v>
      </c>
      <c r="U37" s="8" t="str">
        <f t="shared" si="45"/>
        <v>011CALS.d</v>
      </c>
      <c r="V37" s="11">
        <f t="shared" si="45"/>
        <v>45246.491875</v>
      </c>
      <c r="W37" s="8" t="str">
        <f t="shared" si="45"/>
        <v>CalStd</v>
      </c>
      <c r="X37" s="8">
        <f t="shared" si="45"/>
        <v>8</v>
      </c>
      <c r="Y37" s="8" t="str">
        <f t="shared" si="45"/>
        <v>500 ppb m16 + Al</v>
      </c>
      <c r="Z37" s="17">
        <f t="shared" si="45"/>
        <v>188359.97</v>
      </c>
      <c r="AA37" s="8">
        <f t="shared" si="45"/>
        <v>1.1000000000000001</v>
      </c>
      <c r="AB37" s="8">
        <f>'Calibration Std'!K$8</f>
        <v>500</v>
      </c>
    </row>
    <row r="38" spans="1:43" x14ac:dyDescent="0.25">
      <c r="A38" s="23">
        <f>Alex_ITSD_count_data!A38</f>
        <v>5.2627314813435078E-2</v>
      </c>
      <c r="B38" s="8" t="str">
        <f>Alex_ITSD_count_data!B38</f>
        <v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v>
      </c>
      <c r="C38" s="8" t="b">
        <f>Alex_ITSD_count_data!C38</f>
        <v>0</v>
      </c>
      <c r="D38" s="8" t="str">
        <f>Alex_ITSD_count_data!D38</f>
        <v>036SMPL.d</v>
      </c>
      <c r="E38" s="11">
        <f>Alex_ITSD_count_data!E38</f>
        <v>45246.532812500001</v>
      </c>
      <c r="F38" s="8" t="str">
        <f>Alex_ITSD_count_data!F38</f>
        <v>Sample</v>
      </c>
      <c r="G38" s="8">
        <f>Alex_ITSD_count_data!G38</f>
        <v>0</v>
      </c>
      <c r="H38" s="8" t="str">
        <f>Alex_ITSD_count_data!H38</f>
        <v>20-60-T</v>
      </c>
      <c r="I38" s="17">
        <f>Alex_ITSD_count_data!O38</f>
        <v>289814.81</v>
      </c>
      <c r="J38" s="17">
        <f>Alex_ITSD_count_data!P38</f>
        <v>0.6</v>
      </c>
      <c r="K38" s="47">
        <f t="shared" si="18"/>
        <v>286955.82578114036</v>
      </c>
      <c r="L38" s="17">
        <f t="shared" si="20"/>
        <v>730.57770610921818</v>
      </c>
      <c r="M38" s="17">
        <f>[2]Alex_MS_FE_AL_data!N40</f>
        <v>778.68</v>
      </c>
      <c r="N38" s="8">
        <v>5</v>
      </c>
      <c r="O38" s="17">
        <f t="shared" si="46"/>
        <v>3652.8885305460908</v>
      </c>
      <c r="P38" s="17">
        <f t="shared" si="47"/>
        <v>3893.3999999999996</v>
      </c>
      <c r="R38" s="23">
        <f t="shared" si="45"/>
        <v>1.2847222220443655E-2</v>
      </c>
      <c r="S38" s="8" t="str">
        <f t="shared" si="45"/>
        <v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v>
      </c>
      <c r="T38" s="8" t="b">
        <f t="shared" si="45"/>
        <v>0</v>
      </c>
      <c r="U38" s="8" t="str">
        <f t="shared" si="45"/>
        <v>012CALS.d</v>
      </c>
      <c r="V38" s="11">
        <f t="shared" si="45"/>
        <v>45246.493032407408</v>
      </c>
      <c r="W38" s="8" t="str">
        <f t="shared" si="45"/>
        <v>CalStd</v>
      </c>
      <c r="X38" s="8">
        <f t="shared" si="45"/>
        <v>9</v>
      </c>
      <c r="Y38" s="8" t="str">
        <f t="shared" si="45"/>
        <v>1000 ppb m16 + Al</v>
      </c>
      <c r="Z38" s="17">
        <f t="shared" si="45"/>
        <v>368734.71999999997</v>
      </c>
      <c r="AA38" s="8">
        <f t="shared" si="45"/>
        <v>2.4</v>
      </c>
      <c r="AB38" s="8">
        <f>'Calibration Std'!L$8</f>
        <v>1000</v>
      </c>
    </row>
    <row r="39" spans="1:43" x14ac:dyDescent="0.25">
      <c r="A39" s="23">
        <f>Alex_ITSD_count_data!A39</f>
        <v>6.2395833330811001E-2</v>
      </c>
      <c r="B39" s="8" t="str">
        <f>Alex_ITSD_count_data!B39</f>
        <v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v>
      </c>
      <c r="C39" s="8" t="b">
        <f>Alex_ITSD_count_data!C39</f>
        <v>0</v>
      </c>
      <c r="D39" s="8" t="str">
        <f>Alex_ITSD_count_data!D39</f>
        <v>037SMPL.d</v>
      </c>
      <c r="E39" s="11">
        <f>Alex_ITSD_count_data!E39</f>
        <v>45246.542581018519</v>
      </c>
      <c r="F39" s="8" t="str">
        <f>Alex_ITSD_count_data!F39</f>
        <v>Sample</v>
      </c>
      <c r="G39" s="8">
        <f>Alex_ITSD_count_data!G39</f>
        <v>0</v>
      </c>
      <c r="H39" s="8" t="str">
        <f>Alex_ITSD_count_data!H39</f>
        <v>20-90-B</v>
      </c>
      <c r="I39" s="17">
        <f>Alex_ITSD_count_data!O39</f>
        <v>137848.43</v>
      </c>
      <c r="J39" s="17">
        <f>Alex_ITSD_count_data!P39</f>
        <v>1.9</v>
      </c>
      <c r="K39" s="47">
        <f t="shared" si="18"/>
        <v>134458.77002118906</v>
      </c>
      <c r="L39" s="17">
        <f t="shared" si="20"/>
        <v>254.3451342894312</v>
      </c>
      <c r="M39" s="17">
        <f>[2]Alex_MS_FE_AL_data!N41</f>
        <v>368.76100000000002</v>
      </c>
      <c r="N39" s="8">
        <v>5</v>
      </c>
      <c r="O39" s="17">
        <f t="shared" si="46"/>
        <v>1271.7256714471559</v>
      </c>
      <c r="P39" s="17">
        <f t="shared" si="47"/>
        <v>1843.8050000000001</v>
      </c>
      <c r="R39" s="23">
        <f t="shared" ref="R39:AA40" si="48">A82</f>
        <v>0.11520833332906477</v>
      </c>
      <c r="S39" s="8" t="str">
        <f t="shared" si="48"/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T39" s="8" t="b">
        <f t="shared" si="48"/>
        <v>0</v>
      </c>
      <c r="U39" s="8" t="str">
        <f t="shared" si="48"/>
        <v>080SMPL.d</v>
      </c>
      <c r="V39" s="11">
        <f t="shared" si="48"/>
        <v>45246.595393518517</v>
      </c>
      <c r="W39" s="8" t="str">
        <f t="shared" si="48"/>
        <v>CalStd</v>
      </c>
      <c r="X39" s="8">
        <f t="shared" si="48"/>
        <v>10</v>
      </c>
      <c r="Y39" s="8" t="str">
        <f t="shared" si="48"/>
        <v>level 10 m6</v>
      </c>
      <c r="Z39" s="17">
        <f t="shared" si="48"/>
        <v>3708582.55</v>
      </c>
      <c r="AA39" s="8">
        <f t="shared" si="48"/>
        <v>1.1000000000000001</v>
      </c>
      <c r="AB39" s="8">
        <f>'Calibration Std'!M$8</f>
        <v>10000</v>
      </c>
    </row>
    <row r="40" spans="1:43" x14ac:dyDescent="0.25">
      <c r="A40" s="23">
        <f>Alex_ITSD_count_data!A40</f>
        <v>6.3530092593282461E-2</v>
      </c>
      <c r="B40" s="8" t="str">
        <f>Alex_ITSD_count_data!B40</f>
        <v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v>
      </c>
      <c r="C40" s="8" t="b">
        <f>Alex_ITSD_count_data!C40</f>
        <v>0</v>
      </c>
      <c r="D40" s="8" t="str">
        <f>Alex_ITSD_count_data!D40</f>
        <v>038SMPL.d</v>
      </c>
      <c r="E40" s="11">
        <f>Alex_ITSD_count_data!E40</f>
        <v>45246.543715277781</v>
      </c>
      <c r="F40" s="8" t="str">
        <f>Alex_ITSD_count_data!F40</f>
        <v>Sample</v>
      </c>
      <c r="G40" s="8">
        <f>Alex_ITSD_count_data!G40</f>
        <v>0</v>
      </c>
      <c r="H40" s="40" t="str">
        <f>Alex_ITSD_count_data!H40</f>
        <v xml:space="preserve">blk </v>
      </c>
      <c r="I40" s="43">
        <f>Alex_ITSD_count_data!O40</f>
        <v>2033.54</v>
      </c>
      <c r="J40" s="43">
        <f>Alex_ITSD_count_data!P40</f>
        <v>6.6</v>
      </c>
      <c r="K40" s="48">
        <f t="shared" si="18"/>
        <v>-1417.7387283708795</v>
      </c>
      <c r="L40" s="43">
        <f t="shared" si="20"/>
        <v>-171.2718630761799</v>
      </c>
      <c r="M40" s="43">
        <f>[2]Alex_MS_FE_AL_data!N42</f>
        <v>2.41</v>
      </c>
      <c r="N40" s="8"/>
      <c r="O40" s="17"/>
      <c r="P40" s="17"/>
      <c r="R40" s="23">
        <f t="shared" si="48"/>
        <v>0.11633101851475658</v>
      </c>
      <c r="S40" s="8" t="str">
        <f t="shared" si="48"/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T40" s="8" t="b">
        <f t="shared" si="48"/>
        <v>0</v>
      </c>
      <c r="U40" s="8" t="str">
        <f t="shared" si="48"/>
        <v>081SMPL.d</v>
      </c>
      <c r="V40" s="11">
        <f t="shared" si="48"/>
        <v>45246.596516203703</v>
      </c>
      <c r="W40" s="8" t="str">
        <f t="shared" si="48"/>
        <v>CalStd</v>
      </c>
      <c r="X40" s="8">
        <f t="shared" si="48"/>
        <v>11</v>
      </c>
      <c r="Y40" s="8" t="str">
        <f t="shared" si="48"/>
        <v>level 11 m6</v>
      </c>
      <c r="Z40" s="17">
        <f t="shared" si="48"/>
        <v>31921012.02</v>
      </c>
      <c r="AA40" s="8">
        <f t="shared" si="48"/>
        <v>0.5</v>
      </c>
      <c r="AB40" s="8">
        <f>'Calibration Std'!N$8</f>
        <v>100000</v>
      </c>
    </row>
    <row r="41" spans="1:43" x14ac:dyDescent="0.25">
      <c r="A41" s="23">
        <f>Alex_ITSD_count_data!A41</f>
        <v>6.4664351848477963E-2</v>
      </c>
      <c r="B41" s="8" t="str">
        <f>Alex_ITSD_count_data!B41</f>
        <v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v>
      </c>
      <c r="C41" s="8" t="b">
        <f>Alex_ITSD_count_data!C41</f>
        <v>0</v>
      </c>
      <c r="D41" s="8" t="str">
        <f>Alex_ITSD_count_data!D41</f>
        <v>039SMPL.d</v>
      </c>
      <c r="E41" s="11">
        <f>Alex_ITSD_count_data!E41</f>
        <v>45246.544849537036</v>
      </c>
      <c r="F41" s="8" t="str">
        <f>Alex_ITSD_count_data!F41</f>
        <v>Sample</v>
      </c>
      <c r="G41" s="8">
        <f>Alex_ITSD_count_data!G41</f>
        <v>0</v>
      </c>
      <c r="H41" s="8" t="str">
        <f>Alex_ITSD_count_data!H41</f>
        <v>100 ppb check</v>
      </c>
      <c r="I41" s="17">
        <f>Alex_ITSD_count_data!O41</f>
        <v>40410.629999999997</v>
      </c>
      <c r="J41" s="17">
        <f>Alex_ITSD_count_data!P41</f>
        <v>3.5</v>
      </c>
      <c r="K41" s="47">
        <f t="shared" si="18"/>
        <v>36897.732522464445</v>
      </c>
      <c r="L41" s="17">
        <f t="shared" si="20"/>
        <v>-51.005655052672175</v>
      </c>
      <c r="M41" s="17">
        <f>[2]Alex_MS_FE_AL_data!N43</f>
        <v>105.93</v>
      </c>
      <c r="N41" s="8"/>
      <c r="O41" s="17"/>
      <c r="P41" s="17"/>
      <c r="R41"/>
      <c r="V41"/>
    </row>
    <row r="42" spans="1:43" x14ac:dyDescent="0.25">
      <c r="A42" s="23">
        <f>Alex_ITSD_count_data!A42</f>
        <v>6.5787037034169771E-2</v>
      </c>
      <c r="B42" s="8" t="str">
        <f>Alex_ITSD_count_data!B42</f>
        <v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v>
      </c>
      <c r="C42" s="8" t="b">
        <f>Alex_ITSD_count_data!C42</f>
        <v>0</v>
      </c>
      <c r="D42" s="8" t="str">
        <f>Alex_ITSD_count_data!D42</f>
        <v>040SMPL.d</v>
      </c>
      <c r="E42" s="11">
        <f>Alex_ITSD_count_data!E42</f>
        <v>45246.545972222222</v>
      </c>
      <c r="F42" s="8" t="str">
        <f>Alex_ITSD_count_data!F42</f>
        <v>Sample</v>
      </c>
      <c r="G42" s="8">
        <f>Alex_ITSD_count_data!G42</f>
        <v>0</v>
      </c>
      <c r="H42" s="8" t="str">
        <f>Alex_ITSD_count_data!H42</f>
        <v>0-50-B</v>
      </c>
      <c r="I42" s="17">
        <f>Alex_ITSD_count_data!O42</f>
        <v>85446.6</v>
      </c>
      <c r="J42" s="17">
        <f>Alex_ITSD_count_data!P42</f>
        <v>0.3</v>
      </c>
      <c r="K42" s="47">
        <f t="shared" si="18"/>
        <v>81872.712535800325</v>
      </c>
      <c r="L42" s="17">
        <f t="shared" si="20"/>
        <v>90.128165582515507</v>
      </c>
      <c r="M42" s="17">
        <f>[2]Alex_MS_FE_AL_data!N44</f>
        <v>227.411</v>
      </c>
      <c r="N42" s="8">
        <v>5</v>
      </c>
      <c r="O42" s="17">
        <f>IF(L42 &lt; $S$44, "NA", N42*L42)</f>
        <v>450.64082791257755</v>
      </c>
      <c r="P42" s="17">
        <f>IF(M42 &lt; $S$45, "NA", N42*M42)</f>
        <v>1137.0550000000001</v>
      </c>
      <c r="Q42" s="2" t="s">
        <v>322</v>
      </c>
      <c r="R42" s="3"/>
      <c r="S42" s="50" t="s">
        <v>323</v>
      </c>
      <c r="T42" s="51" t="s">
        <v>324</v>
      </c>
      <c r="V42"/>
    </row>
    <row r="43" spans="1:43" x14ac:dyDescent="0.25">
      <c r="A43" s="23">
        <f>Alex_ITSD_count_data!A43</f>
        <v>6.6979166665987577E-2</v>
      </c>
      <c r="B43" s="8" t="str">
        <f>Alex_ITSD_count_data!B43</f>
        <v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v>
      </c>
      <c r="C43" s="8" t="b">
        <f>Alex_ITSD_count_data!C43</f>
        <v>0</v>
      </c>
      <c r="D43" s="8" t="str">
        <f>Alex_ITSD_count_data!D43</f>
        <v>041SMPL.d</v>
      </c>
      <c r="E43" s="11">
        <f>Alex_ITSD_count_data!E43</f>
        <v>45246.547164351854</v>
      </c>
      <c r="F43" s="8" t="str">
        <f>Alex_ITSD_count_data!F43</f>
        <v>Sample</v>
      </c>
      <c r="G43" s="8">
        <f>Alex_ITSD_count_data!G43</f>
        <v>0</v>
      </c>
      <c r="H43" s="8" t="str">
        <f>Alex_ITSD_count_data!H43</f>
        <v>0-90-B</v>
      </c>
      <c r="I43" s="17">
        <f>Alex_ITSD_count_data!O43</f>
        <v>4026003.07</v>
      </c>
      <c r="J43" s="17">
        <f>Alex_ITSD_count_data!P43</f>
        <v>3</v>
      </c>
      <c r="K43" s="47">
        <f t="shared" si="18"/>
        <v>4022364.4199725515</v>
      </c>
      <c r="L43" s="17">
        <f t="shared" si="20"/>
        <v>12439.052592874927</v>
      </c>
      <c r="M43" s="17">
        <f>[2]Alex_MS_FE_AL_data!N45</f>
        <v>10856.787</v>
      </c>
      <c r="N43" s="8">
        <v>5</v>
      </c>
      <c r="O43" s="17">
        <f t="shared" ref="O43:O51" si="49">IF(L43 &lt; $S$44, "NA", N43*L43)</f>
        <v>62195.262964374633</v>
      </c>
      <c r="P43" s="17">
        <f t="shared" ref="P43:P51" si="50">IF(M43 &lt; $S$45, "NA", N43*M43)</f>
        <v>54283.934999999998</v>
      </c>
      <c r="R43" s="41" t="s">
        <v>15</v>
      </c>
      <c r="S43" s="8">
        <f xml:space="preserve"> AVERAGE($Z$15:$Z$24)+3*STDEV($Z$15:$Z$24)</f>
        <v>8171.2299008623831</v>
      </c>
      <c r="T43" s="17">
        <f xml:space="preserve"> AVERAGE($Z$15:$Z$24)+10*STDEV($Z$15:$Z$24)</f>
        <v>20457.170002874616</v>
      </c>
    </row>
    <row r="44" spans="1:43" x14ac:dyDescent="0.25">
      <c r="A44" s="23">
        <f>Alex_ITSD_count_data!A44</f>
        <v>6.8229166667151731E-2</v>
      </c>
      <c r="B44" s="8" t="str">
        <f>Alex_ITSD_count_data!B44</f>
        <v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v>
      </c>
      <c r="C44" s="8" t="b">
        <f>Alex_ITSD_count_data!C44</f>
        <v>0</v>
      </c>
      <c r="D44" s="8" t="str">
        <f>Alex_ITSD_count_data!D44</f>
        <v>042SMPL.d</v>
      </c>
      <c r="E44" s="11">
        <f>Alex_ITSD_count_data!E44</f>
        <v>45246.548414351855</v>
      </c>
      <c r="F44" s="8" t="str">
        <f>Alex_ITSD_count_data!F44</f>
        <v>Sample</v>
      </c>
      <c r="G44" s="8">
        <f>Alex_ITSD_count_data!G44</f>
        <v>0</v>
      </c>
      <c r="H44" s="8" t="str">
        <f>Alex_ITSD_count_data!H44</f>
        <v>20-40-T</v>
      </c>
      <c r="I44" s="17">
        <f>Alex_ITSD_count_data!O44</f>
        <v>352097.82</v>
      </c>
      <c r="J44" s="17">
        <f>Alex_ITSD_count_data!P44</f>
        <v>0.7</v>
      </c>
      <c r="K44" s="47">
        <f t="shared" si="18"/>
        <v>348391.26359561487</v>
      </c>
      <c r="L44" s="17">
        <f t="shared" si="20"/>
        <v>925.76033816887184</v>
      </c>
      <c r="M44" s="17">
        <f>[2]Alex_MS_FE_AL_data!N46</f>
        <v>946.68399999999997</v>
      </c>
      <c r="N44" s="8">
        <v>5</v>
      </c>
      <c r="O44" s="17">
        <f t="shared" si="49"/>
        <v>4628.8016908443587</v>
      </c>
      <c r="P44" s="17">
        <f t="shared" si="50"/>
        <v>4733.42</v>
      </c>
      <c r="R44" s="41" t="s">
        <v>326</v>
      </c>
      <c r="S44" s="17">
        <f xml:space="preserve"> AVERAGE($L$15,$L$17,$L$28,$L$40,$L$52,$L$64,$L$80,$L$84:$L$86)+3*STDEV($L$15,$L$17,$L$28,$L$40,$L$52,$L$64,$L$80,$L$84:$L$86)</f>
        <v>-152.03755712956178</v>
      </c>
      <c r="T44" s="17">
        <f xml:space="preserve"> AVERAGE($L$15,$L$17,$L$28,$L$40,$L$52,$L$64,$L$80,$L$84:$L$86)+10*STDEV($L$15,$L$17,$L$28,$L$40,$L$52,$L$64,$L$80,$L$84:$L$86)</f>
        <v>-113.53585134434047</v>
      </c>
    </row>
    <row r="45" spans="1:43" x14ac:dyDescent="0.25">
      <c r="A45" s="23">
        <f>Alex_ITSD_count_data!A45</f>
        <v>6.9363425922347233E-2</v>
      </c>
      <c r="B45" s="8" t="str">
        <f>Alex_ITSD_count_data!B45</f>
        <v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v>
      </c>
      <c r="C45" s="8" t="b">
        <f>Alex_ITSD_count_data!C45</f>
        <v>0</v>
      </c>
      <c r="D45" s="8" t="str">
        <f>Alex_ITSD_count_data!D45</f>
        <v>043SMPL.d</v>
      </c>
      <c r="E45" s="11">
        <f>Alex_ITSD_count_data!E45</f>
        <v>45246.54954861111</v>
      </c>
      <c r="F45" s="8" t="str">
        <f>Alex_ITSD_count_data!F45</f>
        <v>Sample</v>
      </c>
      <c r="G45" s="8">
        <f>Alex_ITSD_count_data!G45</f>
        <v>0</v>
      </c>
      <c r="H45" s="8" t="str">
        <f>Alex_ITSD_count_data!H45</f>
        <v>20-20-T</v>
      </c>
      <c r="I45" s="17">
        <f>Alex_ITSD_count_data!O45</f>
        <v>616591.14</v>
      </c>
      <c r="J45" s="17">
        <f>Alex_ITSD_count_data!P45</f>
        <v>19.600000000000001</v>
      </c>
      <c r="K45" s="47">
        <f t="shared" si="18"/>
        <v>612822.96484645025</v>
      </c>
      <c r="L45" s="17">
        <f t="shared" si="20"/>
        <v>1754.630079046781</v>
      </c>
      <c r="M45" s="17">
        <f>[2]Alex_MS_FE_AL_data!N47</f>
        <v>1660.136</v>
      </c>
      <c r="N45" s="8">
        <v>5</v>
      </c>
      <c r="O45" s="17">
        <f t="shared" si="49"/>
        <v>8773.1503952339044</v>
      </c>
      <c r="P45" s="17">
        <f t="shared" si="50"/>
        <v>8300.68</v>
      </c>
      <c r="R45" s="41" t="s">
        <v>328</v>
      </c>
      <c r="S45" s="17">
        <f xml:space="preserve"> AVERAGE($M$15,$M$17,$M$28,$M$40,$M$52,$M$64,$M$80,$M$84:$M$86)+3*STDEV($M$15,$M$17,$M$28,$M$40,$M$52,$M$64,$M$80,$M$84:$M$86)</f>
        <v>18.001881064349952</v>
      </c>
      <c r="T45" s="17">
        <f xml:space="preserve"> AVERAGE($M$15,$M$17,$M$28,$M$40,$M$52,$M$64,$M$80,$M$84:$M$86)+10*STDEV($M$15,$M$17,$M$28,$M$40,$M$52,$M$64,$M$80,$M$84:$M$86)</f>
        <v>45.290811881166505</v>
      </c>
    </row>
    <row r="46" spans="1:43" x14ac:dyDescent="0.25">
      <c r="A46" s="23">
        <f>Alex_ITSD_count_data!A46</f>
        <v>7.0555555554165039E-2</v>
      </c>
      <c r="B46" s="8" t="str">
        <f>Alex_ITSD_count_data!B46</f>
        <v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v>
      </c>
      <c r="C46" s="8" t="b">
        <f>Alex_ITSD_count_data!C46</f>
        <v>0</v>
      </c>
      <c r="D46" s="8" t="str">
        <f>Alex_ITSD_count_data!D46</f>
        <v>044SMPL.d</v>
      </c>
      <c r="E46" s="11">
        <f>Alex_ITSD_count_data!E46</f>
        <v>45246.550740740742</v>
      </c>
      <c r="F46" s="8" t="str">
        <f>Alex_ITSD_count_data!F46</f>
        <v>Sample</v>
      </c>
      <c r="G46" s="8">
        <f>Alex_ITSD_count_data!G46</f>
        <v>0</v>
      </c>
      <c r="H46" s="8" t="str">
        <f>Alex_ITSD_count_data!H46</f>
        <v>20-100-B</v>
      </c>
      <c r="I46" s="17">
        <f>Alex_ITSD_count_data!O46</f>
        <v>170043.4</v>
      </c>
      <c r="J46" s="17">
        <f>Alex_ITSD_count_data!P46</f>
        <v>0.7</v>
      </c>
      <c r="K46" s="47">
        <f t="shared" si="18"/>
        <v>166210.46228320172</v>
      </c>
      <c r="L46" s="17">
        <f t="shared" si="20"/>
        <v>355.23780122511056</v>
      </c>
      <c r="M46" s="17">
        <f>[2]Alex_MS_FE_AL_data!N48</f>
        <v>455.60500000000002</v>
      </c>
      <c r="N46" s="8">
        <v>5</v>
      </c>
      <c r="O46" s="17">
        <f t="shared" si="49"/>
        <v>1776.1890061255529</v>
      </c>
      <c r="P46" s="17">
        <f t="shared" si="50"/>
        <v>2278.0250000000001</v>
      </c>
    </row>
    <row r="47" spans="1:43" x14ac:dyDescent="0.25">
      <c r="A47" s="23">
        <f>Alex_ITSD_count_data!A47</f>
        <v>7.1689814809360541E-2</v>
      </c>
      <c r="B47" s="8" t="str">
        <f>Alex_ITSD_count_data!B47</f>
        <v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v>
      </c>
      <c r="C47" s="8" t="b">
        <f>Alex_ITSD_count_data!C47</f>
        <v>0</v>
      </c>
      <c r="D47" s="8" t="str">
        <f>Alex_ITSD_count_data!D47</f>
        <v>045SMPL.d</v>
      </c>
      <c r="E47" s="11">
        <f>Alex_ITSD_count_data!E47</f>
        <v>45246.551874999997</v>
      </c>
      <c r="F47" s="8" t="str">
        <f>Alex_ITSD_count_data!F47</f>
        <v>Sample</v>
      </c>
      <c r="G47" s="8">
        <f>Alex_ITSD_count_data!G47</f>
        <v>0</v>
      </c>
      <c r="H47" s="8" t="str">
        <f>Alex_ITSD_count_data!H47</f>
        <v>20-10-B</v>
      </c>
      <c r="I47" s="17">
        <f>Alex_ITSD_count_data!O47</f>
        <v>3182503.29</v>
      </c>
      <c r="J47" s="17">
        <f>Alex_ITSD_count_data!P47</f>
        <v>0.9</v>
      </c>
      <c r="K47" s="47">
        <f t="shared" si="18"/>
        <v>3178608.7335340371</v>
      </c>
      <c r="L47" s="17">
        <f t="shared" si="20"/>
        <v>9795.6911496476532</v>
      </c>
      <c r="M47" s="17">
        <f>[2]Alex_MS_FE_AL_data!N49</f>
        <v>8581.5049999999992</v>
      </c>
      <c r="N47" s="8">
        <v>5</v>
      </c>
      <c r="O47" s="17">
        <f t="shared" si="49"/>
        <v>48978.455748238266</v>
      </c>
      <c r="P47" s="17">
        <f t="shared" si="50"/>
        <v>42907.524999999994</v>
      </c>
    </row>
    <row r="48" spans="1:43" x14ac:dyDescent="0.25">
      <c r="A48" s="23">
        <f>Alex_ITSD_count_data!A48</f>
        <v>7.2789351848769002E-2</v>
      </c>
      <c r="B48" s="8" t="str">
        <f>Alex_ITSD_count_data!B48</f>
        <v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v>
      </c>
      <c r="C48" s="8" t="b">
        <f>Alex_ITSD_count_data!C48</f>
        <v>0</v>
      </c>
      <c r="D48" s="8" t="str">
        <f>Alex_ITSD_count_data!D48</f>
        <v>046SMPL.d</v>
      </c>
      <c r="E48" s="11">
        <f>Alex_ITSD_count_data!E48</f>
        <v>45246.552974537037</v>
      </c>
      <c r="F48" s="8" t="str">
        <f>Alex_ITSD_count_data!F48</f>
        <v>Sample</v>
      </c>
      <c r="G48" s="8">
        <f>Alex_ITSD_count_data!G48</f>
        <v>0</v>
      </c>
      <c r="H48" s="8" t="str">
        <f>Alex_ITSD_count_data!H48</f>
        <v>20-30-T</v>
      </c>
      <c r="I48" s="17">
        <f>Alex_ITSD_count_data!O48</f>
        <v>1035174.78</v>
      </c>
      <c r="J48" s="17">
        <f>Alex_ITSD_count_data!P48</f>
        <v>0.8</v>
      </c>
      <c r="K48" s="47">
        <f t="shared" si="18"/>
        <v>1031220.4910727693</v>
      </c>
      <c r="L48" s="17">
        <f t="shared" si="20"/>
        <v>3066.3883995311398</v>
      </c>
      <c r="M48" s="17">
        <f>[2]Alex_MS_FE_AL_data!N50</f>
        <v>2789.2359999999999</v>
      </c>
      <c r="N48" s="8">
        <v>5</v>
      </c>
      <c r="O48" s="17">
        <f t="shared" si="49"/>
        <v>15331.9419976557</v>
      </c>
      <c r="P48" s="17">
        <f t="shared" si="50"/>
        <v>13946.18</v>
      </c>
    </row>
    <row r="49" spans="1:28" x14ac:dyDescent="0.25">
      <c r="A49" s="23">
        <f>Alex_ITSD_count_data!A49</f>
        <v>7.3923611111240461E-2</v>
      </c>
      <c r="B49" s="8" t="str">
        <f>Alex_ITSD_count_data!B49</f>
        <v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v>
      </c>
      <c r="C49" s="8" t="b">
        <f>Alex_ITSD_count_data!C49</f>
        <v>0</v>
      </c>
      <c r="D49" s="8" t="str">
        <f>Alex_ITSD_count_data!D49</f>
        <v>047SMPL.d</v>
      </c>
      <c r="E49" s="11">
        <f>Alex_ITSD_count_data!E49</f>
        <v>45246.554108796299</v>
      </c>
      <c r="F49" s="8" t="str">
        <f>Alex_ITSD_count_data!F49</f>
        <v>Sample</v>
      </c>
      <c r="G49" s="8">
        <f>Alex_ITSD_count_data!G49</f>
        <v>0</v>
      </c>
      <c r="H49" s="8" t="str">
        <f>Alex_ITSD_count_data!H49</f>
        <v>10-0-T</v>
      </c>
      <c r="I49" s="17">
        <f>Alex_ITSD_count_data!O49</f>
        <v>1473543.36</v>
      </c>
      <c r="J49" s="17">
        <f>Alex_ITSD_count_data!P49</f>
        <v>1.3</v>
      </c>
      <c r="K49" s="47">
        <f t="shared" si="18"/>
        <v>1469527.4523232095</v>
      </c>
      <c r="L49" s="17">
        <f t="shared" si="20"/>
        <v>4440.1488079740338</v>
      </c>
      <c r="M49" s="17">
        <f>[2]Alex_MS_FE_AL_data!N51</f>
        <v>3971.7049999999999</v>
      </c>
      <c r="N49" s="8">
        <v>5</v>
      </c>
      <c r="O49" s="17">
        <f t="shared" si="49"/>
        <v>22200.744039870169</v>
      </c>
      <c r="P49" s="17">
        <f t="shared" si="50"/>
        <v>19858.525000000001</v>
      </c>
      <c r="Q49" s="2" t="s">
        <v>329</v>
      </c>
      <c r="R49" s="10"/>
      <c r="S49" s="7" t="s">
        <v>256</v>
      </c>
      <c r="T49" s="7" t="s">
        <v>339</v>
      </c>
      <c r="U49" s="7" t="s">
        <v>257</v>
      </c>
      <c r="V49" s="7" t="s">
        <v>260</v>
      </c>
      <c r="W49" s="10" t="s">
        <v>345</v>
      </c>
      <c r="X49" s="7" t="s">
        <v>340</v>
      </c>
      <c r="Y49" s="7" t="s">
        <v>341</v>
      </c>
      <c r="Z49" s="7" t="s">
        <v>261</v>
      </c>
      <c r="AA49" s="7" t="s">
        <v>252</v>
      </c>
      <c r="AB49" s="7" t="s">
        <v>346</v>
      </c>
    </row>
    <row r="50" spans="1:28" x14ac:dyDescent="0.25">
      <c r="A50" s="23">
        <f>Alex_ITSD_count_data!A50</f>
        <v>7.5104166666278616E-2</v>
      </c>
      <c r="B50" s="8" t="str">
        <f>Alex_ITSD_count_data!B50</f>
        <v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v>
      </c>
      <c r="C50" s="8" t="b">
        <f>Alex_ITSD_count_data!C50</f>
        <v>0</v>
      </c>
      <c r="D50" s="8" t="str">
        <f>Alex_ITSD_count_data!D50</f>
        <v>048SMPL.d</v>
      </c>
      <c r="E50" s="11">
        <f>Alex_ITSD_count_data!E50</f>
        <v>45246.555289351854</v>
      </c>
      <c r="F50" s="8" t="str">
        <f>Alex_ITSD_count_data!F50</f>
        <v>Sample</v>
      </c>
      <c r="G50" s="8">
        <f>Alex_ITSD_count_data!G50</f>
        <v>0</v>
      </c>
      <c r="H50" s="8" t="str">
        <f>Alex_ITSD_count_data!H50</f>
        <v>10-10-T</v>
      </c>
      <c r="I50" s="17">
        <f>Alex_ITSD_count_data!O50</f>
        <v>2196965.44</v>
      </c>
      <c r="J50" s="17">
        <f>Alex_ITSD_count_data!P50</f>
        <v>0.7</v>
      </c>
      <c r="K50" s="47">
        <f t="shared" si="18"/>
        <v>2192885.3985228566</v>
      </c>
      <c r="L50" s="17">
        <f t="shared" si="20"/>
        <v>6707.2104940497275</v>
      </c>
      <c r="M50" s="17">
        <f>[2]Alex_MS_FE_AL_data!N52</f>
        <v>5923.085</v>
      </c>
      <c r="N50" s="8">
        <v>5</v>
      </c>
      <c r="O50" s="17">
        <f t="shared" si="49"/>
        <v>33536.052470248636</v>
      </c>
      <c r="P50" s="17">
        <f t="shared" si="50"/>
        <v>29615.424999999999</v>
      </c>
      <c r="R50" s="41" t="s">
        <v>330</v>
      </c>
      <c r="S50" s="17">
        <f>AVERAGE(Z3:Z8)</f>
        <v>41795.86</v>
      </c>
      <c r="T50" s="17">
        <f>MEDIAN(Z3:Z8)</f>
        <v>41393.375</v>
      </c>
      <c r="U50" s="17">
        <f>STDEV(Z3:Z8)</f>
        <v>2201.2291911384423</v>
      </c>
      <c r="V50" s="17">
        <f t="shared" ref="V50:V55" si="51">U50/S50*100</f>
        <v>5.2666201655820508</v>
      </c>
      <c r="W50" s="17">
        <f>VAR(Z3:Z8)</f>
        <v>4845409.9519200008</v>
      </c>
      <c r="X50" s="17">
        <f>MAX(Z3:Z8)</f>
        <v>44582.73</v>
      </c>
      <c r="Y50" s="17">
        <f>MIN(Z3:Z8)</f>
        <v>38979.96</v>
      </c>
      <c r="Z50" s="17">
        <f t="shared" ref="Z50:Z55" si="52">X50-Y50</f>
        <v>5602.7700000000041</v>
      </c>
      <c r="AA50" s="17">
        <f>COUNT(Z3:Z8)</f>
        <v>6</v>
      </c>
      <c r="AB50" s="17">
        <f t="shared" ref="AB50:AB55" si="53">U50/SQRT(AA50)</f>
        <v>898.64805420142113</v>
      </c>
    </row>
    <row r="51" spans="1:28" x14ac:dyDescent="0.25">
      <c r="A51" s="23">
        <f>Alex_ITSD_count_data!A51</f>
        <v>7.6238425921474118E-2</v>
      </c>
      <c r="B51" s="8" t="str">
        <f>Alex_ITSD_count_data!B51</f>
        <v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v>
      </c>
      <c r="C51" s="8" t="b">
        <f>Alex_ITSD_count_data!C51</f>
        <v>0</v>
      </c>
      <c r="D51" s="8" t="str">
        <f>Alex_ITSD_count_data!D51</f>
        <v>049SMPL.d</v>
      </c>
      <c r="E51" s="11">
        <f>Alex_ITSD_count_data!E51</f>
        <v>45246.556423611109</v>
      </c>
      <c r="F51" s="8" t="str">
        <f>Alex_ITSD_count_data!F51</f>
        <v>Sample</v>
      </c>
      <c r="G51" s="8">
        <f>Alex_ITSD_count_data!G51</f>
        <v>0</v>
      </c>
      <c r="H51" s="8" t="str">
        <f>Alex_ITSD_count_data!H51</f>
        <v>10-20-T</v>
      </c>
      <c r="I51" s="17">
        <f>Alex_ITSD_count_data!O51</f>
        <v>116349.48</v>
      </c>
      <c r="J51" s="17">
        <f>Alex_ITSD_count_data!P51</f>
        <v>0.6</v>
      </c>
      <c r="K51" s="47">
        <f t="shared" si="18"/>
        <v>112207.819773692</v>
      </c>
      <c r="L51" s="17">
        <f t="shared" si="20"/>
        <v>186.97167806888422</v>
      </c>
      <c r="M51" s="17">
        <f>[2]Alex_MS_FE_AL_data!N53</f>
        <v>310.76900000000001</v>
      </c>
      <c r="N51" s="8">
        <v>5</v>
      </c>
      <c r="O51" s="17">
        <f t="shared" si="49"/>
        <v>934.85839034442108</v>
      </c>
      <c r="P51" s="17">
        <f t="shared" si="50"/>
        <v>1553.845</v>
      </c>
      <c r="R51" s="41" t="s">
        <v>331</v>
      </c>
      <c r="S51" s="17">
        <f>AVERAGE($L$12,$L$29,$L$41,$L$53,$L$65,$L$81)</f>
        <v>-46.664618268997231</v>
      </c>
      <c r="T51" s="17">
        <f>MEDIAN($L$12,$L$29,$L$41,$L$53,$L$65,$L$81)</f>
        <v>-47.925926636472241</v>
      </c>
      <c r="U51" s="17">
        <f>STDEV($L$12,$L$29,$L$41,$L$53,$L$65,$L$81)</f>
        <v>6.8982168217776181</v>
      </c>
      <c r="V51" s="17">
        <f t="shared" si="51"/>
        <v>-14.782542057909891</v>
      </c>
      <c r="W51" s="17">
        <f>VAR($L$12,$L$29,$L$41,$L$53,$L$65,$L$81)</f>
        <v>47.585395320255699</v>
      </c>
      <c r="X51" s="17">
        <f>MAX($L$12,$L$29,$L$41,$L$53,$L$65,$L$81)</f>
        <v>-37.931119007993502</v>
      </c>
      <c r="Y51" s="17">
        <f>MIN($L$12,$L$29,$L$41,$L$53,$L$65,$L$81)</f>
        <v>-55.489091807074125</v>
      </c>
      <c r="Z51" s="17">
        <f t="shared" si="52"/>
        <v>17.557972799080623</v>
      </c>
      <c r="AA51" s="17">
        <f>COUNT($L$12,$L$29,$L$41,$L$53,$L$65,$L$81)</f>
        <v>6</v>
      </c>
      <c r="AB51" s="17">
        <f t="shared" si="53"/>
        <v>2.8161852247397752</v>
      </c>
    </row>
    <row r="52" spans="1:28" x14ac:dyDescent="0.25">
      <c r="A52" s="23">
        <f>Alex_ITSD_count_data!A52</f>
        <v>8.0856481479713693E-2</v>
      </c>
      <c r="B52" s="8" t="str">
        <f>Alex_ITSD_count_data!B52</f>
        <v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v>
      </c>
      <c r="C52" s="8" t="b">
        <f>Alex_ITSD_count_data!C52</f>
        <v>0</v>
      </c>
      <c r="D52" s="8" t="str">
        <f>Alex_ITSD_count_data!D52</f>
        <v>050SMPL.d</v>
      </c>
      <c r="E52" s="11">
        <f>Alex_ITSD_count_data!E52</f>
        <v>45246.561041666668</v>
      </c>
      <c r="F52" s="8" t="str">
        <f>Alex_ITSD_count_data!F52</f>
        <v>Sample</v>
      </c>
      <c r="G52" s="8">
        <f>Alex_ITSD_count_data!G52</f>
        <v>0</v>
      </c>
      <c r="H52" s="40" t="str">
        <f>Alex_ITSD_count_data!H52</f>
        <v xml:space="preserve">blk </v>
      </c>
      <c r="I52" s="43">
        <f>Alex_ITSD_count_data!O52</f>
        <v>2493.63</v>
      </c>
      <c r="J52" s="43">
        <f>Alex_ITSD_count_data!P52</f>
        <v>8.1999999999999993</v>
      </c>
      <c r="K52" s="48">
        <f t="shared" si="18"/>
        <v>-1898.9065632373859</v>
      </c>
      <c r="L52" s="43">
        <f>(I52-$AP$30)*(1/$AO$30)</f>
        <v>-169.83003203454712</v>
      </c>
      <c r="M52" s="43">
        <f>[2]Alex_MS_FE_AL_data!N54</f>
        <v>3.6509999999999998</v>
      </c>
      <c r="N52" s="8"/>
      <c r="O52" s="17"/>
      <c r="P52" s="17"/>
      <c r="R52" s="41" t="s">
        <v>332</v>
      </c>
      <c r="S52" s="17">
        <f>AVERAGE($M$12,$M$29,$M$41,$M$53,$M$65,$M$81)</f>
        <v>109.66583333333335</v>
      </c>
      <c r="T52" s="17">
        <f>MEDIAN($M$12,$M$29,$M$41,$M$53,$M$65,$M$81)</f>
        <v>108.58</v>
      </c>
      <c r="U52" s="17">
        <f>STDEV($M$12,$M$29,$M$41,$M$53,$M$65,$M$81)</f>
        <v>5.9375457359642052</v>
      </c>
      <c r="V52" s="17">
        <f t="shared" si="51"/>
        <v>5.4142165845918626</v>
      </c>
      <c r="W52" s="17">
        <f>VAR($M$12,$M$29,$M$41,$M$53,$M$65,$M$81)</f>
        <v>35.254449366666712</v>
      </c>
      <c r="X52" s="17">
        <f>MAX($M$12,$M$29,$M$41,$M$53,$M$65,$M$81)</f>
        <v>117.18300000000001</v>
      </c>
      <c r="Y52" s="17">
        <f>MIN($M$12,$M$29,$M$41,$M$53,$M$65,$M$81)</f>
        <v>102.07</v>
      </c>
      <c r="Z52" s="17">
        <f t="shared" si="52"/>
        <v>15.113000000000014</v>
      </c>
      <c r="AA52" s="17">
        <f>COUNT($M$12,$M$29,$M$41,$M$53,$M$65,$M$81)</f>
        <v>6</v>
      </c>
      <c r="AB52" s="17">
        <f t="shared" si="53"/>
        <v>2.4239928962583863</v>
      </c>
    </row>
    <row r="53" spans="1:28" x14ac:dyDescent="0.25">
      <c r="A53" s="23">
        <f>Alex_ITSD_count_data!A53</f>
        <v>8.2002314811688848E-2</v>
      </c>
      <c r="B53" s="8" t="str">
        <f>Alex_ITSD_count_data!B53</f>
        <v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v>
      </c>
      <c r="C53" s="8" t="b">
        <f>Alex_ITSD_count_data!C53</f>
        <v>0</v>
      </c>
      <c r="D53" s="8" t="str">
        <f>Alex_ITSD_count_data!D53</f>
        <v>051SMPL.d</v>
      </c>
      <c r="E53" s="11">
        <f>Alex_ITSD_count_data!E53</f>
        <v>45246.5621875</v>
      </c>
      <c r="F53" s="8" t="str">
        <f>Alex_ITSD_count_data!F53</f>
        <v>Sample</v>
      </c>
      <c r="G53" s="8">
        <f>Alex_ITSD_count_data!G53</f>
        <v>0</v>
      </c>
      <c r="H53" s="8" t="str">
        <f>Alex_ITSD_count_data!H53</f>
        <v>100 ppb check</v>
      </c>
      <c r="I53" s="17">
        <f>Alex_ITSD_count_data!O53</f>
        <v>42218.99</v>
      </c>
      <c r="J53" s="17">
        <f>Alex_ITSD_count_data!P53</f>
        <v>2.5</v>
      </c>
      <c r="K53" s="47">
        <f t="shared" si="18"/>
        <v>37764.205924702124</v>
      </c>
      <c r="L53" s="17">
        <f t="shared" si="20"/>
        <v>-45.338612555667048</v>
      </c>
      <c r="M53" s="17">
        <f>[2]Alex_MS_FE_AL_data!N55</f>
        <v>110.807</v>
      </c>
      <c r="N53" s="8"/>
      <c r="O53" s="17"/>
      <c r="P53" s="17"/>
      <c r="R53" s="41" t="s">
        <v>333</v>
      </c>
      <c r="S53" s="17">
        <f>AVERAGE(Z15:Z24)</f>
        <v>2905.8269999999998</v>
      </c>
      <c r="T53" s="17">
        <f>MEDIAN(Z15:Z24)</f>
        <v>2398.6149999999998</v>
      </c>
      <c r="U53" s="17">
        <f>STDEV(Z15:Z24)</f>
        <v>1755.1343002874614</v>
      </c>
      <c r="V53" s="17">
        <f t="shared" si="51"/>
        <v>60.400509056026443</v>
      </c>
      <c r="W53" s="17">
        <f>VAR(Z15:Z24)</f>
        <v>3080496.4120455566</v>
      </c>
      <c r="X53" s="17">
        <f>MAX(Z15:Z24)</f>
        <v>5404.55</v>
      </c>
      <c r="Y53" s="17">
        <f>MIN(Z15:Z24)</f>
        <v>570.04</v>
      </c>
      <c r="Z53" s="17">
        <f t="shared" si="52"/>
        <v>4834.51</v>
      </c>
      <c r="AA53" s="17">
        <f>COUNT(Z15:Z24)</f>
        <v>10</v>
      </c>
      <c r="AB53" s="17">
        <f t="shared" si="53"/>
        <v>555.02219883942985</v>
      </c>
    </row>
    <row r="54" spans="1:28" x14ac:dyDescent="0.25">
      <c r="A54" s="23">
        <f>Alex_ITSD_count_data!A54</f>
        <v>8.3136574074160308E-2</v>
      </c>
      <c r="B54" s="8" t="str">
        <f>Alex_ITSD_count_data!B54</f>
        <v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v>
      </c>
      <c r="C54" s="8" t="b">
        <f>Alex_ITSD_count_data!C54</f>
        <v>0</v>
      </c>
      <c r="D54" s="8" t="str">
        <f>Alex_ITSD_count_data!D54</f>
        <v>052SMPL.d</v>
      </c>
      <c r="E54" s="11">
        <f>Alex_ITSD_count_data!E54</f>
        <v>45246.563321759262</v>
      </c>
      <c r="F54" s="8" t="str">
        <f>Alex_ITSD_count_data!F54</f>
        <v>Sample</v>
      </c>
      <c r="G54" s="8">
        <f>Alex_ITSD_count_data!G54</f>
        <v>0</v>
      </c>
      <c r="H54" s="8" t="str">
        <f>Alex_ITSD_count_data!H54</f>
        <v>10-30-T</v>
      </c>
      <c r="I54" s="17">
        <f>Alex_ITSD_count_data!O54</f>
        <v>500515.96</v>
      </c>
      <c r="J54" s="17">
        <f>Alex_ITSD_count_data!P54</f>
        <v>1.1000000000000001</v>
      </c>
      <c r="K54" s="47">
        <f t="shared" si="18"/>
        <v>495999.55717514222</v>
      </c>
      <c r="L54" s="17">
        <f t="shared" si="20"/>
        <v>1390.8734277674344</v>
      </c>
      <c r="M54" s="17">
        <f>[2]Alex_MS_FE_AL_data!N56</f>
        <v>1347.0319999999999</v>
      </c>
      <c r="N54" s="8">
        <v>5</v>
      </c>
      <c r="O54" s="17">
        <f>IF(L54 &lt; $S$44, "NA", N54*L54)</f>
        <v>6954.3671388371713</v>
      </c>
      <c r="P54" s="17">
        <f>IF(M54 &lt; $S$45, "NA", N54*M54)</f>
        <v>6735.16</v>
      </c>
      <c r="R54" s="41" t="s">
        <v>334</v>
      </c>
      <c r="S54" s="17">
        <f>AVERAGE($L$15,$L$17,$L$28,$L$40,$L$52,$L$64,$L$80,$L$84,$L$85,$L$86)</f>
        <v>-168.53828818037093</v>
      </c>
      <c r="T54" s="17">
        <f>MEDIAN($L$15,$L$17,$L$28,$L$40,$L$52,$L$64,$L$80,$L$84,$L$85,$L$86)</f>
        <v>-170.12779024798522</v>
      </c>
      <c r="U54" s="17">
        <f>STDEV($L$15,$L$17,$L$28,$L$40,$L$52,$L$64,$L$80,$L$84,$L$85,$L$86)</f>
        <v>5.5002436836030464</v>
      </c>
      <c r="V54" s="17">
        <f t="shared" si="51"/>
        <v>-3.2634980116308316</v>
      </c>
      <c r="W54" s="17">
        <f>VAR($L$15,$L$17,$L$28,$L$40,$L$52,$L$64,$L$80,$L$84,$L$85,$L$86)</f>
        <v>30.252680579015209</v>
      </c>
      <c r="X54" s="17">
        <f>MAX($L$15,$L$17,$L$28,$L$40,$L$52,$L$64,$L$80,$L$84,$L$85,$L$86)</f>
        <v>-160.70778461402122</v>
      </c>
      <c r="Y54" s="17">
        <f>MIN($L$15,$L$17,$L$28,$L$40,$L$52,$L$64,$L$80,$L$84,$L$85,$L$86)</f>
        <v>-175.85818255591127</v>
      </c>
      <c r="Z54" s="17">
        <f t="shared" si="52"/>
        <v>15.150397941890049</v>
      </c>
      <c r="AA54" s="17">
        <f>COUNT($L$15,$L$17,$L$28,$L$40,$L$52,$L$64,$L$80,$L$84,$L$85,$L$86)</f>
        <v>10</v>
      </c>
      <c r="AB54" s="17">
        <f t="shared" si="53"/>
        <v>1.7393297726140149</v>
      </c>
    </row>
    <row r="55" spans="1:28" x14ac:dyDescent="0.25">
      <c r="A55" s="23">
        <f>Alex_ITSD_count_data!A55</f>
        <v>8.427083332935581E-2</v>
      </c>
      <c r="B55" s="8" t="str">
        <f>Alex_ITSD_count_data!B55</f>
        <v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v>
      </c>
      <c r="C55" s="8" t="b">
        <f>Alex_ITSD_count_data!C55</f>
        <v>0</v>
      </c>
      <c r="D55" s="8" t="str">
        <f>Alex_ITSD_count_data!D55</f>
        <v>053SMPL.d</v>
      </c>
      <c r="E55" s="11">
        <f>Alex_ITSD_count_data!E55</f>
        <v>45246.564456018517</v>
      </c>
      <c r="F55" s="8" t="str">
        <f>Alex_ITSD_count_data!F55</f>
        <v>Sample</v>
      </c>
      <c r="G55" s="8">
        <f>Alex_ITSD_count_data!G55</f>
        <v>0</v>
      </c>
      <c r="H55" s="8" t="str">
        <f>Alex_ITSD_count_data!H55</f>
        <v>10-40-T</v>
      </c>
      <c r="I55" s="17">
        <f>Alex_ITSD_count_data!O55</f>
        <v>2162279.86</v>
      </c>
      <c r="J55" s="17">
        <f>Alex_ITSD_count_data!P55</f>
        <v>0.2</v>
      </c>
      <c r="K55" s="47">
        <f t="shared" si="18"/>
        <v>2157701.8384259772</v>
      </c>
      <c r="L55" s="17">
        <f t="shared" si="20"/>
        <v>6598.512748084725</v>
      </c>
      <c r="M55" s="17">
        <f>[2]Alex_MS_FE_AL_data!N57</f>
        <v>5829.5240000000003</v>
      </c>
      <c r="N55" s="8">
        <v>5</v>
      </c>
      <c r="O55" s="17">
        <f t="shared" ref="O55:O63" si="54">IF(L55 &lt; $S$44, "NA", N55*L55)</f>
        <v>32992.563740423626</v>
      </c>
      <c r="P55" s="17">
        <f t="shared" ref="P55:P63" si="55">IF(M55 &lt; $S$45, "NA", N55*M55)</f>
        <v>29147.620000000003</v>
      </c>
      <c r="R55" s="41" t="s">
        <v>335</v>
      </c>
      <c r="S55" s="17">
        <f>AVERAGE($M$15,$M$17,$M$28,$M$40,$M$52,$M$64,$M$80,$M$84,$M$85,$M$86)</f>
        <v>6.3066249999999995</v>
      </c>
      <c r="T55" s="17">
        <f>MEDIAN($M$15,$M$17,$M$28,$M$40,$M$52,$M$64,$M$80,$M$84,$M$85,$M$86)</f>
        <v>4.8334999999999999</v>
      </c>
      <c r="U55" s="17">
        <f>STDEV($M$15,$M$17,$M$28,$M$40,$M$52,$M$64,$M$80,$M$84,$M$85,$M$86)</f>
        <v>3.8984186881166512</v>
      </c>
      <c r="V55" s="17">
        <f t="shared" si="51"/>
        <v>61.814658206515396</v>
      </c>
      <c r="W55" s="17">
        <f>VAR($M$15,$M$17,$M$28,$M$40,$M$52,$M$64,$M$80,$M$84,$M$85,$M$86)</f>
        <v>15.19766826785715</v>
      </c>
      <c r="X55" s="17">
        <f>MAX($M$15,$M$17,$M$28,$M$40,$M$52,$M$64,$M$80,$M$84,$M$85,$M$86)</f>
        <v>11.503</v>
      </c>
      <c r="Y55" s="17">
        <f>MIN($M$15,$M$17,$M$28,$M$40,$M$52,$M$64,$M$80,$M$84,$M$85,$M$86)</f>
        <v>2.41</v>
      </c>
      <c r="Z55" s="17">
        <f t="shared" si="52"/>
        <v>9.093</v>
      </c>
      <c r="AA55" s="17">
        <f>COUNT($M$15,$M$17,$M$28,$M$40,$M$52,$M$64,$M$80,$M$84,$M$85,$M$86)</f>
        <v>8</v>
      </c>
      <c r="AB55" s="17">
        <f t="shared" si="53"/>
        <v>1.3782991451358242</v>
      </c>
    </row>
    <row r="56" spans="1:28" x14ac:dyDescent="0.25">
      <c r="A56" s="23">
        <f>Alex_ITSD_count_data!A56</f>
        <v>8.5451388884393964E-2</v>
      </c>
      <c r="B56" s="8" t="str">
        <f>Alex_ITSD_count_data!B56</f>
        <v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v>
      </c>
      <c r="C56" s="8" t="b">
        <f>Alex_ITSD_count_data!C56</f>
        <v>0</v>
      </c>
      <c r="D56" s="8" t="str">
        <f>Alex_ITSD_count_data!D56</f>
        <v>054SMPL.d</v>
      </c>
      <c r="E56" s="11">
        <f>Alex_ITSD_count_data!E56</f>
        <v>45246.565636574072</v>
      </c>
      <c r="F56" s="8" t="str">
        <f>Alex_ITSD_count_data!F56</f>
        <v>Sample</v>
      </c>
      <c r="G56" s="8">
        <f>Alex_ITSD_count_data!G56</f>
        <v>0</v>
      </c>
      <c r="H56" s="8" t="str">
        <f>Alex_ITSD_count_data!H56</f>
        <v>10-50-T</v>
      </c>
      <c r="I56" s="17">
        <f>Alex_ITSD_count_data!O56</f>
        <v>2287865.54</v>
      </c>
      <c r="J56" s="17">
        <f>Alex_ITSD_count_data!P56</f>
        <v>0.2</v>
      </c>
      <c r="K56" s="47">
        <f t="shared" si="18"/>
        <v>2283223.3846256249</v>
      </c>
      <c r="L56" s="17">
        <f t="shared" si="20"/>
        <v>6992.0734249274374</v>
      </c>
      <c r="M56" s="17">
        <f>[2]Alex_MS_FE_AL_data!N58</f>
        <v>6168.2820000000002</v>
      </c>
      <c r="N56" s="8">
        <v>5</v>
      </c>
      <c r="O56" s="17">
        <f t="shared" si="54"/>
        <v>34960.367124637189</v>
      </c>
      <c r="P56" s="17">
        <f t="shared" si="55"/>
        <v>30841.41</v>
      </c>
      <c r="V56"/>
    </row>
    <row r="57" spans="1:28" x14ac:dyDescent="0.25">
      <c r="A57" s="23">
        <f>Alex_ITSD_count_data!A57</f>
        <v>8.6585648146865424E-2</v>
      </c>
      <c r="B57" s="8" t="str">
        <f>Alex_ITSD_count_data!B57</f>
        <v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v>
      </c>
      <c r="C57" s="8" t="b">
        <f>Alex_ITSD_count_data!C57</f>
        <v>0</v>
      </c>
      <c r="D57" s="8" t="str">
        <f>Alex_ITSD_count_data!D57</f>
        <v>055SMPL.d</v>
      </c>
      <c r="E57" s="11">
        <f>Alex_ITSD_count_data!E57</f>
        <v>45246.566770833335</v>
      </c>
      <c r="F57" s="8" t="str">
        <f>Alex_ITSD_count_data!F57</f>
        <v>Sample</v>
      </c>
      <c r="G57" s="8">
        <f>Alex_ITSD_count_data!G57</f>
        <v>0</v>
      </c>
      <c r="H57" s="8" t="str">
        <f>Alex_ITSD_count_data!H57</f>
        <v>10-80-T</v>
      </c>
      <c r="I57" s="17">
        <f>Alex_ITSD_count_data!O57</f>
        <v>676805.02</v>
      </c>
      <c r="J57" s="17">
        <f>Alex_ITSD_count_data!P57</f>
        <v>1.3</v>
      </c>
      <c r="K57" s="47">
        <f t="shared" si="18"/>
        <v>672101.24587606499</v>
      </c>
      <c r="L57" s="17">
        <f t="shared" si="20"/>
        <v>1943.3284670168573</v>
      </c>
      <c r="M57" s="17">
        <f>[2]Alex_MS_FE_AL_data!N59</f>
        <v>1822.559</v>
      </c>
      <c r="N57" s="8">
        <v>5</v>
      </c>
      <c r="O57" s="17">
        <f t="shared" si="54"/>
        <v>9716.642335084287</v>
      </c>
      <c r="P57" s="17">
        <f t="shared" si="55"/>
        <v>9112.7950000000001</v>
      </c>
      <c r="R57" s="11"/>
      <c r="S57" s="7" t="s">
        <v>325</v>
      </c>
      <c r="T57" s="7" t="s">
        <v>338</v>
      </c>
      <c r="U57" s="7" t="s">
        <v>336</v>
      </c>
      <c r="V57" s="7" t="s">
        <v>343</v>
      </c>
      <c r="W57" s="7" t="s">
        <v>344</v>
      </c>
      <c r="X57" s="7" t="s">
        <v>347</v>
      </c>
      <c r="Y57" s="7" t="s">
        <v>348</v>
      </c>
    </row>
    <row r="58" spans="1:28" x14ac:dyDescent="0.25">
      <c r="A58" s="23">
        <f>Alex_ITSD_count_data!A58</f>
        <v>8.7719907402060926E-2</v>
      </c>
      <c r="B58" s="8" t="str">
        <f>Alex_ITSD_count_data!B58</f>
        <v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v>
      </c>
      <c r="C58" s="8" t="b">
        <f>Alex_ITSD_count_data!C58</f>
        <v>0</v>
      </c>
      <c r="D58" s="8" t="str">
        <f>Alex_ITSD_count_data!D58</f>
        <v>056SMPL.d</v>
      </c>
      <c r="E58" s="11">
        <f>Alex_ITSD_count_data!E58</f>
        <v>45246.56790509259</v>
      </c>
      <c r="F58" s="8" t="str">
        <f>Alex_ITSD_count_data!F58</f>
        <v>Sample</v>
      </c>
      <c r="G58" s="8">
        <f>Alex_ITSD_count_data!G58</f>
        <v>0</v>
      </c>
      <c r="H58" s="8" t="str">
        <f>Alex_ITSD_count_data!H58</f>
        <v>10-100-T</v>
      </c>
      <c r="I58" s="17">
        <f>Alex_ITSD_count_data!O58</f>
        <v>537524.24</v>
      </c>
      <c r="J58" s="17">
        <f>Alex_ITSD_count_data!P58</f>
        <v>1</v>
      </c>
      <c r="K58" s="47">
        <f t="shared" si="18"/>
        <v>532758.84712690022</v>
      </c>
      <c r="L58" s="17">
        <f t="shared" si="20"/>
        <v>1506.8500560389425</v>
      </c>
      <c r="M58" s="17">
        <f>[2]Alex_MS_FE_AL_data!N60</f>
        <v>1446.8589999999999</v>
      </c>
      <c r="N58" s="8">
        <v>5</v>
      </c>
      <c r="O58" s="17">
        <f t="shared" si="54"/>
        <v>7534.2502801947121</v>
      </c>
      <c r="P58" s="17">
        <f t="shared" si="55"/>
        <v>7234.2950000000001</v>
      </c>
      <c r="R58" s="41" t="s">
        <v>337</v>
      </c>
      <c r="S58" s="17">
        <f>L16</f>
        <v>-162.52611064868097</v>
      </c>
      <c r="T58" s="17">
        <f>M16</f>
        <v>9.9380000000000006</v>
      </c>
      <c r="U58" s="52">
        <v>99000</v>
      </c>
      <c r="V58" s="52">
        <v>5000</v>
      </c>
      <c r="W58" s="17">
        <f>U58/(100*100)</f>
        <v>9.9</v>
      </c>
      <c r="X58" s="17">
        <f>T58/W58 *100</f>
        <v>100.38383838383839</v>
      </c>
      <c r="Y58" s="17">
        <f>S58/W58 *100</f>
        <v>-1641.6778853402118</v>
      </c>
    </row>
    <row r="59" spans="1:28" x14ac:dyDescent="0.25">
      <c r="A59" s="23">
        <f>Alex_ITSD_count_data!A59</f>
        <v>8.8854166664532386E-2</v>
      </c>
      <c r="B59" s="8" t="str">
        <f>Alex_ITSD_count_data!B59</f>
        <v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v>
      </c>
      <c r="C59" s="8" t="b">
        <f>Alex_ITSD_count_data!C59</f>
        <v>0</v>
      </c>
      <c r="D59" s="8" t="str">
        <f>Alex_ITSD_count_data!D59</f>
        <v>057SMPL.d</v>
      </c>
      <c r="E59" s="11">
        <f>Alex_ITSD_count_data!E59</f>
        <v>45246.569039351853</v>
      </c>
      <c r="F59" s="8" t="str">
        <f>Alex_ITSD_count_data!F59</f>
        <v>Sample</v>
      </c>
      <c r="G59" s="8">
        <f>Alex_ITSD_count_data!G59</f>
        <v>0</v>
      </c>
      <c r="H59" s="8" t="str">
        <f>Alex_ITSD_count_data!H59</f>
        <v>10-90-T</v>
      </c>
      <c r="I59" s="17">
        <f>Alex_ITSD_count_data!O59</f>
        <v>16456.669999999998</v>
      </c>
      <c r="J59" s="17">
        <f>Alex_ITSD_count_data!P59</f>
        <v>3.5</v>
      </c>
      <c r="K59" s="47">
        <f t="shared" si="18"/>
        <v>11629.658377340296</v>
      </c>
      <c r="L59" s="17">
        <f t="shared" si="20"/>
        <v>-126.07262694519407</v>
      </c>
      <c r="M59" s="17">
        <f>[2]Alex_MS_FE_AL_data!N61</f>
        <v>41.314999999999998</v>
      </c>
      <c r="N59" s="8">
        <v>5</v>
      </c>
      <c r="O59" s="17">
        <f t="shared" si="54"/>
        <v>-630.36313472597033</v>
      </c>
      <c r="P59" s="17">
        <f t="shared" si="55"/>
        <v>206.57499999999999</v>
      </c>
      <c r="R59" s="41" t="s">
        <v>342</v>
      </c>
      <c r="S59" s="17">
        <f>S51</f>
        <v>-46.664618268997231</v>
      </c>
      <c r="T59" s="17">
        <f>S52</f>
        <v>109.66583333333335</v>
      </c>
      <c r="U59" s="52">
        <v>99000</v>
      </c>
      <c r="V59" s="52">
        <v>3000</v>
      </c>
      <c r="W59" s="17">
        <f>U59/(100*10)</f>
        <v>99</v>
      </c>
      <c r="X59" s="17">
        <f>T59/W59 *100</f>
        <v>110.77356902356905</v>
      </c>
      <c r="Y59" s="17">
        <f>S59/W59 *100</f>
        <v>-47.135978049492152</v>
      </c>
    </row>
    <row r="60" spans="1:28" x14ac:dyDescent="0.25">
      <c r="A60" s="23">
        <f>Alex_ITSD_count_data!A60</f>
        <v>9.0046296296350192E-2</v>
      </c>
      <c r="B60" s="8" t="str">
        <f>Alex_ITSD_count_data!B60</f>
        <v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v>
      </c>
      <c r="C60" s="8" t="b">
        <f>Alex_ITSD_count_data!C60</f>
        <v>0</v>
      </c>
      <c r="D60" s="8" t="str">
        <f>Alex_ITSD_count_data!D60</f>
        <v>058SMPL.d</v>
      </c>
      <c r="E60" s="11">
        <f>Alex_ITSD_count_data!E60</f>
        <v>45246.570231481484</v>
      </c>
      <c r="F60" s="8" t="str">
        <f>Alex_ITSD_count_data!F60</f>
        <v>Sample</v>
      </c>
      <c r="G60" s="8">
        <f>Alex_ITSD_count_data!G60</f>
        <v>0</v>
      </c>
      <c r="H60" s="8" t="str">
        <f>Alex_ITSD_count_data!H60</f>
        <v>10-60-T</v>
      </c>
      <c r="I60" s="17">
        <f>Alex_ITSD_count_data!O60</f>
        <v>187620.07</v>
      </c>
      <c r="J60" s="17">
        <f>Alex_ITSD_count_data!P60</f>
        <v>0.9</v>
      </c>
      <c r="K60" s="47">
        <f t="shared" si="18"/>
        <v>182728.29581409183</v>
      </c>
      <c r="L60" s="17">
        <f t="shared" si="20"/>
        <v>410.31960785976031</v>
      </c>
      <c r="M60" s="17">
        <f>[2]Alex_MS_FE_AL_data!N62</f>
        <v>503.017</v>
      </c>
      <c r="N60" s="8">
        <v>5</v>
      </c>
      <c r="O60" s="17">
        <f t="shared" si="54"/>
        <v>2051.5980392988017</v>
      </c>
      <c r="P60" s="17">
        <f t="shared" si="55"/>
        <v>2515.085</v>
      </c>
    </row>
    <row r="61" spans="1:28" x14ac:dyDescent="0.25">
      <c r="A61" s="23">
        <f>Alex_ITSD_count_data!A61</f>
        <v>9.1180555551545694E-2</v>
      </c>
      <c r="B61" s="8" t="str">
        <f>Alex_ITSD_count_data!B61</f>
        <v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v>
      </c>
      <c r="C61" s="8" t="b">
        <f>Alex_ITSD_count_data!C61</f>
        <v>0</v>
      </c>
      <c r="D61" s="8" t="str">
        <f>Alex_ITSD_count_data!D61</f>
        <v>059SMPL.d</v>
      </c>
      <c r="E61" s="11">
        <f>Alex_ITSD_count_data!E61</f>
        <v>45246.57136574074</v>
      </c>
      <c r="F61" s="8" t="str">
        <f>Alex_ITSD_count_data!F61</f>
        <v>Sample</v>
      </c>
      <c r="G61" s="8">
        <f>Alex_ITSD_count_data!G61</f>
        <v>0</v>
      </c>
      <c r="H61" s="8" t="str">
        <f>Alex_ITSD_count_data!H61</f>
        <v>10-70-T</v>
      </c>
      <c r="I61" s="17">
        <f>Alex_ITSD_count_data!O61</f>
        <v>2354539.5</v>
      </c>
      <c r="J61" s="17">
        <f>Alex_ITSD_count_data!P61</f>
        <v>3</v>
      </c>
      <c r="K61" s="47">
        <f t="shared" si="18"/>
        <v>2349586.107064927</v>
      </c>
      <c r="L61" s="17">
        <f t="shared" si="20"/>
        <v>7201.0164256372627</v>
      </c>
      <c r="M61" s="17">
        <f>[2]Alex_MS_FE_AL_data!N63</f>
        <v>6348.1310000000003</v>
      </c>
      <c r="N61" s="8">
        <v>5</v>
      </c>
      <c r="O61" s="17">
        <f t="shared" si="54"/>
        <v>36005.082128186317</v>
      </c>
      <c r="P61" s="17">
        <f t="shared" si="55"/>
        <v>31740.655000000002</v>
      </c>
    </row>
    <row r="62" spans="1:28" x14ac:dyDescent="0.25">
      <c r="A62" s="23">
        <f>Alex_ITSD_count_data!A62</f>
        <v>9.2303240737237502E-2</v>
      </c>
      <c r="B62" s="8" t="str">
        <f>Alex_ITSD_count_data!B62</f>
        <v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v>
      </c>
      <c r="C62" s="8" t="b">
        <f>Alex_ITSD_count_data!C62</f>
        <v>0</v>
      </c>
      <c r="D62" s="8" t="str">
        <f>Alex_ITSD_count_data!D62</f>
        <v>060SMPL.d</v>
      </c>
      <c r="E62" s="11">
        <f>Alex_ITSD_count_data!E62</f>
        <v>45246.572488425925</v>
      </c>
      <c r="F62" s="8" t="str">
        <f>Alex_ITSD_count_data!F62</f>
        <v>Sample</v>
      </c>
      <c r="G62" s="8">
        <f>Alex_ITSD_count_data!G62</f>
        <v>0</v>
      </c>
      <c r="H62" s="8" t="str">
        <f>Alex_ITSD_count_data!H62</f>
        <v>10-0-B</v>
      </c>
      <c r="I62" s="17">
        <f>Alex_ITSD_count_data!O62</f>
        <v>488811.88</v>
      </c>
      <c r="J62" s="17">
        <f>Alex_ITSD_count_data!P62</f>
        <v>0.4</v>
      </c>
      <c r="K62" s="47">
        <f t="shared" si="18"/>
        <v>483797.49707826303</v>
      </c>
      <c r="L62" s="17">
        <f t="shared" si="20"/>
        <v>1354.1951564341002</v>
      </c>
      <c r="M62" s="17">
        <f>[2]Alex_MS_FE_AL_data!N64</f>
        <v>1315.461</v>
      </c>
      <c r="N62" s="8">
        <v>5</v>
      </c>
      <c r="O62" s="17">
        <f t="shared" si="54"/>
        <v>6770.9757821705007</v>
      </c>
      <c r="P62" s="17">
        <f t="shared" si="55"/>
        <v>6577.3050000000003</v>
      </c>
    </row>
    <row r="63" spans="1:28" x14ac:dyDescent="0.25">
      <c r="A63" s="23">
        <f>Alex_ITSD_count_data!A63</f>
        <v>9.3425925922929309E-2</v>
      </c>
      <c r="B63" s="8" t="str">
        <f>Alex_ITSD_count_data!B63</f>
        <v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v>
      </c>
      <c r="C63" s="8" t="b">
        <f>Alex_ITSD_count_data!C63</f>
        <v>0</v>
      </c>
      <c r="D63" s="8" t="str">
        <f>Alex_ITSD_count_data!D63</f>
        <v>061SMPL.d</v>
      </c>
      <c r="E63" s="11">
        <f>Alex_ITSD_count_data!E63</f>
        <v>45246.573611111111</v>
      </c>
      <c r="F63" s="8" t="str">
        <f>Alex_ITSD_count_data!F63</f>
        <v>Sample</v>
      </c>
      <c r="G63" s="8">
        <f>Alex_ITSD_count_data!G63</f>
        <v>0</v>
      </c>
      <c r="H63" s="8" t="str">
        <f>Alex_ITSD_count_data!H63</f>
        <v>10-20-B</v>
      </c>
      <c r="I63" s="17">
        <f>Alex_ITSD_count_data!O63</f>
        <v>442528.13</v>
      </c>
      <c r="J63" s="17">
        <f>Alex_ITSD_count_data!P63</f>
        <v>1.2</v>
      </c>
      <c r="K63" s="47">
        <f t="shared" si="18"/>
        <v>437452.75709159888</v>
      </c>
      <c r="L63" s="17">
        <f t="shared" si="20"/>
        <v>1209.1510401238738</v>
      </c>
      <c r="M63" s="17">
        <f>[2]Alex_MS_FE_AL_data!N65</f>
        <v>1190.6130000000001</v>
      </c>
      <c r="N63" s="8">
        <v>5</v>
      </c>
      <c r="O63" s="17">
        <f t="shared" si="54"/>
        <v>6045.7552006193691</v>
      </c>
      <c r="P63" s="17">
        <f t="shared" si="55"/>
        <v>5953.0650000000005</v>
      </c>
    </row>
    <row r="64" spans="1:28" x14ac:dyDescent="0.25">
      <c r="A64" s="23">
        <f>Alex_ITSD_count_data!A64</f>
        <v>9.4606481477967463E-2</v>
      </c>
      <c r="B64" s="8" t="str">
        <f>Alex_ITSD_count_data!B64</f>
        <v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v>
      </c>
      <c r="C64" s="8" t="b">
        <f>Alex_ITSD_count_data!C64</f>
        <v>0</v>
      </c>
      <c r="D64" s="8" t="str">
        <f>Alex_ITSD_count_data!D64</f>
        <v>062SMPL.d</v>
      </c>
      <c r="E64" s="11">
        <f>Alex_ITSD_count_data!E64</f>
        <v>45246.574791666666</v>
      </c>
      <c r="F64" s="8" t="str">
        <f>Alex_ITSD_count_data!F64</f>
        <v>Sample</v>
      </c>
      <c r="G64" s="8">
        <f>Alex_ITSD_count_data!G64</f>
        <v>0</v>
      </c>
      <c r="H64" s="40" t="str">
        <f>Alex_ITSD_count_data!H64</f>
        <v xml:space="preserve">blk </v>
      </c>
      <c r="I64" s="43">
        <f>Alex_ITSD_count_data!O64</f>
        <v>4961.03</v>
      </c>
      <c r="J64" s="43">
        <f>Alex_ITSD_count_data!P64</f>
        <v>8.4</v>
      </c>
      <c r="K64" s="48">
        <f t="shared" si="18"/>
        <v>-178.47670875375934</v>
      </c>
      <c r="L64" s="43">
        <f t="shared" si="20"/>
        <v>-162.09768855365257</v>
      </c>
      <c r="M64" s="43">
        <f>[2]Alex_MS_FE_AL_data!N66</f>
        <v>10.307</v>
      </c>
      <c r="N64" s="8"/>
      <c r="O64" s="17"/>
      <c r="P64" s="17"/>
    </row>
    <row r="65" spans="1:16" x14ac:dyDescent="0.25">
      <c r="A65" s="23">
        <f>Alex_ITSD_count_data!A65</f>
        <v>9.5740740740438923E-2</v>
      </c>
      <c r="B65" s="8" t="str">
        <f>Alex_ITSD_count_data!B65</f>
        <v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v>
      </c>
      <c r="C65" s="8" t="b">
        <f>Alex_ITSD_count_data!C65</f>
        <v>0</v>
      </c>
      <c r="D65" s="8" t="str">
        <f>Alex_ITSD_count_data!D65</f>
        <v>063SMPL.d</v>
      </c>
      <c r="E65" s="11">
        <f>Alex_ITSD_count_data!E65</f>
        <v>45246.575925925928</v>
      </c>
      <c r="F65" s="8" t="str">
        <f>Alex_ITSD_count_data!F65</f>
        <v>Sample</v>
      </c>
      <c r="G65" s="8">
        <f>Alex_ITSD_count_data!G65</f>
        <v>0</v>
      </c>
      <c r="H65" s="8" t="str">
        <f>Alex_ITSD_count_data!H65</f>
        <v>100 ppb check</v>
      </c>
      <c r="I65" s="17">
        <f>Alex_ITSD_count_data!O65</f>
        <v>44582.73</v>
      </c>
      <c r="J65" s="17">
        <f>Alex_ITSD_count_data!P65</f>
        <v>4.3</v>
      </c>
      <c r="K65" s="47">
        <f t="shared" si="18"/>
        <v>39381.604541686305</v>
      </c>
      <c r="L65" s="17">
        <f t="shared" si="20"/>
        <v>-37.931119007993502</v>
      </c>
      <c r="M65" s="17">
        <f>[2]Alex_MS_FE_AL_data!N67</f>
        <v>117.18300000000001</v>
      </c>
      <c r="N65" s="8"/>
      <c r="O65" s="17"/>
      <c r="P65" s="17"/>
    </row>
    <row r="66" spans="1:16" x14ac:dyDescent="0.25">
      <c r="A66" s="23">
        <f>Alex_ITSD_count_data!A66</f>
        <v>9.6874999995634425E-2</v>
      </c>
      <c r="B66" s="8" t="str">
        <f>Alex_ITSD_count_data!B66</f>
        <v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v>
      </c>
      <c r="C66" s="8" t="b">
        <f>Alex_ITSD_count_data!C66</f>
        <v>0</v>
      </c>
      <c r="D66" s="8" t="str">
        <f>Alex_ITSD_count_data!D66</f>
        <v>064SMPL.d</v>
      </c>
      <c r="E66" s="11">
        <f>Alex_ITSD_count_data!E66</f>
        <v>45246.577060185184</v>
      </c>
      <c r="F66" s="8" t="str">
        <f>Alex_ITSD_count_data!F66</f>
        <v>Sample</v>
      </c>
      <c r="G66" s="8">
        <f>Alex_ITSD_count_data!G66</f>
        <v>0</v>
      </c>
      <c r="H66" s="8" t="str">
        <f>Alex_ITSD_count_data!H66</f>
        <v>10-80-B</v>
      </c>
      <c r="I66" s="17">
        <f>Alex_ITSD_count_data!O66</f>
        <v>1708648.57</v>
      </c>
      <c r="J66" s="17">
        <f>Alex_ITSD_count_data!P66</f>
        <v>1.3</v>
      </c>
      <c r="K66" s="47">
        <f t="shared" si="18"/>
        <v>1703385.8257925217</v>
      </c>
      <c r="L66" s="17">
        <f t="shared" si="20"/>
        <v>5176.922025882699</v>
      </c>
      <c r="M66" s="17">
        <f>[2]Alex_MS_FE_AL_data!N68</f>
        <v>4605.8850000000002</v>
      </c>
      <c r="N66" s="8">
        <v>5</v>
      </c>
      <c r="O66" s="17">
        <f>IF(L66 &lt; $S$44, "NA", N66*L66)</f>
        <v>25884.610129413493</v>
      </c>
      <c r="P66" s="17">
        <f>IF(M66 &lt; $S$45, "NA", N66*M66)</f>
        <v>23029.425000000003</v>
      </c>
    </row>
    <row r="67" spans="1:16" x14ac:dyDescent="0.25">
      <c r="A67" s="23">
        <f>Alex_ITSD_count_data!A67</f>
        <v>9.7997685181326233E-2</v>
      </c>
      <c r="B67" s="8" t="str">
        <f>Alex_ITSD_count_data!B67</f>
        <v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v>
      </c>
      <c r="C67" s="8" t="b">
        <f>Alex_ITSD_count_data!C67</f>
        <v>0</v>
      </c>
      <c r="D67" s="8" t="str">
        <f>Alex_ITSD_count_data!D67</f>
        <v>065SMPL.d</v>
      </c>
      <c r="E67" s="11">
        <f>Alex_ITSD_count_data!E67</f>
        <v>45246.578182870369</v>
      </c>
      <c r="F67" s="8" t="str">
        <f>Alex_ITSD_count_data!F67</f>
        <v>Sample</v>
      </c>
      <c r="G67" s="8">
        <f>Alex_ITSD_count_data!G67</f>
        <v>0</v>
      </c>
      <c r="H67" s="8" t="str">
        <f>Alex_ITSD_count_data!H67</f>
        <v>10-90-B</v>
      </c>
      <c r="I67" s="17">
        <f>Alex_ITSD_count_data!O67</f>
        <v>39381.31</v>
      </c>
      <c r="J67" s="17">
        <f>Alex_ITSD_count_data!P67</f>
        <v>1.7</v>
      </c>
      <c r="K67" s="47">
        <f t="shared" si="18"/>
        <v>34057.575805857494</v>
      </c>
      <c r="L67" s="17">
        <f t="shared" si="20"/>
        <v>-54.231340305065125</v>
      </c>
      <c r="M67" s="17">
        <f>[2]Alex_MS_FE_AL_data!N69</f>
        <v>103.15300000000001</v>
      </c>
      <c r="N67" s="8">
        <v>5</v>
      </c>
      <c r="O67" s="17">
        <f t="shared" ref="O67:O75" si="56">IF(L67 &lt; $S$44, "NA", N67*L67)</f>
        <v>-271.15670152532562</v>
      </c>
      <c r="P67" s="17">
        <f t="shared" ref="P67:P75" si="57">IF(M67 &lt; $S$45, "NA", N67*M67)</f>
        <v>515.76499999999999</v>
      </c>
    </row>
    <row r="68" spans="1:16" x14ac:dyDescent="0.25">
      <c r="A68" s="23">
        <f>Alex_ITSD_count_data!A68</f>
        <v>9.9178240736364387E-2</v>
      </c>
      <c r="B68" s="8" t="str">
        <f>Alex_ITSD_count_data!B68</f>
        <v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v>
      </c>
      <c r="C68" s="8" t="b">
        <f>Alex_ITSD_count_data!C68</f>
        <v>0</v>
      </c>
      <c r="D68" s="8" t="str">
        <f>Alex_ITSD_count_data!D68</f>
        <v>066SMPL.d</v>
      </c>
      <c r="E68" s="11">
        <f>Alex_ITSD_count_data!E68</f>
        <v>45246.579363425924</v>
      </c>
      <c r="F68" s="8" t="str">
        <f>Alex_ITSD_count_data!F68</f>
        <v>Sample</v>
      </c>
      <c r="G68" s="8">
        <f>Alex_ITSD_count_data!G68</f>
        <v>0</v>
      </c>
      <c r="H68" s="8" t="str">
        <f>Alex_ITSD_count_data!H68</f>
        <v>10-10-B</v>
      </c>
      <c r="I68" s="17">
        <f>Alex_ITSD_count_data!O68</f>
        <v>1497035.86</v>
      </c>
      <c r="J68" s="17">
        <f>Alex_ITSD_count_data!P68</f>
        <v>1.5</v>
      </c>
      <c r="K68" s="47">
        <f t="shared" si="18"/>
        <v>1491647.9920055049</v>
      </c>
      <c r="L68" s="17">
        <f t="shared" si="20"/>
        <v>4513.7696555159464</v>
      </c>
      <c r="M68" s="17">
        <f>[2]Alex_MS_FE_AL_data!N70</f>
        <v>4035.0740000000001</v>
      </c>
      <c r="N68" s="8">
        <v>5</v>
      </c>
      <c r="O68" s="17">
        <f t="shared" si="56"/>
        <v>22568.848277579731</v>
      </c>
      <c r="P68" s="17">
        <f t="shared" si="57"/>
        <v>20175.37</v>
      </c>
    </row>
    <row r="69" spans="1:16" x14ac:dyDescent="0.25">
      <c r="A69" s="23">
        <f>Alex_ITSD_count_data!A69</f>
        <v>0.10030092592205619</v>
      </c>
      <c r="B69" s="8" t="str">
        <f>Alex_ITSD_count_data!B69</f>
        <v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v>
      </c>
      <c r="C69" s="8" t="b">
        <f>Alex_ITSD_count_data!C69</f>
        <v>0</v>
      </c>
      <c r="D69" s="8" t="str">
        <f>Alex_ITSD_count_data!D69</f>
        <v>067SMPL.d</v>
      </c>
      <c r="E69" s="11">
        <f>Alex_ITSD_count_data!E69</f>
        <v>45246.58048611111</v>
      </c>
      <c r="F69" s="8" t="str">
        <f>Alex_ITSD_count_data!F69</f>
        <v>Sample</v>
      </c>
      <c r="G69" s="8">
        <f>Alex_ITSD_count_data!G69</f>
        <v>0</v>
      </c>
      <c r="H69" s="8" t="str">
        <f>Alex_ITSD_count_data!H69</f>
        <v>10-50-B</v>
      </c>
      <c r="I69" s="17">
        <f>Alex_ITSD_count_data!O69</f>
        <v>960077.72</v>
      </c>
      <c r="J69" s="17">
        <f>Alex_ITSD_count_data!P69</f>
        <v>1.5</v>
      </c>
      <c r="K69" s="47">
        <f t="shared" si="18"/>
        <v>954628.86201884074</v>
      </c>
      <c r="L69" s="17">
        <f t="shared" si="20"/>
        <v>2831.0490697405316</v>
      </c>
      <c r="M69" s="17">
        <f>[2]Alex_MS_FE_AL_data!N71</f>
        <v>2586.6669999999999</v>
      </c>
      <c r="N69" s="8">
        <v>5</v>
      </c>
      <c r="O69" s="17">
        <f t="shared" si="56"/>
        <v>14155.245348702658</v>
      </c>
      <c r="P69" s="17">
        <f t="shared" si="57"/>
        <v>12933.334999999999</v>
      </c>
    </row>
    <row r="70" spans="1:16" x14ac:dyDescent="0.25">
      <c r="A70" s="23">
        <f>Alex_ITSD_count_data!A70</f>
        <v>0.10144675925403135</v>
      </c>
      <c r="B70" s="8" t="str">
        <f>Alex_ITSD_count_data!B70</f>
        <v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v>
      </c>
      <c r="C70" s="8" t="b">
        <f>Alex_ITSD_count_data!C70</f>
        <v>0</v>
      </c>
      <c r="D70" s="8" t="str">
        <f>Alex_ITSD_count_data!D70</f>
        <v>068SMPL.d</v>
      </c>
      <c r="E70" s="11">
        <f>Alex_ITSD_count_data!E70</f>
        <v>45246.581631944442</v>
      </c>
      <c r="F70" s="8" t="str">
        <f>Alex_ITSD_count_data!F70</f>
        <v>Sample</v>
      </c>
      <c r="G70" s="8">
        <f>Alex_ITSD_count_data!G70</f>
        <v>0</v>
      </c>
      <c r="H70" s="8" t="str">
        <f>Alex_ITSD_count_data!H70</f>
        <v>10-60-B</v>
      </c>
      <c r="I70" s="17">
        <f>Alex_ITSD_count_data!O70</f>
        <v>2508071.89</v>
      </c>
      <c r="J70" s="17">
        <f>Alex_ITSD_count_data!P70</f>
        <v>0.8</v>
      </c>
      <c r="K70" s="47">
        <f t="shared" si="18"/>
        <v>2502560.7845067806</v>
      </c>
      <c r="L70" s="17">
        <f t="shared" si="20"/>
        <v>7682.1565629975039</v>
      </c>
      <c r="M70" s="17">
        <f>[2]Alex_MS_FE_AL_data!N72</f>
        <v>6762.2730000000001</v>
      </c>
      <c r="N70" s="8">
        <v>5</v>
      </c>
      <c r="O70" s="17">
        <f t="shared" si="56"/>
        <v>38410.78281498752</v>
      </c>
      <c r="P70" s="17">
        <f t="shared" si="57"/>
        <v>33811.364999999998</v>
      </c>
    </row>
    <row r="71" spans="1:16" x14ac:dyDescent="0.25">
      <c r="A71" s="23">
        <f>Alex_ITSD_count_data!A71</f>
        <v>0.10255787037021946</v>
      </c>
      <c r="B71" s="8" t="str">
        <f>Alex_ITSD_count_data!B71</f>
        <v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v>
      </c>
      <c r="C71" s="8" t="b">
        <f>Alex_ITSD_count_data!C71</f>
        <v>0</v>
      </c>
      <c r="D71" s="8" t="str">
        <f>Alex_ITSD_count_data!D71</f>
        <v>069SMPL.d</v>
      </c>
      <c r="E71" s="11">
        <f>Alex_ITSD_count_data!E71</f>
        <v>45246.582743055558</v>
      </c>
      <c r="F71" s="8" t="str">
        <f>Alex_ITSD_count_data!F71</f>
        <v>Sample</v>
      </c>
      <c r="G71" s="8">
        <f>Alex_ITSD_count_data!G71</f>
        <v>0</v>
      </c>
      <c r="H71" s="8" t="str">
        <f>Alex_ITSD_count_data!H71</f>
        <v>10-70-B</v>
      </c>
      <c r="I71" s="17">
        <f>Alex_ITSD_count_data!O71</f>
        <v>754974.68</v>
      </c>
      <c r="J71" s="17">
        <f>Alex_ITSD_count_data!P71</f>
        <v>1.2</v>
      </c>
      <c r="K71" s="47">
        <f t="shared" ref="K71:K86" si="58">I71-($AO$3*A71)</f>
        <v>749403.21328261669</v>
      </c>
      <c r="L71" s="17">
        <f t="shared" si="20"/>
        <v>2188.2967173632715</v>
      </c>
      <c r="M71" s="17">
        <f>[2]Alex_MS_FE_AL_data!N73</f>
        <v>2033.4159999999999</v>
      </c>
      <c r="N71" s="8">
        <v>5</v>
      </c>
      <c r="O71" s="17">
        <f t="shared" si="56"/>
        <v>10941.483586816357</v>
      </c>
      <c r="P71" s="17">
        <f t="shared" si="57"/>
        <v>10167.08</v>
      </c>
    </row>
    <row r="72" spans="1:16" x14ac:dyDescent="0.25">
      <c r="A72" s="23">
        <f>Alex_ITSD_count_data!A72</f>
        <v>0.10373842592525762</v>
      </c>
      <c r="B72" s="8" t="str">
        <f>Alex_ITSD_count_data!B72</f>
        <v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v>
      </c>
      <c r="C72" s="8" t="b">
        <f>Alex_ITSD_count_data!C72</f>
        <v>0</v>
      </c>
      <c r="D72" s="8" t="str">
        <f>Alex_ITSD_count_data!D72</f>
        <v>070SMPL.d</v>
      </c>
      <c r="E72" s="11">
        <f>Alex_ITSD_count_data!E72</f>
        <v>45246.583923611113</v>
      </c>
      <c r="F72" s="8" t="str">
        <f>Alex_ITSD_count_data!F72</f>
        <v>Sample</v>
      </c>
      <c r="G72" s="8">
        <f>Alex_ITSD_count_data!G72</f>
        <v>0</v>
      </c>
      <c r="H72" s="8" t="str">
        <f>Alex_ITSD_count_data!H72</f>
        <v>10-100-B</v>
      </c>
      <c r="I72" s="17">
        <f>Alex_ITSD_count_data!O72</f>
        <v>421290.85</v>
      </c>
      <c r="J72" s="17">
        <f>Alex_ITSD_count_data!P72</f>
        <v>0.9</v>
      </c>
      <c r="K72" s="47">
        <f t="shared" si="58"/>
        <v>415655.24948226399</v>
      </c>
      <c r="L72" s="17">
        <f t="shared" ref="L72:L86" si="59">(I72-$AP$30)*(1/$AO$30)</f>
        <v>1142.5976059178545</v>
      </c>
      <c r="M72" s="17">
        <f>[2]Alex_MS_FE_AL_data!N74</f>
        <v>1133.327</v>
      </c>
      <c r="N72" s="8">
        <v>5</v>
      </c>
      <c r="O72" s="17">
        <f t="shared" si="56"/>
        <v>5712.9880295892726</v>
      </c>
      <c r="P72" s="17">
        <f t="shared" si="57"/>
        <v>5666.6350000000002</v>
      </c>
    </row>
    <row r="73" spans="1:16" x14ac:dyDescent="0.25">
      <c r="A73" s="23">
        <f>Alex_ITSD_count_data!A73</f>
        <v>0.10488425925723277</v>
      </c>
      <c r="B73" s="8" t="str">
        <f>Alex_ITSD_count_data!B73</f>
        <v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v>
      </c>
      <c r="C73" s="8" t="b">
        <f>Alex_ITSD_count_data!C73</f>
        <v>0</v>
      </c>
      <c r="D73" s="8" t="str">
        <f>Alex_ITSD_count_data!D73</f>
        <v>071SMPL.d</v>
      </c>
      <c r="E73" s="11">
        <f>Alex_ITSD_count_data!E73</f>
        <v>45246.585069444445</v>
      </c>
      <c r="F73" s="8" t="str">
        <f>Alex_ITSD_count_data!F73</f>
        <v>Sample</v>
      </c>
      <c r="G73" s="8">
        <f>Alex_ITSD_count_data!G73</f>
        <v>0</v>
      </c>
      <c r="H73" s="8" t="str">
        <f>Alex_ITSD_count_data!H73</f>
        <v>20-10-T</v>
      </c>
      <c r="I73" s="17">
        <f>Alex_ITSD_count_data!O73</f>
        <v>1249567.04</v>
      </c>
      <c r="J73" s="17">
        <f>Alex_ITSD_count_data!P73</f>
        <v>0.8</v>
      </c>
      <c r="K73" s="47">
        <f t="shared" si="58"/>
        <v>1243869.1919702035</v>
      </c>
      <c r="L73" s="17">
        <f t="shared" si="59"/>
        <v>3738.2513297269925</v>
      </c>
      <c r="M73" s="17">
        <f>[2]Alex_MS_FE_AL_data!N75</f>
        <v>3367.5439999999999</v>
      </c>
      <c r="N73" s="8">
        <v>5</v>
      </c>
      <c r="O73" s="17">
        <f t="shared" si="56"/>
        <v>18691.256648634961</v>
      </c>
      <c r="P73" s="17">
        <f t="shared" si="57"/>
        <v>16837.72</v>
      </c>
    </row>
    <row r="74" spans="1:16" x14ac:dyDescent="0.25">
      <c r="A74" s="23">
        <f>Alex_ITSD_count_data!A74</f>
        <v>0.10601851851242827</v>
      </c>
      <c r="B74" s="8" t="str">
        <f>Alex_ITSD_count_data!B74</f>
        <v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v>
      </c>
      <c r="C74" s="8" t="b">
        <f>Alex_ITSD_count_data!C74</f>
        <v>0</v>
      </c>
      <c r="D74" s="8" t="str">
        <f>Alex_ITSD_count_data!D74</f>
        <v>072SMPL.d</v>
      </c>
      <c r="E74" s="11">
        <f>Alex_ITSD_count_data!E74</f>
        <v>45246.5862037037</v>
      </c>
      <c r="F74" s="8" t="str">
        <f>Alex_ITSD_count_data!F74</f>
        <v>Sample</v>
      </c>
      <c r="G74" s="8">
        <f>Alex_ITSD_count_data!G74</f>
        <v>0</v>
      </c>
      <c r="H74" s="8" t="str">
        <f>Alex_ITSD_count_data!H74</f>
        <v>20-50-T</v>
      </c>
      <c r="I74" s="17">
        <f>Alex_ITSD_count_data!O74</f>
        <v>280772.8</v>
      </c>
      <c r="J74" s="17">
        <f>Alex_ITSD_count_data!P74</f>
        <v>0.8</v>
      </c>
      <c r="K74" s="47">
        <f t="shared" si="58"/>
        <v>275013.3332210388</v>
      </c>
      <c r="L74" s="17">
        <f t="shared" si="59"/>
        <v>702.24183552573618</v>
      </c>
      <c r="M74" s="17">
        <f>[2]Alex_MS_FE_AL_data!N76</f>
        <v>754.29</v>
      </c>
      <c r="N74" s="8">
        <v>5</v>
      </c>
      <c r="O74" s="17">
        <f t="shared" si="56"/>
        <v>3511.2091776286807</v>
      </c>
      <c r="P74" s="17">
        <f t="shared" si="57"/>
        <v>3771.45</v>
      </c>
    </row>
    <row r="75" spans="1:16" x14ac:dyDescent="0.25">
      <c r="A75" s="23">
        <f>Alex_ITSD_count_data!A75</f>
        <v>0.10715277777489973</v>
      </c>
      <c r="B75" s="8" t="str">
        <f>Alex_ITSD_count_data!B75</f>
        <v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v>
      </c>
      <c r="C75" s="8" t="b">
        <f>Alex_ITSD_count_data!C75</f>
        <v>0</v>
      </c>
      <c r="D75" s="8" t="str">
        <f>Alex_ITSD_count_data!D75</f>
        <v>073SMPL.d</v>
      </c>
      <c r="E75" s="11">
        <f>Alex_ITSD_count_data!E75</f>
        <v>45246.587337962963</v>
      </c>
      <c r="F75" s="8" t="str">
        <f>Alex_ITSD_count_data!F75</f>
        <v>Sample</v>
      </c>
      <c r="G75" s="8">
        <f>Alex_ITSD_count_data!G75</f>
        <v>0</v>
      </c>
      <c r="H75" s="8" t="str">
        <f>Alex_ITSD_count_data!H75</f>
        <v>20-70-B</v>
      </c>
      <c r="I75" s="17">
        <f>Alex_ITSD_count_data!O75</f>
        <v>113247.48</v>
      </c>
      <c r="J75" s="17">
        <f>Alex_ITSD_count_data!P75</f>
        <v>0.1</v>
      </c>
      <c r="K75" s="47">
        <f t="shared" si="58"/>
        <v>107426.39447147888</v>
      </c>
      <c r="L75" s="17">
        <f t="shared" si="59"/>
        <v>177.25062372920081</v>
      </c>
      <c r="M75" s="17">
        <f>[2]Alex_MS_FE_AL_data!N77</f>
        <v>302.40199999999999</v>
      </c>
      <c r="N75" s="8">
        <v>10</v>
      </c>
      <c r="O75" s="17">
        <f t="shared" si="56"/>
        <v>1772.5062372920081</v>
      </c>
      <c r="P75" s="17">
        <f t="shared" si="57"/>
        <v>3024.02</v>
      </c>
    </row>
    <row r="76" spans="1:16" x14ac:dyDescent="0.25">
      <c r="A76" s="23">
        <f>Alex_ITSD_count_data!A76</f>
        <v>0.10834490740671754</v>
      </c>
      <c r="B76" s="8" t="str">
        <f>Alex_ITSD_count_data!B76</f>
        <v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v>
      </c>
      <c r="C76" s="8" t="b">
        <f>Alex_ITSD_count_data!C76</f>
        <v>0</v>
      </c>
      <c r="D76" s="8" t="str">
        <f>Alex_ITSD_count_data!D76</f>
        <v>074SMPL.d</v>
      </c>
      <c r="E76" s="11">
        <f>Alex_ITSD_count_data!E76</f>
        <v>45246.588530092595</v>
      </c>
      <c r="F76" s="8" t="str">
        <f>Alex_ITSD_count_data!F76</f>
        <v>Sample</v>
      </c>
      <c r="G76" s="8">
        <f>Alex_ITSD_count_data!G76</f>
        <v>0</v>
      </c>
      <c r="H76" s="8" t="str">
        <f>Alex_ITSD_count_data!H76</f>
        <v>20-60-B</v>
      </c>
      <c r="I76" s="17">
        <f>Alex_ITSD_count_data!O76</f>
        <v>88122.51</v>
      </c>
      <c r="J76" s="17">
        <f>Alex_ITSD_count_data!P76</f>
        <v>2.7</v>
      </c>
      <c r="K76" s="47">
        <f t="shared" si="58"/>
        <v>82236.66190823041</v>
      </c>
      <c r="L76" s="17">
        <f t="shared" si="59"/>
        <v>98.51393815443754</v>
      </c>
      <c r="M76" s="17">
        <f>[2]Alex_MS_FE_AL_data!N78</f>
        <v>234.62899999999999</v>
      </c>
      <c r="N76" s="8">
        <v>10</v>
      </c>
      <c r="O76" s="17">
        <f>IF(L76 &lt; $S$44, "NA", N76*L76)</f>
        <v>985.1393815443754</v>
      </c>
      <c r="P76" s="17">
        <f>IF(M76 &lt; $S$45, "NA", N76*M76)</f>
        <v>2346.29</v>
      </c>
    </row>
    <row r="77" spans="1:16" x14ac:dyDescent="0.25">
      <c r="A77" s="23">
        <f>Alex_ITSD_count_data!A77</f>
        <v>0.10947916666191304</v>
      </c>
      <c r="B77" s="8" t="str">
        <f>Alex_ITSD_count_data!B77</f>
        <v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v>
      </c>
      <c r="C77" s="8" t="b">
        <f>Alex_ITSD_count_data!C77</f>
        <v>0</v>
      </c>
      <c r="D77" s="8" t="str">
        <f>Alex_ITSD_count_data!D77</f>
        <v>075SMPL.d</v>
      </c>
      <c r="E77" s="11">
        <f>Alex_ITSD_count_data!E77</f>
        <v>45246.58966435185</v>
      </c>
      <c r="F77" s="8" t="str">
        <f>Alex_ITSD_count_data!F77</f>
        <v>Sample</v>
      </c>
      <c r="G77" s="8">
        <f>Alex_ITSD_count_data!G77</f>
        <v>0</v>
      </c>
      <c r="H77" s="8" t="str">
        <f>Alex_ITSD_count_data!H77</f>
        <v>20-80-B</v>
      </c>
      <c r="I77" s="17">
        <f>Alex_ITSD_count_data!O77</f>
        <v>11765.23</v>
      </c>
      <c r="J77" s="17">
        <f>Alex_ITSD_count_data!P77</f>
        <v>5.9</v>
      </c>
      <c r="K77" s="47">
        <f t="shared" si="58"/>
        <v>5817.7631590657375</v>
      </c>
      <c r="L77" s="17">
        <f t="shared" si="59"/>
        <v>-140.77467181023741</v>
      </c>
      <c r="M77" s="17">
        <f>[2]Alex_MS_FE_AL_data!N79</f>
        <v>28.661000000000001</v>
      </c>
      <c r="N77" s="8">
        <v>10</v>
      </c>
      <c r="O77" s="17">
        <f t="shared" ref="O77:O78" si="60">IF(L77 &lt; $S$44, "NA", N77*L77)</f>
        <v>-1407.746718102374</v>
      </c>
      <c r="P77" s="17">
        <f t="shared" ref="P77:P78" si="61">IF(M77 &lt; $S$45, "NA", N77*M77)</f>
        <v>286.61</v>
      </c>
    </row>
    <row r="78" spans="1:16" x14ac:dyDescent="0.25">
      <c r="A78" s="23">
        <f>Alex_ITSD_count_data!A78</f>
        <v>0.1106134259243845</v>
      </c>
      <c r="B78" s="8" t="str">
        <f>Alex_ITSD_count_data!B78</f>
        <v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v>
      </c>
      <c r="C78" s="8" t="b">
        <f>Alex_ITSD_count_data!C78</f>
        <v>0</v>
      </c>
      <c r="D78" s="8" t="str">
        <f>Alex_ITSD_count_data!D78</f>
        <v>076SMPL.d</v>
      </c>
      <c r="E78" s="11">
        <f>Alex_ITSD_count_data!E78</f>
        <v>45246.590798611112</v>
      </c>
      <c r="F78" s="8" t="str">
        <f>Alex_ITSD_count_data!F78</f>
        <v>Sample</v>
      </c>
      <c r="G78" s="8">
        <f>Alex_ITSD_count_data!G78</f>
        <v>0</v>
      </c>
      <c r="H78" s="8" t="str">
        <f>Alex_ITSD_count_data!H78</f>
        <v>20-90-T</v>
      </c>
      <c r="I78" s="17">
        <f>Alex_ITSD_count_data!O78</f>
        <v>142845.1</v>
      </c>
      <c r="J78" s="17">
        <f>Alex_ITSD_count_data!P78</f>
        <v>2.6</v>
      </c>
      <c r="K78" s="47">
        <f t="shared" si="58"/>
        <v>136836.01440950579</v>
      </c>
      <c r="L78" s="17">
        <f t="shared" si="59"/>
        <v>270.00370959164462</v>
      </c>
      <c r="M78" s="17">
        <f>[2]Alex_MS_FE_AL_data!N80</f>
        <v>382.23899999999998</v>
      </c>
      <c r="N78" s="8">
        <v>10</v>
      </c>
      <c r="O78" s="17">
        <f t="shared" si="60"/>
        <v>2700.0370959164461</v>
      </c>
      <c r="P78" s="17">
        <f t="shared" si="61"/>
        <v>3822.39</v>
      </c>
    </row>
    <row r="79" spans="1:16" x14ac:dyDescent="0.25">
      <c r="A79" s="23">
        <f>Alex_ITSD_count_data!A79</f>
        <v>0.11174768517958</v>
      </c>
      <c r="B79" s="8" t="str">
        <f>Alex_ITSD_count_data!B79</f>
        <v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v>
      </c>
      <c r="C79" s="8" t="b">
        <f>Alex_ITSD_count_data!C79</f>
        <v>0</v>
      </c>
      <c r="D79" s="8" t="str">
        <f>Alex_ITSD_count_data!D79</f>
        <v>077SMPL.d</v>
      </c>
      <c r="E79" s="11">
        <f>Alex_ITSD_count_data!E79</f>
        <v>45246.591932870368</v>
      </c>
      <c r="F79" s="8" t="str">
        <f>Alex_ITSD_count_data!F79</f>
        <v>Sample</v>
      </c>
      <c r="G79" s="8">
        <f>Alex_ITSD_count_data!G79</f>
        <v>0</v>
      </c>
      <c r="H79" s="8" t="str">
        <f>Alex_ITSD_count_data!H79</f>
        <v>DI H2O</v>
      </c>
      <c r="I79" s="17">
        <f>Alex_ITSD_count_data!O79</f>
        <v>3373.91</v>
      </c>
      <c r="J79" s="17">
        <f>Alex_ITSD_count_data!P79</f>
        <v>10.1</v>
      </c>
      <c r="K79" s="47">
        <f t="shared" si="58"/>
        <v>-2696.7943396588789</v>
      </c>
      <c r="L79" s="17">
        <f t="shared" si="59"/>
        <v>-167.07140865797183</v>
      </c>
      <c r="M79" s="17">
        <f>[2]Alex_MS_FE_AL_data!N81</f>
        <v>6.0259999999999998</v>
      </c>
      <c r="N79" s="8"/>
      <c r="O79" s="17"/>
      <c r="P79" s="17"/>
    </row>
    <row r="80" spans="1:16" x14ac:dyDescent="0.25">
      <c r="A80" s="23">
        <f>Alex_ITSD_count_data!A80</f>
        <v>0.11293981481139781</v>
      </c>
      <c r="B80" s="8" t="str">
        <f>Alex_ITSD_count_data!B80</f>
        <v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v>
      </c>
      <c r="C80" s="8" t="b">
        <f>Alex_ITSD_count_data!C80</f>
        <v>0</v>
      </c>
      <c r="D80" s="8" t="str">
        <f>Alex_ITSD_count_data!D80</f>
        <v>078SMPL.d</v>
      </c>
      <c r="E80" s="11">
        <f>Alex_ITSD_count_data!E80</f>
        <v>45246.593124999999</v>
      </c>
      <c r="F80" s="8" t="str">
        <f>Alex_ITSD_count_data!F80</f>
        <v>Sample</v>
      </c>
      <c r="G80" s="8">
        <f>Alex_ITSD_count_data!G80</f>
        <v>0</v>
      </c>
      <c r="H80" s="40" t="str">
        <f>Alex_ITSD_count_data!H80</f>
        <v>blk</v>
      </c>
      <c r="I80" s="43">
        <f>Alex_ITSD_count_data!O80</f>
        <v>5081.08</v>
      </c>
      <c r="J80" s="43">
        <f>Alex_ITSD_count_data!P80</f>
        <v>2.1</v>
      </c>
      <c r="K80" s="48">
        <f t="shared" si="58"/>
        <v>-1054.3869029073458</v>
      </c>
      <c r="L80" s="43">
        <f t="shared" si="59"/>
        <v>-161.72147560282116</v>
      </c>
      <c r="M80" s="43">
        <f>[2]Alex_MS_FE_AL_data!N82</f>
        <v>10.631</v>
      </c>
      <c r="N80" s="8"/>
      <c r="O80" s="17"/>
      <c r="P80" s="17"/>
    </row>
    <row r="81" spans="1:16" x14ac:dyDescent="0.25">
      <c r="A81" s="23">
        <f>Alex_ITSD_count_data!A81</f>
        <v>0.11407407407386927</v>
      </c>
      <c r="B81" s="8" t="str">
        <f>Alex_ITSD_count_data!B81</f>
        <v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v>
      </c>
      <c r="C81" s="8" t="b">
        <f>Alex_ITSD_count_data!C81</f>
        <v>0</v>
      </c>
      <c r="D81" s="8" t="str">
        <f>Alex_ITSD_count_data!D81</f>
        <v>079SMPL.d</v>
      </c>
      <c r="E81" s="11">
        <f>Alex_ITSD_count_data!E81</f>
        <v>45246.594259259262</v>
      </c>
      <c r="F81" s="8" t="str">
        <f>Alex_ITSD_count_data!F81</f>
        <v>Sample</v>
      </c>
      <c r="G81" s="8">
        <f>Alex_ITSD_count_data!G81</f>
        <v>0</v>
      </c>
      <c r="H81" s="8" t="str">
        <f>Alex_ITSD_count_data!H81</f>
        <v>100 ppb check</v>
      </c>
      <c r="I81" s="17">
        <f>Alex_ITSD_count_data!O81</f>
        <v>44015.09</v>
      </c>
      <c r="J81" s="17">
        <f>Alex_ITSD_count_data!P81</f>
        <v>4.3</v>
      </c>
      <c r="K81" s="47">
        <f t="shared" si="58"/>
        <v>37818.004347532711</v>
      </c>
      <c r="L81" s="17">
        <f t="shared" si="59"/>
        <v>-39.709990473299101</v>
      </c>
      <c r="M81" s="17">
        <f>[2]Alex_MS_FE_AL_data!N83</f>
        <v>115.652</v>
      </c>
      <c r="N81" s="8"/>
      <c r="O81" s="17"/>
      <c r="P81" s="17"/>
    </row>
    <row r="82" spans="1:16" x14ac:dyDescent="0.25">
      <c r="A82" s="23">
        <f>Alex_ITSD_count_data!A82</f>
        <v>0.11520833332906477</v>
      </c>
      <c r="B82" s="8" t="str">
        <f>Alex_ITSD_count_data!B82</f>
        <v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v>
      </c>
      <c r="C82" s="8" t="b">
        <f>Alex_ITSD_count_data!C82</f>
        <v>0</v>
      </c>
      <c r="D82" s="8" t="str">
        <f>Alex_ITSD_count_data!D82</f>
        <v>080SMPL.d</v>
      </c>
      <c r="E82" s="11">
        <f>Alex_ITSD_count_data!E82</f>
        <v>45246.595393518517</v>
      </c>
      <c r="F82" s="8" t="str">
        <f>Alex_ITSD_count_data!F82</f>
        <v>CalStd</v>
      </c>
      <c r="G82" s="8">
        <f>Alex_ITSD_count_data!G82</f>
        <v>10</v>
      </c>
      <c r="H82" s="8" t="str">
        <f>Alex_ITSD_count_data!H82</f>
        <v>level 10 m6</v>
      </c>
      <c r="I82" s="17">
        <f>Alex_ITSD_count_data!O82</f>
        <v>3708582.55</v>
      </c>
      <c r="J82" s="17">
        <f>Alex_ITSD_count_data!P82</f>
        <v>1.1000000000000001</v>
      </c>
      <c r="K82" s="47">
        <f t="shared" si="58"/>
        <v>3702323.845598368</v>
      </c>
      <c r="L82" s="17">
        <f t="shared" si="59"/>
        <v>11444.319477642635</v>
      </c>
      <c r="M82" s="17">
        <f>[2]Alex_MS_FE_AL_data!N15</f>
        <v>10000.566999999999</v>
      </c>
      <c r="N82" s="8"/>
      <c r="O82" s="17"/>
      <c r="P82" s="17"/>
    </row>
    <row r="83" spans="1:16" x14ac:dyDescent="0.25">
      <c r="A83" s="23">
        <f>Alex_ITSD_count_data!A83</f>
        <v>0.11633101851475658</v>
      </c>
      <c r="B83" s="8" t="str">
        <f>Alex_ITSD_count_data!B83</f>
        <v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v>
      </c>
      <c r="C83" s="8" t="b">
        <f>Alex_ITSD_count_data!C83</f>
        <v>0</v>
      </c>
      <c r="D83" s="8" t="str">
        <f>Alex_ITSD_count_data!D83</f>
        <v>081SMPL.d</v>
      </c>
      <c r="E83" s="11">
        <f>Alex_ITSD_count_data!E83</f>
        <v>45246.596516203703</v>
      </c>
      <c r="F83" s="8" t="str">
        <f>Alex_ITSD_count_data!F83</f>
        <v>CalStd</v>
      </c>
      <c r="G83" s="8">
        <f>Alex_ITSD_count_data!G83</f>
        <v>11</v>
      </c>
      <c r="H83" s="8" t="str">
        <f>Alex_ITSD_count_data!H83</f>
        <v>level 11 m6</v>
      </c>
      <c r="I83" s="17">
        <f>Alex_ITSD_count_data!O83</f>
        <v>31921012.02</v>
      </c>
      <c r="J83" s="17">
        <f>Alex_ITSD_count_data!P83</f>
        <v>0.5</v>
      </c>
      <c r="K83" s="47">
        <f t="shared" si="58"/>
        <v>31914692.325611703</v>
      </c>
      <c r="L83" s="17">
        <f t="shared" si="59"/>
        <v>99856.492247583243</v>
      </c>
      <c r="M83" s="17">
        <f>[2]Alex_MS_FE_AL_data!N16</f>
        <v>86101.625</v>
      </c>
      <c r="N83" s="8"/>
      <c r="O83" s="17"/>
      <c r="P83" s="17"/>
    </row>
    <row r="84" spans="1:16" x14ac:dyDescent="0.25">
      <c r="A84" s="23">
        <f>Alex_ITSD_count_data!A84</f>
        <v>0.11753472221607808</v>
      </c>
      <c r="B84" s="8" t="str">
        <f>Alex_ITSD_count_data!B84</f>
        <v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v>
      </c>
      <c r="C84" s="8" t="b">
        <f>Alex_ITSD_count_data!C84</f>
        <v>0</v>
      </c>
      <c r="D84" s="8" t="str">
        <f>Alex_ITSD_count_data!D84</f>
        <v>082SMPL.d</v>
      </c>
      <c r="E84" s="11">
        <f>Alex_ITSD_count_data!E84</f>
        <v>45246.597719907404</v>
      </c>
      <c r="F84" s="8" t="str">
        <f>Alex_ITSD_count_data!F84</f>
        <v>Sample</v>
      </c>
      <c r="G84" s="8">
        <f>Alex_ITSD_count_data!G84</f>
        <v>0</v>
      </c>
      <c r="H84" s="40" t="str">
        <f>Alex_ITSD_count_data!H84</f>
        <v>blk</v>
      </c>
      <c r="I84" s="43">
        <f>Alex_ITSD_count_data!O84</f>
        <v>5404.55</v>
      </c>
      <c r="J84" s="43">
        <f>Alex_ITSD_count_data!P84</f>
        <v>5.4</v>
      </c>
      <c r="K84" s="48">
        <f t="shared" si="58"/>
        <v>-980.5357140451033</v>
      </c>
      <c r="L84" s="43">
        <f>(I84-$AP$30)*(1/$AO$30)</f>
        <v>-160.70778461402122</v>
      </c>
      <c r="M84" s="43">
        <f>[2]Alex_MS_FE_AL_data!N84</f>
        <v>11.503</v>
      </c>
      <c r="N84" s="8"/>
      <c r="O84" s="8"/>
      <c r="P84" s="8"/>
    </row>
    <row r="85" spans="1:16" x14ac:dyDescent="0.25">
      <c r="A85" s="23">
        <f>Alex_ITSD_count_data!A85</f>
        <v>0.11868055555532919</v>
      </c>
      <c r="B85" s="8" t="str">
        <f>Alex_ITSD_count_data!B85</f>
        <v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v>
      </c>
      <c r="C85" s="8" t="b">
        <f>Alex_ITSD_count_data!C85</f>
        <v>0</v>
      </c>
      <c r="D85" s="8" t="str">
        <f>Alex_ITSD_count_data!D85</f>
        <v>083SMPL.d</v>
      </c>
      <c r="E85" s="11">
        <f>Alex_ITSD_count_data!E85</f>
        <v>45246.598865740743</v>
      </c>
      <c r="F85" s="8" t="str">
        <f>Alex_ITSD_count_data!F85</f>
        <v>Sample</v>
      </c>
      <c r="G85" s="8">
        <f>Alex_ITSD_count_data!G85</f>
        <v>0</v>
      </c>
      <c r="H85" s="40" t="str">
        <f>Alex_ITSD_count_data!H85</f>
        <v>blk</v>
      </c>
      <c r="I85" s="43">
        <f>Alex_ITSD_count_data!O85</f>
        <v>3370.53</v>
      </c>
      <c r="J85" s="43">
        <f>Alex_ITSD_count_data!P85</f>
        <v>5.8</v>
      </c>
      <c r="K85" s="48">
        <f t="shared" si="58"/>
        <v>-3076.8032265008574</v>
      </c>
      <c r="L85" s="43">
        <f t="shared" si="59"/>
        <v>-167.08200090931552</v>
      </c>
      <c r="M85" s="43">
        <f>[2]Alex_MS_FE_AL_data!N85</f>
        <v>6.016</v>
      </c>
      <c r="N85" s="8"/>
      <c r="O85" s="8"/>
      <c r="P85" s="8"/>
    </row>
    <row r="86" spans="1:16" x14ac:dyDescent="0.25">
      <c r="A86" s="23">
        <f>Alex_ITSD_count_data!A86</f>
        <v>0.119803240741021</v>
      </c>
      <c r="B86" s="8" t="str">
        <f>Alex_ITSD_count_data!B86</f>
        <v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v>
      </c>
      <c r="C86" s="8" t="b">
        <f>Alex_ITSD_count_data!C86</f>
        <v>0</v>
      </c>
      <c r="D86" s="8" t="str">
        <f>Alex_ITSD_count_data!D86</f>
        <v>084SMPL.d</v>
      </c>
      <c r="E86" s="11">
        <f>Alex_ITSD_count_data!E86</f>
        <v>45246.599988425929</v>
      </c>
      <c r="F86" s="8" t="str">
        <f>Alex_ITSD_count_data!F86</f>
        <v>Sample</v>
      </c>
      <c r="G86" s="8">
        <f>Alex_ITSD_count_data!G86</f>
        <v>0</v>
      </c>
      <c r="H86" s="40" t="str">
        <f>Alex_ITSD_count_data!H86</f>
        <v>blk</v>
      </c>
      <c r="I86" s="43">
        <f>Alex_ITSD_count_data!O86</f>
        <v>2303.6</v>
      </c>
      <c r="J86" s="43">
        <f>Alex_ITSD_count_data!P86</f>
        <v>6.6</v>
      </c>
      <c r="K86" s="48">
        <f t="shared" si="58"/>
        <v>-4204.7232131649871</v>
      </c>
      <c r="L86" s="43">
        <f t="shared" si="59"/>
        <v>-170.42554846142335</v>
      </c>
      <c r="M86" s="43">
        <f>[2]Alex_MS_FE_AL_data!N86</f>
        <v>3.1379999999999999</v>
      </c>
      <c r="N86" s="8"/>
      <c r="O86" s="8"/>
      <c r="P86" s="8"/>
    </row>
  </sheetData>
  <autoFilter ref="A1:J86" xr:uid="{831C3614-7E82-469C-9EC7-2C530BF5CE48}"/>
  <conditionalFormatting sqref="I1:I86">
    <cfRule type="cellIs" dxfId="11" priority="14" operator="lessThan">
      <formula>$S$43</formula>
    </cfRule>
  </conditionalFormatting>
  <conditionalFormatting sqref="I3:I86">
    <cfRule type="cellIs" dxfId="10" priority="17" operator="lessThan">
      <formula>$T$43</formula>
    </cfRule>
  </conditionalFormatting>
  <conditionalFormatting sqref="L1:L86">
    <cfRule type="cellIs" dxfId="9" priority="15" operator="lessThan">
      <formula>$S$44</formula>
    </cfRule>
    <cfRule type="cellIs" dxfId="8" priority="16" operator="lessThan">
      <formula>$T$44</formula>
    </cfRule>
  </conditionalFormatting>
  <conditionalFormatting sqref="M1:M86">
    <cfRule type="cellIs" dxfId="7" priority="11" operator="equal">
      <formula>$M$28</formula>
    </cfRule>
    <cfRule type="cellIs" dxfId="6" priority="12" operator="lessThan">
      <formula>$S$45</formula>
    </cfRule>
    <cfRule type="cellIs" dxfId="5" priority="13" operator="lessThan">
      <formula>$T$45</formula>
    </cfRule>
  </conditionalFormatting>
  <conditionalFormatting sqref="O1:O2">
    <cfRule type="cellIs" dxfId="4" priority="4" operator="lessThan">
      <formula>$S$44</formula>
    </cfRule>
    <cfRule type="cellIs" dxfId="3" priority="5" operator="lessThan">
      <formula>$T$44</formula>
    </cfRule>
  </conditionalFormatting>
  <conditionalFormatting sqref="P1:P2">
    <cfRule type="cellIs" dxfId="2" priority="1" operator="equal">
      <formula>$M$28</formula>
    </cfRule>
    <cfRule type="cellIs" dxfId="1" priority="2" operator="lessThan">
      <formula>$S$45</formula>
    </cfRule>
    <cfRule type="cellIs" dxfId="0" priority="3" operator="lessThan">
      <formula>$T$45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Alex_ITSD_count_data</vt:lpstr>
      <vt:lpstr>Calibration Std</vt:lpstr>
      <vt:lpstr>ICP_Internal_Drift</vt:lpstr>
      <vt:lpstr>ICP_Mn_Drift</vt:lpstr>
      <vt:lpstr>ICP_As_Drift</vt:lpstr>
      <vt:lpstr>ICP_Al_Drift</vt:lpstr>
      <vt:lpstr>ICP_56_Fe_Drift</vt:lpstr>
      <vt:lpstr>ICP_57_Fe_Drift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Knoblauch</dc:creator>
  <cp:keywords/>
  <dc:description/>
  <cp:lastModifiedBy>Alexandra Knoblauch</cp:lastModifiedBy>
  <cp:revision/>
  <dcterms:created xsi:type="dcterms:W3CDTF">2023-11-19T21:07:39Z</dcterms:created>
  <dcterms:modified xsi:type="dcterms:W3CDTF">2024-01-18T20:59:26Z</dcterms:modified>
  <cp:category/>
  <cp:contentStatus/>
</cp:coreProperties>
</file>