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calcChain+xml" PartName="/xl/calcChain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spreadsheetml.worksheet+xml" PartName="/xl/worksheets/sheet13.xml"/>
  <Override ContentType="application/vnd.openxmlformats-officedocument.drawing+xml" PartName="/xl/drawings/drawing13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spreadsheetml.worksheet+xml" PartName="/xl/worksheets/sheet14.xml"/>
  <Override ContentType="application/vnd.openxmlformats-officedocument.drawing+xml" PartName="/xl/drawings/drawing14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spreadsheetml.worksheet+xml" PartName="/xl/worksheets/sheet15.xml"/>
  <Override ContentType="application/vnd.openxmlformats-officedocument.drawing+xml" PartName="/xl/drawings/drawing15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spreadsheetml.worksheet+xml" PartName="/xl/worksheets/sheet16.xml"/>
  <Override ContentType="application/vnd.openxmlformats-officedocument.drawing+xml" PartName="/xl/drawings/drawing16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spreadsheetml.worksheet+xml" PartName="/xl/worksheets/sheet17.xml"/>
  <Override ContentType="application/vnd.openxmlformats-officedocument.drawing+xml" PartName="/xl/drawings/drawing17.xml"/>
  <Override ContentType="application/vnd.openxmlformats-officedocument.drawingml.chart+xml" PartName="/xl/charts/chart33.xml"/>
  <Override ContentType="application/vnd.openxmlformats-officedocument.drawingml.chart+xml" PartName="/xl/charts/chart34.xml"/>
  <Override ContentType="application/vnd.openxmlformats-officedocument.spreadsheetml.worksheet+xml" PartName="/xl/worksheets/sheet18.xml"/>
  <Override ContentType="application/vnd.openxmlformats-officedocument.drawing+xml" PartName="/xl/drawings/drawing18.xml"/>
  <Override ContentType="application/vnd.openxmlformats-officedocument.drawingml.chart+xml" PartName="/xl/charts/chart35.xml"/>
  <Override ContentType="application/vnd.openxmlformats-officedocument.drawingml.chart+xml" PartName="/xl/charts/chart36.xml"/>
  <Override ContentType="application/vnd.openxmlformats-officedocument.spreadsheetml.worksheet+xml" PartName="/xl/worksheets/sheet19.xml"/>
  <Override ContentType="application/vnd.openxmlformats-officedocument.drawing+xml" PartName="/xl/drawings/drawing19.xml"/>
  <Override ContentType="application/vnd.openxmlformats-officedocument.drawingml.chart+xml" PartName="/xl/charts/chart37.xml"/>
  <Override ContentType="application/vnd.openxmlformats-officedocument.drawingml.chart+xml" PartName="/xl/charts/chart38.xml"/>
</Types>
</file>

<file path=_rels/.rels><?xml version="1.0" encoding="UTF-8"?><Relationships xmlns="http://schemas.openxmlformats.org/package/2006/relationships"><Relationship Id="rId3" Target="docProps/app.xml" Type="http://schemas.openxmlformats.org/officeDocument/2006/relationships/extended-properties"/><Relationship Id="rId2" Target="docProps/core.xml" Type="http://schemas.openxmlformats.org/package/2006/relationships/metadata/core-properties"/><Relationship Id="rId1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windowHeight="8190" windowWidth="16380" xWindow="0" yWindow="0"/>
  </bookViews>
  <sheets>
    <sheet name="Sheet1" r:id="rId1" sheetId="1"/>
    <sheet name="Sheet2" r:id="R6c82ba97e9453297" sheetId="2"/>
    <sheet name="Sheet3" r:id="Ree103842aa43498e" sheetId="3"/>
    <sheet name="Sheet4" r:id="Rbd307e0531449caa" sheetId="4"/>
    <sheet name="Sheet5" r:id="R948e0bae2943199b" sheetId="5"/>
    <sheet name="Sheet6" r:id="R89a2962e8b45dc80" sheetId="6"/>
    <sheet name="Sheet7" r:id="R2c73320a8e418ca6" sheetId="7"/>
    <sheet name="Sheet8" r:id="R187f8ae95949979b" sheetId="8"/>
    <sheet name="Sheet9" r:id="Rfe57fc04bf4ba4a8" sheetId="9"/>
    <sheet name="Sheet10" r:id="Re25cc96cb34cd18f" sheetId="10"/>
    <sheet name="Sheet11" r:id="Rce0f94f88a491db3" sheetId="11"/>
    <sheet name="Sheet12" r:id="R819ab97f6c4cf998" sheetId="12"/>
    <sheet name="Sheet13" r:id="R7eadc4de4b411384" sheetId="13"/>
    <sheet name="Sheet14" r:id="R5b32c8151e4d29a1" sheetId="14"/>
    <sheet name="Sheet15" r:id="R4d794116304f8abf" sheetId="15"/>
    <sheet name="Sheet16" r:id="R6a8b11c6c54216ac" sheetId="16"/>
    <sheet name="Sheet17" r:id="R81dff9d7914fadbc" sheetId="17"/>
    <sheet name="Sheet18" r:id="R933de507b745fdba" sheetId="18"/>
    <sheet name="Sheet19" r:id="R09303412f14e8d9a" sheetId="19"/>
  </sheets>
  <definedNames>
    <definedName name="_.NET__instance_only">Sheet1!$I$58:$I$60</definedName>
    <definedName name="DSL_client_Java_full__duration__both">Sheet1!$F$58:$F$60</definedName>
    <definedName name="DSL_client_Java_full__duration__serialization">Sheet1!$J$52:$J$54</definedName>
    <definedName name="DSL_client_Java_full__size">Sheet1!$K$52:$K$54</definedName>
    <definedName name="DSL_client_Java_minimal__duration__both">Sheet1!$G$58:$G$60</definedName>
    <definedName name="DSL_client_Java_minimal__duration__serialization">Sheet1!$L$52:$L$54</definedName>
    <definedName name="DSL_client_Java_minimal__size">Sheet1!$M$52:$M$54</definedName>
    <definedName name="Jackson__duration__both">Sheet1!$E$58:$E$60</definedName>
    <definedName name="Jackson__duration__serialization">Sheet1!$H$52:$H$54</definedName>
    <definedName name="Jackson__size">Sheet1!$I$52:$I$54</definedName>
    <definedName name="JVM__instance_only">Sheet1!$J$58:$J$60</definedName>
    <definedName name="Newtonsoft__duration__both">Sheet1!$B$58:$B$60</definedName>
    <definedName name="Newtonsoft__duration__serialization">Sheet1!$B$52:$B$54</definedName>
    <definedName name="Newtonsoft__size">Sheet1!$C$52:$C$54</definedName>
    <definedName name="Protobuf.NET__duration__both">Sheet1!$H$58:$H$60</definedName>
    <definedName name="Protobuf.NET__duration__serialization">Sheet1!$N$52:$N$54</definedName>
    <definedName name="Protobuf.NET__size">Sheet1!$O$52:$O$54</definedName>
    <definedName name="Revenj.NET_full__duration__serialization">Sheet1!$D$52:$D$54</definedName>
    <definedName name="Revenj.NET_full__duration_both">Sheet1!$C$58:$C$60</definedName>
    <definedName name="Revenj.NET_full__size">Sheet1!$E$52:$E$54</definedName>
    <definedName name="Revenj.NET_minimal__duration__both">Sheet1!$D$58:$D$60</definedName>
    <definedName name="Revenj.NET_minimal__duration__serialization">Sheet1!$F$52:$F$54</definedName>
    <definedName name="Revenj.NET_minimal__size">Sheet1!$G$52:$G$54</definedName>
    <definedName name="Range_bac5bb0bdcf64a57832b3fae154413a4">Sheet2!$L$52:$L$54</definedName>
    <definedName name="Range_d4ea57b68313484da01fd73cd0d08d45">Sheet2!$D$52:$D$54</definedName>
    <definedName name="Range_fa4bd4607d2049859804d1a7fb143ca7">Sheet2!$E$52:$E$54</definedName>
    <definedName name="Range_ab016d3af63b4340a4429ab2c363dfc6">Sheet2!$O$52:$O$54</definedName>
    <definedName name="Range_49ca6ce7a7954c5e9bdc2268d64ef63e">Sheet2!$M$52:$M$54</definedName>
    <definedName name="Range_05f35c3ad7a04e6985e9ba112016ffbc">Sheet2!$N$52:$N$54</definedName>
    <definedName name="Range_6b445750e1c34940bb8ea2990e4733c2">Sheet2!$B$58:$B$60</definedName>
    <definedName name="Range_4d9a52133728471080e884981c103292">Sheet2!$F$58:$F$60</definedName>
    <definedName name="Range_c2e4ce20feae4361bcee721d5e5144f8">Sheet2!$H$52:$H$54</definedName>
    <definedName name="Range_e9d6b111e15f4f8c808e803998b02152">Sheet2!$F$52:$F$54</definedName>
    <definedName name="Range_79245d64bddf434bb26c224106bb6387">Sheet2!$E$58:$E$60</definedName>
    <definedName name="Range_535c32e16edf4927b81dca0f60a80860">Sheet2!$J$52:$J$54</definedName>
    <definedName name="Range_39f2d0c7792d44aaa5cfa94a0950455d">Sheet2!$B$52:$B$54</definedName>
    <definedName name="Range_856bdaa54ecb49d58200c4b2ab61a02a">Sheet2!$G$58:$G$60</definedName>
    <definedName name="Range_8bcf96228adf4591a37f440bd422f8e4">Sheet2!$G$52:$G$54</definedName>
    <definedName name="Range_ea1177f92ecb469ebcc252fbae2e12f5">Sheet2!$K$52:$K$54</definedName>
    <definedName name="Range_71c4c2050b74484ba58c6d4354a53707">Sheet2!$I$52:$I$54</definedName>
    <definedName name="Range_63409225b25b4f36b0dab80197193353">Sheet2!$J$58:$J$60</definedName>
    <definedName name="Range_084d844ac336466cacb04c5777b6fa04">Sheet2!$C$52:$C$54</definedName>
    <definedName name="Range_bac9b2f2a5f34c2f9a3d321c9bc33f15">Sheet2!$H$58:$H$60</definedName>
    <definedName name="Range_65c4b3862ce74f95a1762d5e62df2798">Sheet2!$C$58:$C$60</definedName>
    <definedName name="Range_2aa632902bea45d295b50f4c12500053">Sheet2!$I$58:$I$60</definedName>
    <definedName name="Range_515fdeb5c96e4d6aa0aaae1967bcd898">Sheet2!$D$58:$D$60</definedName>
    <definedName name="Range_16b04d9c0795452fa651c287e2899fa8">Sheet3!$L$52:$L$54</definedName>
    <definedName name="Range_6c34f528bf9141c9a78c9ed3dbcb9643">Sheet3!$D$52:$D$54</definedName>
    <definedName name="Range_9386e87b57004377916a8e40b7004a15">Sheet3!$E$52:$E$54</definedName>
    <definedName name="Range_768e35a116334ad4ba3ff4db2c5e01ab">Sheet3!$O$52:$O$54</definedName>
    <definedName name="Range_7606c128722e46619c00973d510fb150">Sheet3!$M$52:$M$54</definedName>
    <definedName name="Range_aaf7d70ec26e496ca6f3db9d98ccd76e">Sheet3!$N$52:$N$54</definedName>
    <definedName name="Range_32bbc9cf2e7f4a83884ca128e37bf058">Sheet3!$B$58:$B$60</definedName>
    <definedName name="Range_b3cd81fce41e4eba9c68011797b7d289">Sheet3!$F$58:$F$60</definedName>
    <definedName name="Range_30d0d4c782724daea81f4dbea1b577c8">Sheet3!$H$52:$H$54</definedName>
    <definedName name="Range_a8701d7510b44b94b185f1b4648d027e">Sheet3!$F$52:$F$54</definedName>
    <definedName name="Range_373f38d173f54f85ad73cad26a133994">Sheet3!$E$58:$E$60</definedName>
    <definedName name="Range_0eefb3a4d2664b70bcd974dbedd3686d">Sheet3!$J$52:$J$54</definedName>
    <definedName name="Range_08a2936d57dc472e886a0cd359d84ad8">Sheet3!$B$52:$B$54</definedName>
    <definedName name="Range_2575238dec6e45508ebc9eef72b85cd4">Sheet3!$G$58:$G$60</definedName>
    <definedName name="Range_c5193f0d032f4d35854de1eed9b2f5d9">Sheet3!$G$52:$G$54</definedName>
    <definedName name="Range_4d6e1527fcc7473aba051a860500515c">Sheet3!$K$52:$K$54</definedName>
    <definedName name="Range_9ce2c7c974a049d5b5ab7ead6f3674a5">Sheet3!$I$52:$I$54</definedName>
    <definedName name="Range_ad3e34e6d1064259965d5e4cca6ff520">Sheet3!$J$58:$J$60</definedName>
    <definedName name="Range_906ce463634c4cf2bda4e523c4f12a9c">Sheet3!$C$52:$C$54</definedName>
    <definedName name="Range_6fa4e507d366412ea9b6dba1d239548b">Sheet3!$H$58:$H$60</definedName>
    <definedName name="Range_71bd7e550aa443538db8184c73221eb6">Sheet3!$C$58:$C$60</definedName>
    <definedName name="Range_1f5b64b10b22479f95ce90f8d8feaac8">Sheet3!$I$58:$I$60</definedName>
    <definedName name="Range_b6443d9308694b7b8cfab31f4dd60099">Sheet3!$D$58:$D$60</definedName>
    <definedName name="Range_7f8ff31d46d8464ab55f49e1e7fdaae7">Sheet4!$L$52:$L$54</definedName>
    <definedName name="Range_b9db1a2904cb49a48530b09d6983b955">Sheet4!$D$52:$D$54</definedName>
    <definedName name="Range_f38e3bd32ca846ba85a4c75d26872480">Sheet4!$E$52:$E$54</definedName>
    <definedName name="Range_6514f108f5be40db9ab233e36d404151">Sheet4!$O$52:$O$54</definedName>
    <definedName name="Range_343adc128ed4487386cc79fdaf1ecc5b">Sheet4!$M$52:$M$54</definedName>
    <definedName name="Range_4f53634dd72742cb83bf859ae93c99a2">Sheet4!$N$52:$N$54</definedName>
    <definedName name="Range_b83e3b7dbc1845fda316edb1365f338e">Sheet4!$B$58:$B$60</definedName>
    <definedName name="Range_edbdc82d2dd64eaf8dc551a319a231ee">Sheet4!$F$58:$F$60</definedName>
    <definedName name="Range_07a7dfd917c84b8993978cb9520e8c65">Sheet4!$H$52:$H$54</definedName>
    <definedName name="Range_107cc11faabf43fdbf27347034bf77cd">Sheet4!$F$52:$F$54</definedName>
    <definedName name="Range_b2a2b25af0ba4cb39eb62f2463131ecb">Sheet4!$E$58:$E$60</definedName>
    <definedName name="Range_b3e91a1db55540a98e7fdc8e844d1959">Sheet4!$J$52:$J$54</definedName>
    <definedName name="Range_161cb27afc39459c87ed409c3bb481cd">Sheet4!$B$52:$B$54</definedName>
    <definedName name="Range_363bb153b8e7437ebf7ca46e90576045">Sheet4!$G$58:$G$60</definedName>
    <definedName name="Range_e78d2a4aa1634007bd18607614e780d7">Sheet4!$G$52:$G$54</definedName>
    <definedName name="Range_930b7a8bc0e246aa908df8c29cc459cb">Sheet4!$K$52:$K$54</definedName>
    <definedName name="Range_403e8a7a582848768e69f7378faa242f">Sheet4!$I$52:$I$54</definedName>
    <definedName name="Range_45ec6e94dcd148409ac538fefa79942a">Sheet4!$J$58:$J$60</definedName>
    <definedName name="Range_efa41b605cad4539af11def632c7feae">Sheet4!$C$52:$C$54</definedName>
    <definedName name="Range_cf735f70924a423998c3b1d9d67afa15">Sheet4!$H$58:$H$60</definedName>
    <definedName name="Range_dc770cdadc784746935e4675a5b4e883">Sheet4!$C$58:$C$60</definedName>
    <definedName name="Range_90bf2b9f25fc4a97a640645156950f61">Sheet4!$I$58:$I$60</definedName>
    <definedName name="Range_3d05d38a5dd84d8fad9f184730c44da6">Sheet4!$D$58:$D$60</definedName>
    <definedName name="Range_65fb71a09d3e4bce9a1377906c3d4611">Sheet5!$L$52:$L$54</definedName>
    <definedName name="Range_b38849e30e9e42e39072d3053b7f03e8">Sheet5!$D$52:$D$54</definedName>
    <definedName name="Range_b0da247abd1c473a857d6ebf328149a4">Sheet5!$E$52:$E$54</definedName>
    <definedName name="Range_ddb99b82be7e4b46946e3566d05ef043">Sheet5!$O$52:$O$54</definedName>
    <definedName name="Range_cec4590ddbd94e8f88f45fd4a26289ef">Sheet5!$M$52:$M$54</definedName>
    <definedName name="Range_9e7a7677968646f380c8112f1e8e3706">Sheet5!$N$52:$N$54</definedName>
    <definedName name="Range_cc7941a2d224494a90d8c17d06fa3e8d">Sheet5!$B$58:$B$60</definedName>
    <definedName name="Range_d7ab8878c5134c8b97bc4ed30b784678">Sheet5!$F$58:$F$60</definedName>
    <definedName name="Range_b7a28cde54b04b08a95624fc7f26394d">Sheet5!$H$52:$H$54</definedName>
    <definedName name="Range_017cd57eced542ec82bb9a1a7481c8e7">Sheet5!$F$52:$F$54</definedName>
    <definedName name="Range_42d1616403c44a878c9f7efaa454a76b">Sheet5!$E$58:$E$60</definedName>
    <definedName name="Range_8c9bbf87a531416da06c279d72e6bd5f">Sheet5!$J$52:$J$54</definedName>
    <definedName name="Range_bad9061a413940be9ed325c4810fa26f">Sheet5!$B$52:$B$54</definedName>
    <definedName name="Range_69eaeeecbb744940a9b4f6c420ccfd53">Sheet5!$G$58:$G$60</definedName>
    <definedName name="Range_f9106e3875a64ebd8ae181d28d280cd7">Sheet5!$G$52:$G$54</definedName>
    <definedName name="Range_42e3d6dde56a462abbdac31d158cef3e">Sheet5!$K$52:$K$54</definedName>
    <definedName name="Range_75fa256a2994436c983c0cc9138161e2">Sheet5!$I$52:$I$54</definedName>
    <definedName name="Range_ff8a1698fd72464bb81c08314a3ba3f1">Sheet5!$J$58:$J$60</definedName>
    <definedName name="Range_7fa0242639c545b2a47e4551540b8549">Sheet5!$C$52:$C$54</definedName>
    <definedName name="Range_3d04a0d884c4478992643e9c26be1b51">Sheet5!$H$58:$H$60</definedName>
    <definedName name="Range_1179d392baae4b21974a9f6f203dfd98">Sheet5!$C$58:$C$60</definedName>
    <definedName name="Range_11743807d2d241f59d1a8269220c0cf5">Sheet5!$I$58:$I$60</definedName>
    <definedName name="Range_b08a37616c4f456d888b31d39556adec">Sheet5!$D$58:$D$60</definedName>
    <definedName name="Range_3bd443371dbe43bdbebb974e3f60cc32">Sheet6!$L$52:$L$54</definedName>
    <definedName name="Range_8edd51ef71ad4c1ab85915f8d413203f">Sheet6!$D$52:$D$54</definedName>
    <definedName name="Range_2540545e81e3417f8a6a102e66672ace">Sheet6!$E$52:$E$54</definedName>
    <definedName name="Range_0f55f72c6a034f2eab4b89baff554324">Sheet6!$O$52:$O$54</definedName>
    <definedName name="Range_4a5247072a704141a57ad3fc7e2a6573">Sheet6!$M$52:$M$54</definedName>
    <definedName name="Range_5dee8ce5111d4cd3bbf39f59571d6e0d">Sheet6!$N$52:$N$54</definedName>
    <definedName name="Range_4595fe3a5fe24d2cab34ee4203c80df3">Sheet6!$B$58:$B$60</definedName>
    <definedName name="Range_c16be78a67324e22bf4c6ed9465df7d6">Sheet6!$F$58:$F$60</definedName>
    <definedName name="Range_9c04623cefaa43ad9ea7b1a20208ccd3">Sheet6!$H$52:$H$54</definedName>
    <definedName name="Range_3ea00e57b31942a385b0e1bcb5decaef">Sheet6!$F$52:$F$54</definedName>
    <definedName name="Range_6a8eeca7ef7842449670df01a09e6964">Sheet6!$E$58:$E$60</definedName>
    <definedName name="Range_39da57363f2a47e396f0f3953d482c92">Sheet6!$J$52:$J$54</definedName>
    <definedName name="Range_d2553dec4e0e440bb957f92d287b86ee">Sheet6!$B$52:$B$54</definedName>
    <definedName name="Range_db0aa4e4a1de41319505fafeae9e71b6">Sheet6!$G$58:$G$60</definedName>
    <definedName name="Range_41682b86a6964b5f906648dd1b18391e">Sheet6!$G$52:$G$54</definedName>
    <definedName name="Range_2760b24788bd490d98ea5ef633dc7334">Sheet6!$K$52:$K$54</definedName>
    <definedName name="Range_d87429b6798247cba6b9dab2dc89d392">Sheet6!$I$52:$I$54</definedName>
    <definedName name="Range_1de76b09823f47c0b9ca2596895acd7e">Sheet6!$J$58:$J$60</definedName>
    <definedName name="Range_736f6557693d427ebc953d80dbeb8b5b">Sheet6!$C$52:$C$54</definedName>
    <definedName name="Range_9b04fbbb597941579ed05c3e11b22a24">Sheet6!$H$58:$H$60</definedName>
    <definedName name="Range_9c092cb39ef44ca687eaa6f1060a1f81">Sheet6!$C$58:$C$60</definedName>
    <definedName name="Range_7354ee008ca648c38935373079a99ab2">Sheet6!$I$58:$I$60</definedName>
    <definedName name="Range_61bcdbbd804448aabdf702d2b885007d">Sheet6!$D$58:$D$60</definedName>
    <definedName name="Range_bf09b28140df4c23b1c941c309ba2d23">Sheet7!$L$52:$L$54</definedName>
    <definedName name="Range_f43596c7bc39458b832351f733316a08">Sheet7!$D$52:$D$54</definedName>
    <definedName name="Range_0fa1134be3cc48148390275c55bb61e6">Sheet7!$E$52:$E$54</definedName>
    <definedName name="Range_e07f90d33fe545c789f5c35966fbe368">Sheet7!$O$52:$O$54</definedName>
    <definedName name="Range_c5385b4796ec4ee8ab55f02d76237fb4">Sheet7!$M$52:$M$54</definedName>
    <definedName name="Range_07bc4ecb98364f808be469eabb87b633">Sheet7!$N$52:$N$54</definedName>
    <definedName name="Range_8e318e7abe684396aaed80b835744ca3">Sheet7!$B$58:$B$60</definedName>
    <definedName name="Range_8994fd20bd05417ba9a9cd44d5a2eaa9">Sheet7!$F$58:$F$60</definedName>
    <definedName name="Range_fd116d15cff14393958a38d01bb93c59">Sheet7!$H$52:$H$54</definedName>
    <definedName name="Range_9aad86bf32cb49e1b434b604c72f3ea3">Sheet7!$F$52:$F$54</definedName>
    <definedName name="Range_4a09ed879e45478dbe5e6761c9b5d817">Sheet7!$E$58:$E$60</definedName>
    <definedName name="Range_a336439d89e147188018d6ec89904040">Sheet7!$J$52:$J$54</definedName>
    <definedName name="Range_305045020f2c48d89f6f0fc1c1ecb22a">Sheet7!$B$52:$B$54</definedName>
    <definedName name="Range_c3d7945ef8364f0c9a26a072f85911c9">Sheet7!$G$58:$G$60</definedName>
    <definedName name="Range_64e06aad600944e3af8a02d856e9b616">Sheet7!$G$52:$G$54</definedName>
    <definedName name="Range_118e6d22fed847a28294175f96930bde">Sheet7!$K$52:$K$54</definedName>
    <definedName name="Range_a56e18fb8a3147869e7ed443c1c45c08">Sheet7!$I$52:$I$54</definedName>
    <definedName name="Range_ae31c635523f4b7c9eda597d1a5993ca">Sheet7!$J$58:$J$60</definedName>
    <definedName name="Range_6e255e874d5c468091c5359e6e383ad5">Sheet7!$C$52:$C$54</definedName>
    <definedName name="Range_717405b51f5f4100a9d91b6ffa24568a">Sheet7!$H$58:$H$60</definedName>
    <definedName name="Range_7611b663a5bc4259b7a70afd6f6c8c26">Sheet7!$C$58:$C$60</definedName>
    <definedName name="Range_d0828b43ac9f46e596cf95cdc284c09b">Sheet7!$I$58:$I$60</definedName>
    <definedName name="Range_92da08e569e44b0fa148911e1edd7c6c">Sheet7!$D$58:$D$60</definedName>
    <definedName name="Range_0042dc8e4bb54a0aa342d51befeec43c">Sheet8!$L$52:$L$54</definedName>
    <definedName name="Range_f485a1efeab94e4a9f73613de6c32dc0">Sheet8!$D$52:$D$54</definedName>
    <definedName name="Range_62151f7019084164a6223969a4b54aaa">Sheet8!$E$52:$E$54</definedName>
    <definedName name="Range_34c42cae472547bd8babd2a9339b4742">Sheet8!$O$52:$O$54</definedName>
    <definedName name="Range_952a137f75024b2ba7a732991ca18352">Sheet8!$M$52:$M$54</definedName>
    <definedName name="Range_d9b13a600daa4240a7c51f66179e7fb2">Sheet8!$N$52:$N$54</definedName>
    <definedName name="Range_e3f1af1c85274bb8bf4a4b7b2d175b5a">Sheet8!$B$58:$B$60</definedName>
    <definedName name="Range_4d6d35529195452f9bc0fedded727093">Sheet8!$F$58:$F$60</definedName>
    <definedName name="Range_eea58e326f594964a411544af7a1343c">Sheet8!$H$52:$H$54</definedName>
    <definedName name="Range_9f936db4124e400c9b7120a966d0bcf8">Sheet8!$F$52:$F$54</definedName>
    <definedName name="Range_f7e56dc1e5914dfe89d3912bff09c3c3">Sheet8!$E$58:$E$60</definedName>
    <definedName name="Range_0ed0a5d342274c81bda07044d0e8e7df">Sheet8!$J$52:$J$54</definedName>
    <definedName name="Range_c692558e30b347c18e2fbd470352d798">Sheet8!$B$52:$B$54</definedName>
    <definedName name="Range_4facde514f0847fc93cdcd1a66a5cc91">Sheet8!$G$58:$G$60</definedName>
    <definedName name="Range_07258b55467241ebb73fb4dc5a7cdddc">Sheet8!$G$52:$G$54</definedName>
    <definedName name="Range_51660a3cf83a419c883c77553f40f28c">Sheet8!$K$52:$K$54</definedName>
    <definedName name="Range_4e9c82a1114348d8b48b67bdfe757ae6">Sheet8!$I$52:$I$54</definedName>
    <definedName name="Range_a87c15b1021c4638850706f720a9d128">Sheet8!$J$58:$J$60</definedName>
    <definedName name="Range_eb4d5870e51146388eae4a475b07e87a">Sheet8!$C$52:$C$54</definedName>
    <definedName name="Range_03eb304d4f454dd09cbda4509d5ed4a3">Sheet8!$H$58:$H$60</definedName>
    <definedName name="Range_40eeabdcabf34188a267d03c743a95ee">Sheet8!$C$58:$C$60</definedName>
    <definedName name="Range_5fd3a766db0c46e3918869dee6415daa">Sheet8!$I$58:$I$60</definedName>
    <definedName name="Range_99dc8c219a8d4bfd8fb81094e6ab85d8">Sheet8!$D$58:$D$60</definedName>
    <definedName name="Range_f35da6be114e43e69d3ad8f869f69c20">Sheet9!$L$52:$L$54</definedName>
    <definedName name="Range_21d1bf9fbd994730b1b47a188c9c49ac">Sheet9!$D$52:$D$54</definedName>
    <definedName name="Range_4ab056ca49664fdbb2017435f467147e">Sheet9!$E$52:$E$54</definedName>
    <definedName name="Range_f385c9bdeb9943afbdb677913db03c17">Sheet9!$O$52:$O$54</definedName>
    <definedName name="Range_9cd87e5263f048cc9f2e7d6fc352863b">Sheet9!$M$52:$M$54</definedName>
    <definedName name="Range_015771c354a34367b7c972343018c5ff">Sheet9!$N$52:$N$54</definedName>
    <definedName name="Range_92cc32d877714bdf93d1a70520ce3725">Sheet9!$B$58:$B$60</definedName>
    <definedName name="Range_0644771ee0ba44ca81357118e519cf07">Sheet9!$F$58:$F$60</definedName>
    <definedName name="Range_d45734ae9279450da7a6c696cd6eecea">Sheet9!$H$52:$H$54</definedName>
    <definedName name="Range_fea2dcd2eed647dd9f5bbc51da2bf88c">Sheet9!$F$52:$F$54</definedName>
    <definedName name="Range_dd3cdd3aa1024ce3832a3330f16e3b8b">Sheet9!$E$58:$E$60</definedName>
    <definedName name="Range_7dfe9d4a73d64184998064686f37b2de">Sheet9!$J$52:$J$54</definedName>
    <definedName name="Range_f8dc5198d1954b57b035fd0dfcfdd179">Sheet9!$B$52:$B$54</definedName>
    <definedName name="Range_daa2db8cb3d74ebc87f5a89c105e9bd5">Sheet9!$G$58:$G$60</definedName>
    <definedName name="Range_b3e5f0a529d84bb8a9ea2f4029cacc1e">Sheet9!$G$52:$G$54</definedName>
    <definedName name="Range_f35bf33edce34ea7ba0fed768efa2536">Sheet9!$K$52:$K$54</definedName>
    <definedName name="Range_5b1754580cdb4988958254cc768bb758">Sheet9!$I$52:$I$54</definedName>
    <definedName name="Range_77fb2fe370644409b2fe0591f72fb28b">Sheet9!$J$58:$J$60</definedName>
    <definedName name="Range_f92319437760459083443d39ac85670c">Sheet9!$C$52:$C$54</definedName>
    <definedName name="Range_a55e717cc9734bd2ab4104484fa08883">Sheet9!$H$58:$H$60</definedName>
    <definedName name="Range_4df92158cae54d15a3cb082faa076e83">Sheet9!$C$58:$C$60</definedName>
    <definedName name="Range_424a9246de7c456cb444958353311f4e">Sheet9!$I$58:$I$60</definedName>
    <definedName name="Range_be44d2d35f6646d797a425d00f2da5ca">Sheet9!$D$58:$D$60</definedName>
    <definedName name="Range_0bd056bcda644fd2ada0b2dc35f2ce99">Sheet10!$L$52:$L$54</definedName>
    <definedName name="Range_d98c069866a24869875577749b70b80e">Sheet10!$D$52:$D$54</definedName>
    <definedName name="Range_e2a64af36fc84e13829ed3eb4bc44462">Sheet10!$E$52:$E$54</definedName>
    <definedName name="Range_64716dbe0e1147b68f1415d97fe55639">Sheet10!$O$52:$O$54</definedName>
    <definedName name="Range_c5356b0128b1496a97b09333c19051f7">Sheet10!$M$52:$M$54</definedName>
    <definedName name="Range_69e79ab4d58e4d0db2d4e5cab1edcbfe">Sheet10!$N$52:$N$54</definedName>
    <definedName name="Range_42156ff2253949f28d5b0249a3ce0365">Sheet10!$B$58:$B$60</definedName>
    <definedName name="Range_4bec62361bfc49d4ab9feac910e2329d">Sheet10!$F$58:$F$60</definedName>
    <definedName name="Range_bfaa69fb692544a8ab8b5d5cb36b9525">Sheet10!$H$52:$H$54</definedName>
    <definedName name="Range_25c59bfe00de455d81b1b2118311c2e9">Sheet10!$F$52:$F$54</definedName>
    <definedName name="Range_67cff58c04b545a5a1b1a17574aaf557">Sheet10!$E$58:$E$60</definedName>
    <definedName name="Range_2151c4abe29c4d68b6ce2547b623392e">Sheet10!$J$52:$J$54</definedName>
    <definedName name="Range_ab7ccb5ce45043f5b56dda9cfc10c031">Sheet10!$B$52:$B$54</definedName>
    <definedName name="Range_93b737cf3769494fb7aa06a788eaea1a">Sheet10!$G$58:$G$60</definedName>
    <definedName name="Range_61435471c583496ab67fe4ba49a6ad35">Sheet10!$G$52:$G$54</definedName>
    <definedName name="Range_c6758a9cf6834cd783ec96bbd417c544">Sheet10!$K$52:$K$54</definedName>
    <definedName name="Range_329834f226b0481bbe55804689299efc">Sheet10!$I$52:$I$54</definedName>
    <definedName name="Range_df16145d9db5431ea69ddc7d9dab673b">Sheet10!$J$58:$J$60</definedName>
    <definedName name="Range_f5fe8c6d27ad4274a4c288ad64287e7c">Sheet10!$C$52:$C$54</definedName>
    <definedName name="Range_76a5421840e843a79e35de76c154a5ed">Sheet10!$H$58:$H$60</definedName>
    <definedName name="Range_c5cb91e70a2f44b29395e872b02e974d">Sheet10!$C$58:$C$60</definedName>
    <definedName name="Range_b8a52d8959a940268208e53f0ab58ee0">Sheet10!$I$58:$I$60</definedName>
    <definedName name="Range_54514dd5ba8c4c3583f3a145b4611058">Sheet10!$D$58:$D$60</definedName>
    <definedName name="Range_83b9b73c0e48455b94e6cdb201c73139">Sheet11!$L$52:$L$54</definedName>
    <definedName name="Range_10d96e830cf44b0cb7525aea67cc5a79">Sheet11!$D$52:$D$54</definedName>
    <definedName name="Range_4b970e036de64fcabc188a7dd87bbdc5">Sheet11!$E$52:$E$54</definedName>
    <definedName name="Range_992c8a7572224d529cb5fd2626dfc3e6">Sheet11!$O$52:$O$54</definedName>
    <definedName name="Range_6349ca477eb54ccb9c1754ca60673107">Sheet11!$M$52:$M$54</definedName>
    <definedName name="Range_6e3a03fdc1eb4e2eb442bd118471e29c">Sheet11!$N$52:$N$54</definedName>
    <definedName name="Range_159eaa507baa4367a4b1621f05f95c99">Sheet11!$B$58:$B$60</definedName>
    <definedName name="Range_878b6826ead84fb2bb21a0bf21822636">Sheet11!$F$58:$F$60</definedName>
    <definedName name="Range_88a31161d5ad468d8b2d5e29cec8c68f">Sheet11!$H$52:$H$54</definedName>
    <definedName name="Range_5fe428701ff347788be137ada767385c">Sheet11!$F$52:$F$54</definedName>
    <definedName name="Range_5d02b8db01db42dcbc4c95e244fcb0b5">Sheet11!$E$58:$E$60</definedName>
    <definedName name="Range_3aa7dadb1c0d4dde8b4400092a200831">Sheet11!$J$52:$J$54</definedName>
    <definedName name="Range_d4f8c5c78f054b62bc74055fdb12a5c7">Sheet11!$B$52:$B$54</definedName>
    <definedName name="Range_4795ef62d8304d32af6e676e03b93912">Sheet11!$G$58:$G$60</definedName>
    <definedName name="Range_d951d88514dd4c9aa7241320e9a5ca80">Sheet11!$G$52:$G$54</definedName>
    <definedName name="Range_50166f2fd48b4a708c37dce3afd74129">Sheet11!$K$52:$K$54</definedName>
    <definedName name="Range_cc10411eab644326b47e1a84f263fbac">Sheet11!$I$52:$I$54</definedName>
    <definedName name="Range_a4bb580b582040f7afdc4fd5e4162314">Sheet11!$J$58:$J$60</definedName>
    <definedName name="Range_2c20dcad24dc4c069c81cb3fab106f19">Sheet11!$C$52:$C$54</definedName>
    <definedName name="Range_481774d73f364feaa372d0a80b9ac29e">Sheet11!$H$58:$H$60</definedName>
    <definedName name="Range_fef0b50b89674d83b9dedcac0bf36277">Sheet11!$C$58:$C$60</definedName>
    <definedName name="Range_b551a40706c84a1ea1d802add147e48a">Sheet11!$I$58:$I$60</definedName>
    <definedName name="Range_a09aa96e7e7a40cc8a23441965c7676e">Sheet11!$D$58:$D$60</definedName>
    <definedName name="Range_984fa11ccde84ab481696d02df98f862">Sheet12!$L$52:$L$54</definedName>
    <definedName name="Range_f5d0c4373e724734a0fb1b4de18ec0a1">Sheet12!$D$52:$D$54</definedName>
    <definedName name="Range_f2f09784315b4fa2ba3f860df4bc3122">Sheet12!$E$52:$E$54</definedName>
    <definedName name="Range_2e8f66a9f6714f7b926ccc29ce1f8c55">Sheet12!$O$52:$O$54</definedName>
    <definedName name="Range_5d9643d487314886ab9c7f53748b8632">Sheet12!$M$52:$M$54</definedName>
    <definedName name="Range_4d7d9b50cbb442bf94d0e40cb4a2b9d1">Sheet12!$N$52:$N$54</definedName>
    <definedName name="Range_d334258f6ad44190acc8b1faaef381ae">Sheet12!$B$58:$B$60</definedName>
    <definedName name="Range_010d27b8ca3d4677b53d11a5edf28d37">Sheet12!$F$58:$F$60</definedName>
    <definedName name="Range_6f78399bf3894834af65473abe3df9cb">Sheet12!$H$52:$H$54</definedName>
    <definedName name="Range_c8486cf8b96944c4bb865e74d308e4cb">Sheet12!$F$52:$F$54</definedName>
    <definedName name="Range_1205d350fc184fafb8da81404b6a4e31">Sheet12!$E$58:$E$60</definedName>
    <definedName name="Range_f4206940df6a480894b14822eda249b9">Sheet12!$J$52:$J$54</definedName>
    <definedName name="Range_7e3b5df881554c78bc8147e3cd5342dd">Sheet12!$B$52:$B$54</definedName>
    <definedName name="Range_88f7c881255447a7baf88afc50e34816">Sheet12!$G$58:$G$60</definedName>
    <definedName name="Range_4da1a834cc484911aca4026c780ba171">Sheet12!$G$52:$G$54</definedName>
    <definedName name="Range_f49732a16ae6426cb44339b6d5de17cd">Sheet12!$K$52:$K$54</definedName>
    <definedName name="Range_e52e872ff64d4f20b4ca4fa4a7297a86">Sheet12!$I$52:$I$54</definedName>
    <definedName name="Range_8ea8f98eb4f74031adeba25cf4efbf85">Sheet12!$J$58:$J$60</definedName>
    <definedName name="Range_b073de5978054a5282dd82ca86745922">Sheet12!$C$52:$C$54</definedName>
    <definedName name="Range_ad887a382f1146e9aa7af2799d436345">Sheet12!$H$58:$H$60</definedName>
    <definedName name="Range_6be3e3b87ff24f0daee69f95e3eb6911">Sheet12!$C$58:$C$60</definedName>
    <definedName name="Range_925eca45855f4f3ba32fc0931f14af60">Sheet12!$I$58:$I$60</definedName>
    <definedName name="Range_428a25e30973490598e9f3ace6e4d0de">Sheet12!$D$58:$D$60</definedName>
    <definedName name="Range_567ffa15f84540c78c43ef8a7b8f623b">Sheet13!$L$52:$L$54</definedName>
    <definedName name="Range_86888772be52442ca82beb70eed14b12">Sheet13!$D$52:$D$54</definedName>
    <definedName name="Range_7dab3b0e0a5c43819e348c36b2029145">Sheet13!$E$52:$E$54</definedName>
    <definedName name="Range_7d37c2df6e544471b1ffe25d74634641">Sheet13!$O$52:$O$54</definedName>
    <definedName name="Range_bc4b490ec1424bf19b6d08a119d58a25">Sheet13!$M$52:$M$54</definedName>
    <definedName name="Range_2c40be51275147e19786bc7bf964b86d">Sheet13!$N$52:$N$54</definedName>
    <definedName name="Range_d8e84a9b9adc46579c571a7f5ed65d31">Sheet13!$B$58:$B$60</definedName>
    <definedName name="Range_9184e9c841cf48c39890530c20d67533">Sheet13!$F$58:$F$60</definedName>
    <definedName name="Range_8fcb46577598495e910cc143cbb91462">Sheet13!$H$52:$H$54</definedName>
    <definedName name="Range_f7b62d5b192e40a5a890b95de8fbe3c1">Sheet13!$F$52:$F$54</definedName>
    <definedName name="Range_47340d1863624f2d87d93efb952c21ce">Sheet13!$E$58:$E$60</definedName>
    <definedName name="Range_15f39843cf1d4c78a30ed80c4940edc0">Sheet13!$J$52:$J$54</definedName>
    <definedName name="Range_0972bf783cf942108b5a1e4361e00bbd">Sheet13!$B$52:$B$54</definedName>
    <definedName name="Range_fbd6da3073304ce2a9b45e427b0ff94e">Sheet13!$G$58:$G$60</definedName>
    <definedName name="Range_d81bc8aa6286468282d9a8dcc4671cf7">Sheet13!$G$52:$G$54</definedName>
    <definedName name="Range_bb3265c4b44a4034a7b4121a702f190f">Sheet13!$K$52:$K$54</definedName>
    <definedName name="Range_25eeaa846b134b178940b7ef09e16dbd">Sheet13!$I$52:$I$54</definedName>
    <definedName name="Range_c0db9af87a6a45aba7f7fb7352a8942a">Sheet13!$J$58:$J$60</definedName>
    <definedName name="Range_dbde025f1fe748bd9923e4ddf3a4aacd">Sheet13!$C$52:$C$54</definedName>
    <definedName name="Range_264189a3d5734441b7b75e90bbad5241">Sheet13!$H$58:$H$60</definedName>
    <definedName name="Range_16564add02df4948a81d61df7fbcc8c2">Sheet13!$C$58:$C$60</definedName>
    <definedName name="Range_476b31e648354ee085b4a3e201aee0ae">Sheet13!$I$58:$I$60</definedName>
    <definedName name="Range_d77e44e73bcc41c2b3c729dadaaf0fe6">Sheet13!$D$58:$D$60</definedName>
    <definedName name="Range_9f8d502c0282439fa4a208c17e961bb8">Sheet14!$L$52:$L$54</definedName>
    <definedName name="Range_167b23707da547cbb692c6b000a10f1c">Sheet14!$D$52:$D$54</definedName>
    <definedName name="Range_7e28c9df2aef499092d3355099d2e01d">Sheet14!$E$52:$E$54</definedName>
    <definedName name="Range_657c9a6739374afaaccf7fbebb4e8b0c">Sheet14!$O$52:$O$54</definedName>
    <definedName name="Range_aee7a73e0ef544f7a28da49ca00285c4">Sheet14!$M$52:$M$54</definedName>
    <definedName name="Range_c49b7e2009fa4a95b07748ea2f84eda3">Sheet14!$N$52:$N$54</definedName>
    <definedName name="Range_0116a9f9718a4479ac31dce51deb497f">Sheet14!$B$58:$B$60</definedName>
    <definedName name="Range_757f396874564fe58f28fa81c8cd9e16">Sheet14!$F$58:$F$60</definedName>
    <definedName name="Range_f54b0311f61b4273a91ca4b3ebba957c">Sheet14!$H$52:$H$54</definedName>
    <definedName name="Range_68cbacb240d042a09397f6851c3fcc33">Sheet14!$F$52:$F$54</definedName>
    <definedName name="Range_dfb79b8a07b1424a84688f7bdf7b3288">Sheet14!$E$58:$E$60</definedName>
    <definedName name="Range_77c74a135dab479cbbd2ad3d6244c2a0">Sheet14!$J$52:$J$54</definedName>
    <definedName name="Range_d5a28c7b10fd4e4b89d835a2b9ad7dbe">Sheet14!$B$52:$B$54</definedName>
    <definedName name="Range_f8211cbd54524567afb272f8f27d15bd">Sheet14!$G$58:$G$60</definedName>
    <definedName name="Range_30ecd55d2e764db981538504633a72a5">Sheet14!$G$52:$G$54</definedName>
    <definedName name="Range_b9466a3567034528a2351e84b3821d13">Sheet14!$K$52:$K$54</definedName>
    <definedName name="Range_6f9d424c4df14408acc64ca20b6a7e46">Sheet14!$I$52:$I$54</definedName>
    <definedName name="Range_27aa0cdccdde43c4920c412a232b117d">Sheet14!$J$58:$J$60</definedName>
    <definedName name="Range_25b8630ef78a46ed991d794c90712038">Sheet14!$C$52:$C$54</definedName>
    <definedName name="Range_3c133e517efc4eb3bd3760afe85b2dd7">Sheet14!$H$58:$H$60</definedName>
    <definedName name="Range_90a80a6b2aa445ea921f5c4ddc228594">Sheet14!$C$58:$C$60</definedName>
    <definedName name="Range_3679811d248646b88263fbcac25f82bb">Sheet14!$I$58:$I$60</definedName>
    <definedName name="Range_d468a3ba5a754cbe9fc791d4b2024273">Sheet14!$D$58:$D$60</definedName>
    <definedName name="Range_3b0dec97b7304709913a80f465569567">Sheet15!$L$52:$L$54</definedName>
    <definedName name="Range_539981fabab144189601bdf1ff9c8911">Sheet15!$D$52:$D$54</definedName>
    <definedName name="Range_670ec74893ff48c6b02aca0785fb473c">Sheet15!$E$52:$E$54</definedName>
    <definedName name="Range_88b6b6f8d8964487baf7926b885af673">Sheet15!$O$52:$O$54</definedName>
    <definedName name="Range_9e3902743d1b46ae859f9860c63cf759">Sheet15!$M$52:$M$54</definedName>
    <definedName name="Range_061b6e7d26664a51aca49380f6dc41ce">Sheet15!$N$52:$N$54</definedName>
    <definedName name="Range_608e6ee75cd949a29e95e9f91dee5768">Sheet15!$B$58:$B$60</definedName>
    <definedName name="Range_6ba1b8cd87824637a7e28de704117385">Sheet15!$F$58:$F$60</definedName>
    <definedName name="Range_a9a35c5393314bc3bbd1bc972ede1995">Sheet15!$H$52:$H$54</definedName>
    <definedName name="Range_9a42d5e2ab0a400492b7a06c15ed72ea">Sheet15!$F$52:$F$54</definedName>
    <definedName name="Range_71622a382c82440eb6d538c4c4dd8866">Sheet15!$E$58:$E$60</definedName>
    <definedName name="Range_685ec9c140014ad59fa50a788f1da2f1">Sheet15!$J$52:$J$54</definedName>
    <definedName name="Range_7c7e85b44afd497982ca63ce02113657">Sheet15!$B$52:$B$54</definedName>
    <definedName name="Range_f90adedb5cfe45a2bfeaff95a5cfe61c">Sheet15!$G$58:$G$60</definedName>
    <definedName name="Range_80a6c50c94734eca8ba9b4fe927d5423">Sheet15!$G$52:$G$54</definedName>
    <definedName name="Range_5b14bc0680aa46d8a3995309d6d6c609">Sheet15!$K$52:$K$54</definedName>
    <definedName name="Range_37a3cbde5cd04459aa843fbe9461db9d">Sheet15!$I$52:$I$54</definedName>
    <definedName name="Range_e69176ba0bde4969b0d71502e1ab6c91">Sheet15!$J$58:$J$60</definedName>
    <definedName name="Range_24bc4de67d4440f49c0235112749f723">Sheet15!$C$52:$C$54</definedName>
    <definedName name="Range_8ae93d9d4fea4f06a6c7a020a0ba00d4">Sheet15!$H$58:$H$60</definedName>
    <definedName name="Range_4d7a8dfe6bc04e37b0e06a566a572993">Sheet15!$C$58:$C$60</definedName>
    <definedName name="Range_0851aebde4a44dd7adf054d5a962378c">Sheet15!$I$58:$I$60</definedName>
    <definedName name="Range_2a73710bf2884ea9bfe0e53bfa91d10b">Sheet15!$D$58:$D$60</definedName>
    <definedName name="Range_bab33a914f54434ab7bd320db925a868">Sheet16!$L$52:$L$54</definedName>
    <definedName name="Range_5ae4777d359b4f00841c562fee991dd7">Sheet16!$D$52:$D$54</definedName>
    <definedName name="Range_621df3e61c234c689db8c377f5f7774d">Sheet16!$E$52:$E$54</definedName>
    <definedName name="Range_8c31b53e7e1f45bda8897b26c8e7388a">Sheet16!$O$52:$O$54</definedName>
    <definedName name="Range_a81142c03f394a9a89285c9801f054f3">Sheet16!$M$52:$M$54</definedName>
    <definedName name="Range_3a3c3accc0ad445089e82b76fea66294">Sheet16!$N$52:$N$54</definedName>
    <definedName name="Range_3d814d011a6647ec9d347179f9b0ecd7">Sheet16!$B$58:$B$60</definedName>
    <definedName name="Range_034bbd9b23c1472ebe0b8cf870f1bde9">Sheet16!$F$58:$F$60</definedName>
    <definedName name="Range_fb698d240f124f90ae9c7b2524f3b650">Sheet16!$H$52:$H$54</definedName>
    <definedName name="Range_7d83c0b5b5ad43d4a0c9ba6d72afe81e">Sheet16!$F$52:$F$54</definedName>
    <definedName name="Range_3ed707164bc34a67a0f9ab0c0ec2360a">Sheet16!$E$58:$E$60</definedName>
    <definedName name="Range_38e085061e0e4daca986d5940011d182">Sheet16!$J$52:$J$54</definedName>
    <definedName name="Range_6aea0cb3d8d94ab89b2ddf4ff961dd0d">Sheet16!$B$52:$B$54</definedName>
    <definedName name="Range_634a9998fcfd4671a1cd205a8af23fd1">Sheet16!$G$58:$G$60</definedName>
    <definedName name="Range_a5bb69b897264466a02dd40236a813ea">Sheet16!$G$52:$G$54</definedName>
    <definedName name="Range_498e1cf781754f63beb6730792fb6532">Sheet16!$K$52:$K$54</definedName>
    <definedName name="Range_e3ac1a1d39e44ff58ae0567fa299101a">Sheet16!$I$52:$I$54</definedName>
    <definedName name="Range_6b08efb4acdb4a8b9a43adf5bcd28f39">Sheet16!$J$58:$J$60</definedName>
    <definedName name="Range_c38ce2ae201140328c72d2821056b089">Sheet16!$C$52:$C$54</definedName>
    <definedName name="Range_1ea9afad0f744e75a32acc22c7c06a9b">Sheet16!$H$58:$H$60</definedName>
    <definedName name="Range_47fa0ef77463453e81e917585530538a">Sheet16!$C$58:$C$60</definedName>
    <definedName name="Range_5d0367620a9b4bcb91b7a63e6d7066e3">Sheet16!$I$58:$I$60</definedName>
    <definedName name="Range_7c2b708137034bc7ab34faf3828c898b">Sheet16!$D$58:$D$60</definedName>
    <definedName name="Range_43180d6c8e274da8ad2c6ead5c0dbf2d">Sheet17!$L$52:$L$54</definedName>
    <definedName name="Range_2207a6b00a044987aafc20051114ff62">Sheet17!$D$52:$D$54</definedName>
    <definedName name="Range_17f110abb42042978802cdccad56fffa">Sheet17!$E$52:$E$54</definedName>
    <definedName name="Range_f125832509b84832bc6b29bb96b1b7d3">Sheet17!$O$52:$O$54</definedName>
    <definedName name="Range_ff6ccc32d2504b8bb70267efac1ec4e0">Sheet17!$M$52:$M$54</definedName>
    <definedName name="Range_11b45528cd924758a9902f3ecdd69ebc">Sheet17!$N$52:$N$54</definedName>
    <definedName name="Range_ecc049aefb82457cad26b6117521d769">Sheet17!$B$58:$B$60</definedName>
    <definedName name="Range_e8bc5c1f23e34691b92764c7d8c7fc8a">Sheet17!$F$58:$F$60</definedName>
    <definedName name="Range_96ae556b5ea24ab880f862dcce3dff85">Sheet17!$H$52:$H$54</definedName>
    <definedName name="Range_5c50353522c44369b1d35805b6181264">Sheet17!$F$52:$F$54</definedName>
    <definedName name="Range_9ff101b37ee243d6a0515d3d20fa864b">Sheet17!$E$58:$E$60</definedName>
    <definedName name="Range_d927c1cd8a3e43fb9430ed66e0f6aaf7">Sheet17!$J$52:$J$54</definedName>
    <definedName name="Range_1bb58ec1eb7946bd8c29c6b8b4e843a1">Sheet17!$B$52:$B$54</definedName>
    <definedName name="Range_4e5ef70316ad4f968c2213216ffbe657">Sheet17!$G$58:$G$60</definedName>
    <definedName name="Range_bdda6946d94e4da18aa67bae109c9e35">Sheet17!$G$52:$G$54</definedName>
    <definedName name="Range_3637c3c6900343d9a87ca8c8e90b8350">Sheet17!$K$52:$K$54</definedName>
    <definedName name="Range_16674d29660f4063b13a19cb22155baf">Sheet17!$I$52:$I$54</definedName>
    <definedName name="Range_8fbee1b34b1a4a6a9112bfeb6848e259">Sheet17!$J$58:$J$60</definedName>
    <definedName name="Range_06c93cb5229144e9b19b618c8a2c6485">Sheet17!$C$52:$C$54</definedName>
    <definedName name="Range_dcbdf4f9f0f94eb1a3b9cbae76215379">Sheet17!$H$58:$H$60</definedName>
    <definedName name="Range_3e8c250abad642218a2d184630de29b7">Sheet17!$C$58:$C$60</definedName>
    <definedName name="Range_7c43249bf8284d68b7f8168374ad44c5">Sheet17!$I$58:$I$60</definedName>
    <definedName name="Range_bdd3fe20fbc94806833c23ec4568cb3e">Sheet17!$D$58:$D$60</definedName>
    <definedName name="Range_de8bc8fec35e41d397163371899387be">Sheet18!$L$52:$L$54</definedName>
    <definedName name="Range_14401ec04684432e8b927959e7322b29">Sheet18!$D$52:$D$54</definedName>
    <definedName name="Range_1d5734fb59b842da9bd085b1b86ddf50">Sheet18!$E$52:$E$54</definedName>
    <definedName name="Range_0dfaa287af784ec586ee855fa1765317">Sheet18!$O$52:$O$54</definedName>
    <definedName name="Range_bd763d17308347a0b95e5484e45fc9c1">Sheet18!$M$52:$M$54</definedName>
    <definedName name="Range_7cb8d3cef61c436394ccb5aff8864f5d">Sheet18!$N$52:$N$54</definedName>
    <definedName name="Range_06ec216e756f42abba2f9e1f829895a0">Sheet18!$B$58:$B$60</definedName>
    <definedName name="Range_f976f1e1d4ee47c29a4d05de6c644132">Sheet18!$F$58:$F$60</definedName>
    <definedName name="Range_7d6916c37e27463e8c673bfee4953134">Sheet18!$H$52:$H$54</definedName>
    <definedName name="Range_d9d791b0a13b4f0f88507fd2e77dd8de">Sheet18!$F$52:$F$54</definedName>
    <definedName name="Range_0ee3cdefeb074ed19b4ff8c120781c0c">Sheet18!$E$58:$E$60</definedName>
    <definedName name="Range_aefa15aab6aa4453b932a1b14679d3d2">Sheet18!$J$52:$J$54</definedName>
    <definedName name="Range_35524d36846246e4adc180038aa8c252">Sheet18!$B$52:$B$54</definedName>
    <definedName name="Range_91a988cd44cb4249af7fe18a1ddba398">Sheet18!$G$58:$G$60</definedName>
    <definedName name="Range_543f130a91ab40caa93845da2317a02f">Sheet18!$G$52:$G$54</definedName>
    <definedName name="Range_62604e0882b14cc1b964e9ba5e4188d7">Sheet18!$K$52:$K$54</definedName>
    <definedName name="Range_a16fca45124442a7988f7491d9594303">Sheet18!$I$52:$I$54</definedName>
    <definedName name="Range_5c248e2c12ad42a88eb8746581914f5a">Sheet18!$J$58:$J$60</definedName>
    <definedName name="Range_126aa5d614c8484296e75a784275b69e">Sheet18!$C$52:$C$54</definedName>
    <definedName name="Range_e0bd7761b33f431e8c9524a887b3e6d8">Sheet18!$H$58:$H$60</definedName>
    <definedName name="Range_ab0e7caeb0fa4b8d889b03418bd94c9c">Sheet18!$C$58:$C$60</definedName>
    <definedName name="Range_117c9909325d4d6c8e7526deafeeb237">Sheet18!$I$58:$I$60</definedName>
    <definedName name="Range_7f69eb03d6814e4c899914e9fc3eacea">Sheet18!$D$58:$D$60</definedName>
    <definedName name="Range_18c5b6b555f647b3ac9690fee9db5de1">Sheet19!$L$52:$L$54</definedName>
    <definedName name="Range_64a79e2ae1ab45c99ffa8b36c1a82106">Sheet19!$D$52:$D$54</definedName>
    <definedName name="Range_419001d66e2a476dbdad207d4ece096e">Sheet19!$E$52:$E$54</definedName>
    <definedName name="Range_3c1a1e869bca4342ac795b7a27fbecea">Sheet19!$O$52:$O$54</definedName>
    <definedName name="Range_7cda7f3f7c25431d9705d88e2a15a910">Sheet19!$M$52:$M$54</definedName>
    <definedName name="Range_6efc41cae2e54ccbab0712de87424a9d">Sheet19!$N$52:$N$54</definedName>
    <definedName name="Range_49b54515a9a44b389ccd989651c216b2">Sheet19!$B$58:$B$60</definedName>
    <definedName name="Range_e42531a90ffa4b20b394e4b509fe1c4f">Sheet19!$F$58:$F$60</definedName>
    <definedName name="Range_43d1b9aada4b480c8ec156cbb2bf433a">Sheet19!$H$52:$H$54</definedName>
    <definedName name="Range_fc5fa657e21f4b54baac30b8ef1d4668">Sheet19!$F$52:$F$54</definedName>
    <definedName name="Range_47f59eb90d4e4b7ab241841513ece8cb">Sheet19!$E$58:$E$60</definedName>
    <definedName name="Range_f409d7dd543e4c6c84d6ebded2c2fb4a">Sheet19!$J$52:$J$54</definedName>
    <definedName name="Range_6574901e8bd1430c8303e6fb21883d0a">Sheet19!$B$52:$B$54</definedName>
    <definedName name="Range_6b90c7eb731a41f2a93f9e16c6361cfa">Sheet19!$G$58:$G$60</definedName>
    <definedName name="Range_0371438e0474429880d3fb7dbc03428b">Sheet19!$G$52:$G$54</definedName>
    <definedName name="Range_4f16766ca0d3437fa4ab9f0d5fbf8e6c">Sheet19!$K$52:$K$54</definedName>
    <definedName name="Range_d165d055a8df485dba79d8741900994e">Sheet19!$I$52:$I$54</definedName>
    <definedName name="Range_4fab092345024f5d981637cb1b1a39f1">Sheet19!$J$58:$J$60</definedName>
    <definedName name="Range_6b3be87ff9fd43a9823903b7eacf05b2">Sheet19!$C$52:$C$54</definedName>
    <definedName name="Range_76f909a803d5491a9719729d91b75ae0">Sheet19!$H$58:$H$60</definedName>
    <definedName name="Range_ca256e62577b4dc09438322ea192c58a">Sheet19!$C$58:$C$60</definedName>
    <definedName name="Range_f02d4088fff74641ac5622d15b3deb2a">Sheet19!$I$58:$I$60</definedName>
    <definedName name="Range_831eab3428874986b031df111f11c06e">Sheet19!$D$58:$D$60</definedName>
    <definedName name="Range_c7919a42716e4d0397e19961fe996641">Sheet1!$C$53</definedName>
    <definedName name="Range_16eba27e40164c5f9cf6ea700bf3a461">Sheet1!$H$53</definedName>
    <definedName name="Range_18eba3834e14404fa38c44f050911786">Sheet1!$G$53</definedName>
    <definedName name="Range_abc781abcd9a472e9a3f72b6d4161b34">Sheet1!$B$53</definedName>
    <definedName name="Range_115a8aee35244e0089a515082b390686">Sheet1!$J$53</definedName>
    <definedName name="Range_f8515b4395b14605a59a03fc55c8d723">Sheet1!$E$53</definedName>
    <definedName name="Range_dcecf6e0fdc64c2dbbdc2f0e2baa9d50">Sheet1!$O$53</definedName>
    <definedName name="Range_99e44554037c437884649fba05a3e1d6">Sheet1!$N$53</definedName>
    <definedName name="Range_79b68e5072f94f7fbca84b189ca32e09">Sheet1!$M$53</definedName>
    <definedName name="Range_fc171976dc1f4e46876bf0328fbbc32d">Sheet1!$D$53</definedName>
    <definedName name="Range_015a2bb22e9e43c9a1783000b7ce311f">Sheet1!$L$53</definedName>
    <definedName name="Range_abdf2231b44f4d308805390af1f18dee">Sheet1!$F$53</definedName>
    <definedName name="Range_2c122b94125f48969409bc5f02c3807f">Sheet1!$K$53</definedName>
    <definedName name="Range_40018e9d7311475d9937f60e9f1a1c23">Sheet1!$I$53</definedName>
    <definedName name="Range_cd7741bdfdc249d8814f4267971ccce0">Sheet1!$C$54</definedName>
    <definedName name="Range_fb88542452ce42f1b57fc322446ee87e">Sheet1!$H$54</definedName>
    <definedName name="Range_3bff5858ca67411d86f528052af06004">Sheet1!$G$54</definedName>
    <definedName name="Range_2c9a39dc18a242fea66107cfc2796a4f">Sheet1!$B$54</definedName>
    <definedName name="Range_7310645a4d4043f7be3374225cfa73e4">Sheet1!$J$54</definedName>
    <definedName name="Range_a6c9c5a11d8d4655b345985e0cd6f07f">Sheet1!$E$54</definedName>
    <definedName name="Range_07a124c1bcf24a8e926ca2d11a037bda">Sheet1!$O$54</definedName>
    <definedName name="Range_241e7aa5c34e4074990d5412f57aada6">Sheet1!$N$54</definedName>
    <definedName name="Range_497a32468c454a03953620116a77f9ca">Sheet1!$M$54</definedName>
    <definedName name="Range_a7084105683b44a9abadae9739998fad">Sheet1!$D$54</definedName>
    <definedName name="Range_d44fc8f7955247c9b0da42a1b962382c">Sheet1!$L$54</definedName>
    <definedName name="Range_b280f251115a4fb99619760aa7cdb161">Sheet1!$F$54</definedName>
    <definedName name="Range_edfc932ea5cc497d8f2eb4850413058a">Sheet1!$K$54</definedName>
    <definedName name="Range_edb77c27ecf3467596f0dd0c30176629">Sheet1!$I$54</definedName>
    <definedName name="Range_c4400dd9b4094069935a637337f58b00">Sheet1!$I$59</definedName>
    <definedName name="Range_b7cf4a64d1a14f71aedab81dff1c0ce2">Sheet1!$C$59</definedName>
    <definedName name="Range_c153be0cd7c6491681fbceb1643d6272">Sheet1!$H$59</definedName>
    <definedName name="Range_0390639a8c5e4be89f7be1a8b2bc249c">Sheet1!$G$59</definedName>
    <definedName name="Range_1e7e5d18885346d3b3ff2bf35d64b36a">Sheet1!$J$59</definedName>
    <definedName name="Range_1d78bf351b104745a6a964f7ad3e0dd0">Sheet1!$D$59</definedName>
    <definedName name="Range_af65eb3b55bc4fd991a3a508dac9c056">Sheet1!$B$59</definedName>
    <definedName name="Range_5e40c686b15446ec8276481dfd4a8be4">Sheet1!$F$59</definedName>
    <definedName name="Range_6afa74fb622d440bb4eac9ea2e479b29">Sheet1!$E$59</definedName>
    <definedName name="Range_fa309d7668234a21b43c65548a99fa96">Sheet1!$I$60</definedName>
    <definedName name="Range_73eef8e35247497b80e223d7f2682393">Sheet1!$C$60</definedName>
    <definedName name="Range_775714b96ee44096ab5146adf7a6843b">Sheet1!$H$60</definedName>
    <definedName name="Range_557c8d57d0824092b18b02fbb0249246">Sheet1!$G$60</definedName>
    <definedName name="Range_aa99dfbe6dc042b68ec6ee52b58824a6">Sheet1!$J$60</definedName>
    <definedName name="Range_9cace65633ad4bd69e956c00d2174f00">Sheet1!$D$60</definedName>
    <definedName name="Range_234ccc00a86240469fcf62e5de983dd7">Sheet1!$B$60</definedName>
    <definedName name="Range_34002ac572eb4ceda71318f4ce6a04f7">Sheet1!$F$60</definedName>
    <definedName name="Range_eca88e3c7d4b4299ba3d62d09e61a32b">Sheet1!$E$60</definedName>
    <definedName name="Range_6683165f4530476ea09c1303adf96863">Sheet2!$C$53</definedName>
    <definedName name="Range_1b370e97af67427a907629630804cb36">Sheet2!$H$53</definedName>
    <definedName name="Range_0fafa50506e84c109c1641c2e1914a9b">Sheet2!$G$53</definedName>
    <definedName name="Range_aa78918e02ab4c9d903e2c263e8fa13f">Sheet2!$B$53</definedName>
    <definedName name="Range_f128c5350d5f49658a99e65fbbc44e65">Sheet2!$J$53</definedName>
    <definedName name="Range_eaf69bdc81324ace83c77018714d26fa">Sheet2!$E$53</definedName>
    <definedName name="Range_3bc2ab868ce444b1ba8b6f615bda22ab">Sheet2!$O$53</definedName>
    <definedName name="Range_6cd77fe331be446ab1732d0325d2adf9">Sheet2!$N$53</definedName>
    <definedName name="Range_d4cfb723d893498dabef88d8e5a68e4c">Sheet2!$M$53</definedName>
    <definedName name="Range_4102d6bdf7d74ba7bbd9280ca8ea6479">Sheet2!$D$53</definedName>
    <definedName name="Range_f4b9142e816c4e4ea08708c4aa082097">Sheet2!$L$53</definedName>
    <definedName name="Range_ab0e4dc075b048c9a4c301dae4138f5f">Sheet2!$F$53</definedName>
    <definedName name="Range_12fdcc7688f44e97bec9d0d323eb0858">Sheet2!$K$53</definedName>
    <definedName name="Range_69c4e8ce794145e6b1f91dba77385f4a">Sheet2!$I$53</definedName>
    <definedName name="Range_3695ea497a3d42b4a81b2c479aee2b5e">Sheet2!$C$54</definedName>
    <definedName name="Range_fa8e4321d0044767902fe565c66430a0">Sheet2!$H$54</definedName>
    <definedName name="Range_408264d4973341c1a0700c3adb07da77">Sheet2!$G$54</definedName>
    <definedName name="Range_97b5603996ab4f29a20a6ca06ff5be3c">Sheet2!$B$54</definedName>
    <definedName name="Range_215d0bcdb4764be685776daf86aa37e5">Sheet2!$J$54</definedName>
    <definedName name="Range_d683fc1d68ce466ba33fbf618c23437e">Sheet2!$E$54</definedName>
    <definedName name="Range_253b32a5f96e404aad6ebdafd9b00776">Sheet2!$O$54</definedName>
    <definedName name="Range_d94f29f89fed44af8f77d2dc8c274d31">Sheet2!$N$54</definedName>
    <definedName name="Range_8555bf8f7385421f9b723a12b895bbc4">Sheet2!$M$54</definedName>
    <definedName name="Range_160f31df6b734d95b5cf6daab9a4d803">Sheet2!$D$54</definedName>
    <definedName name="Range_333856dfaa8442a094743e7fa9296214">Sheet2!$L$54</definedName>
    <definedName name="Range_99d092821348412c9e740cbb88cbf4ca">Sheet2!$F$54</definedName>
    <definedName name="Range_9eb5b41de014441c9a5dfdf41ff3391d">Sheet2!$K$54</definedName>
    <definedName name="Range_05ace1adbfa74e5899cc08a22913d220">Sheet2!$I$54</definedName>
    <definedName name="Range_4642370104e4453ba043a014dfe69a3b">Sheet2!$I$59</definedName>
    <definedName name="Range_35ee4c58042e4a2cbb7c3efe6395e0d5">Sheet2!$C$59</definedName>
    <definedName name="Range_eeb04d1a10ef498bb2924e3a3993b856">Sheet2!$H$59</definedName>
    <definedName name="Range_c2ba04b1b9ab446d9dc2d626af214f1c">Sheet2!$G$59</definedName>
    <definedName name="Range_d9e6c9adb496475c910fa2827377bbc2">Sheet2!$J$59</definedName>
    <definedName name="Range_639d32573b1a4628b8469f0517c191f7">Sheet2!$D$59</definedName>
    <definedName name="Range_3387f990153f45ec9d0194754beccc23">Sheet2!$B$59</definedName>
    <definedName name="Range_2d02df1adc364c3886e13cac3b5bb2c3">Sheet2!$F$59</definedName>
    <definedName name="Range_8ddc7fd590144ba9a8a5969a3b7f1cb1">Sheet2!$E$59</definedName>
    <definedName name="Range_13c41d152ee748a6a3aa5fc3cd619c62">Sheet2!$I$60</definedName>
    <definedName name="Range_072b115464564af1ac1a049cc807a01e">Sheet2!$C$60</definedName>
    <definedName name="Range_b822318aaa48463191a16a40e79a7898">Sheet2!$H$60</definedName>
    <definedName name="Range_beb4004168254cdb993877648789e892">Sheet2!$G$60</definedName>
    <definedName name="Range_74d04d082c7f4e74b5e5d0648ca5cf59">Sheet2!$J$60</definedName>
    <definedName name="Range_4d02d3efaeda4d8292b8e3b7f4882aa9">Sheet2!$D$60</definedName>
    <definedName name="Range_2911539258ec44baa58e24decd1e5049">Sheet2!$B$60</definedName>
    <definedName name="Range_4111fa03bc4049f7884a82010517d8a9">Sheet2!$F$60</definedName>
    <definedName name="Range_381acb1239564b45ace70e580abc7305">Sheet2!$E$60</definedName>
    <definedName name="Range_b653ce0f6fda40af867ab9a31fdeb48c">Sheet3!$C$53</definedName>
    <definedName name="Range_0df3c6f558d24b3a9924b27b2d262eeb">Sheet3!$H$53</definedName>
    <definedName name="Range_87e209f65f9a405d921be3eb6e89e535">Sheet3!$G$53</definedName>
    <definedName name="Range_e7b83cb07e4944c1868a83c2df5ccf3a">Sheet3!$B$53</definedName>
    <definedName name="Range_0b0afe0566f34770a758149ac634dcb8">Sheet3!$J$53</definedName>
    <definedName name="Range_b9059fd0efba4ee6a1b521de241a7dd2">Sheet3!$E$53</definedName>
    <definedName name="Range_9266d29c8dfd4f6086548077a5a368fc">Sheet3!$O$53</definedName>
    <definedName name="Range_28c4eb332e11416f95dc19ed20ba895f">Sheet3!$N$53</definedName>
    <definedName name="Range_447821fa1f194af1807d0734370a4c4c">Sheet3!$M$53</definedName>
    <definedName name="Range_f87c13c7e658460b9ac647ca121b18e3">Sheet3!$D$53</definedName>
    <definedName name="Range_cf9fcf5c40294aed824f7c1ce61c82d8">Sheet3!$L$53</definedName>
    <definedName name="Range_71966d4cb0ba4184b1f47262ae923302">Sheet3!$F$53</definedName>
    <definedName name="Range_29e7e9cb28c5476fb2a5b0889fa709fe">Sheet3!$K$53</definedName>
    <definedName name="Range_83d8303668a847eba4372b20c26dbae8">Sheet3!$I$53</definedName>
    <definedName name="Range_a0a8af2233d94f77bfc2d9bef015f63b">Sheet3!$C$54</definedName>
    <definedName name="Range_3e6ea0704f214f04afa5cd6702248780">Sheet3!$H$54</definedName>
    <definedName name="Range_6011039caf6e48c7abfff9f1780afd00">Sheet3!$G$54</definedName>
    <definedName name="Range_6f6b37f2d59b4c3bae6eef5ea7ad4f08">Sheet3!$B$54</definedName>
    <definedName name="Range_3ef632ff11a148b38b4e6decb15acb50">Sheet3!$J$54</definedName>
    <definedName name="Range_ef82bffc00f945de952b78fc8a5d13ac">Sheet3!$E$54</definedName>
    <definedName name="Range_810b6c3cc31e43c2806b83ddef28c5e2">Sheet3!$O$54</definedName>
    <definedName name="Range_aefc34b3a2f844b0864def3b7ba20e17">Sheet3!$N$54</definedName>
    <definedName name="Range_37a01cea5db5433caa9c6ebbd0e03411">Sheet3!$M$54</definedName>
    <definedName name="Range_f28f7e747ae649a8aa986233072674e3">Sheet3!$D$54</definedName>
    <definedName name="Range_2e80720f4351400f986d67064964a889">Sheet3!$L$54</definedName>
    <definedName name="Range_178c5c9b3105471abe9afd5de88412db">Sheet3!$F$54</definedName>
    <definedName name="Range_c2f43bf829234870ab6a93744421c59f">Sheet3!$K$54</definedName>
    <definedName name="Range_24f825b385a541d0830f65382c08e409">Sheet3!$I$54</definedName>
    <definedName name="Range_89ed9871bbfb4c0ab548816c763b53bb">Sheet3!$I$59</definedName>
    <definedName name="Range_62d2ea86aec64a2babce6d61aa8955f5">Sheet3!$C$59</definedName>
    <definedName name="Range_e46bf6ca5fde4b3b8fac5a43dd4803e1">Sheet3!$H$59</definedName>
    <definedName name="Range_2a9cabf32e194b7092bca42fc536fbf2">Sheet3!$G$59</definedName>
    <definedName name="Range_c0c71e985f754b97982a8ae6748252f8">Sheet3!$J$59</definedName>
    <definedName name="Range_ebc5a026388b49e6847283681e40171c">Sheet3!$D$59</definedName>
    <definedName name="Range_b686e93f623640c69beef36494eab3f0">Sheet3!$B$59</definedName>
    <definedName name="Range_8c5873b651eb41718a68eb7fded37249">Sheet3!$F$59</definedName>
    <definedName name="Range_4b538d63f9704030a59ae8c2d99df087">Sheet3!$E$59</definedName>
    <definedName name="Range_0956058ec21748769070c061c49860eb">Sheet3!$I$60</definedName>
    <definedName name="Range_59a1b61de4224bc8939a37ce5b774450">Sheet3!$C$60</definedName>
    <definedName name="Range_f62ea2c270cc4349a4fe2f6bf399f528">Sheet3!$H$60</definedName>
    <definedName name="Range_5a8c7182da0c4f5bb053ef0ddfa85934">Sheet3!$G$60</definedName>
    <definedName name="Range_69c4eafc585d432c935c39bfb7831d38">Sheet3!$J$60</definedName>
    <definedName name="Range_00347f502b8a413a9b74047527fc10e8">Sheet3!$D$60</definedName>
    <definedName name="Range_c7e4d1b5b6b44a3ea8df3430f80aa50b">Sheet3!$B$60</definedName>
    <definedName name="Range_e841ecb760b04e7cae222985b911f11a">Sheet3!$F$60</definedName>
    <definedName name="Range_362cca505fa34a4e84d68dc8a6f22632">Sheet3!$E$60</definedName>
    <definedName name="Range_64132649e06a4588a15c4484de39e7f7">Sheet4!$C$53</definedName>
    <definedName name="Range_446352e7b4cd450291bc74c0bf6709af">Sheet4!$H$53</definedName>
    <definedName name="Range_67605cacd5124127be7e749bacf06e15">Sheet4!$G$53</definedName>
    <definedName name="Range_2daebd3fa92f487eaa91e68ac9ae5100">Sheet4!$B$53</definedName>
    <definedName name="Range_891e7a58f26642109044427bef9cbb3c">Sheet4!$J$53</definedName>
    <definedName name="Range_388a35b9e38b40489936e50a2226841f">Sheet4!$E$53</definedName>
    <definedName name="Range_57b928d307874b29b29dd0015f7367d3">Sheet4!$O$53</definedName>
    <definedName name="Range_67e9afb98b7c4a6db84292494aef9719">Sheet4!$N$53</definedName>
    <definedName name="Range_fae9e5cc1ac74879b2dba25328119363">Sheet4!$M$53</definedName>
    <definedName name="Range_c9db6845c20341bc9c4500c12054a6a0">Sheet4!$D$53</definedName>
    <definedName name="Range_bf10920dcb3442e586b57e3e0b5fd3d3">Sheet4!$L$53</definedName>
    <definedName name="Range_63edb35332a341cdb91dffbed84e56fe">Sheet4!$F$53</definedName>
    <definedName name="Range_7df07c9c2fdf4a0ebaf784df2b0c4d54">Sheet4!$K$53</definedName>
    <definedName name="Range_931fab7d56e240bdb0094ce226b5d2ba">Sheet4!$I$53</definedName>
    <definedName name="Range_cc87c9974c4f4b4c90c9d88906a8134d">Sheet4!$C$54</definedName>
    <definedName name="Range_1ef00a860885474a9a1a034701c3ce38">Sheet4!$H$54</definedName>
    <definedName name="Range_4a998951c73d470a8d42dbdd6d7e0446">Sheet4!$G$54</definedName>
    <definedName name="Range_4f12cac617ce48f69acd7ce012238c69">Sheet4!$B$54</definedName>
    <definedName name="Range_9de8e4aba2a74d0ea48cf26b4c51b29a">Sheet4!$J$54</definedName>
    <definedName name="Range_7b8e0f11823b4edcba8c71bb2c622c9d">Sheet4!$E$54</definedName>
    <definedName name="Range_73636f32df12429893b14f77c3aab4a9">Sheet4!$O$54</definedName>
    <definedName name="Range_341dca5c8b2d43629014dc7cde12ffa5">Sheet4!$N$54</definedName>
    <definedName name="Range_ded79fe8f902451dbee43391042b82bc">Sheet4!$M$54</definedName>
    <definedName name="Range_3ebfa20fdfcc46c6a8c923572f59dc9e">Sheet4!$D$54</definedName>
    <definedName name="Range_5ac349bdb8f34cf5805b261a4b616550">Sheet4!$L$54</definedName>
    <definedName name="Range_d12acd1a79264c429f9941bcd08ee0cc">Sheet4!$F$54</definedName>
    <definedName name="Range_9a90cb7811be4a9a9f48741293685f37">Sheet4!$K$54</definedName>
    <definedName name="Range_d3ff81acccd847fc8be73867a973743f">Sheet4!$I$54</definedName>
    <definedName name="Range_a01212fea6804ed39586197b15bc4a71">Sheet4!$I$59</definedName>
    <definedName name="Range_412e5d45264e4b5584ebd1d28f0a1f39">Sheet4!$C$59</definedName>
    <definedName name="Range_d62abc78b39846c6bb1f8c1aa5e60619">Sheet4!$H$59</definedName>
    <definedName name="Range_65f9a75b6aea41b1983d50086c604218">Sheet4!$G$59</definedName>
    <definedName name="Range_36a2cdafa1ce44b6a78d0b147b72d24e">Sheet4!$J$59</definedName>
    <definedName name="Range_cd1c5294ec46425ca6ad90fc9f2894db">Sheet4!$D$59</definedName>
    <definedName name="Range_8a6bbdbc2c8a463bae69f7e261987d90">Sheet4!$B$59</definedName>
    <definedName name="Range_8286f50610f84405847ada2f68a43eee">Sheet4!$F$59</definedName>
    <definedName name="Range_e1218f2f269f4465853f9943d6193f5b">Sheet4!$E$59</definedName>
    <definedName name="Range_78b82a2ebcd04f7589efbb3b3e3245d5">Sheet4!$I$60</definedName>
    <definedName name="Range_dd72f7fe5e2f46808b7b0e35f1807478">Sheet4!$C$60</definedName>
    <definedName name="Range_c7e3b1d687894c0fb80c2177fc5d68bf">Sheet4!$H$60</definedName>
    <definedName name="Range_2ff0a660cf274225afd7f88a0d96ee65">Sheet4!$G$60</definedName>
    <definedName name="Range_31e790f21f5f497783a65135c28fe015">Sheet4!$J$60</definedName>
    <definedName name="Range_e92f64aa36ef4f8db92f6ddb8d867040">Sheet4!$D$60</definedName>
    <definedName name="Range_7bcf4bb7e12e439a8066961dadfb1e55">Sheet4!$B$60</definedName>
    <definedName name="Range_cebc7fe1724048e9b6d5d15bf0a09aeb">Sheet4!$F$60</definedName>
    <definedName name="Range_7395b0140b874db48b2925c7d1dcd680">Sheet4!$E$60</definedName>
    <definedName name="Range_dc34316cc8d3498c92afe026aa720e6d">Sheet5!$C$53</definedName>
    <definedName name="Range_f47103ef5a6f499786cd45a449d50c39">Sheet5!$H$53</definedName>
    <definedName name="Range_e210635ecd9b49dbb6162053b0093ad2">Sheet5!$G$53</definedName>
    <definedName name="Range_e847c5313b2f4563b5b3ade0f0a80519">Sheet5!$B$53</definedName>
    <definedName name="Range_cd4c3ae9c5064984911f426d8928c479">Sheet5!$J$53</definedName>
    <definedName name="Range_8dc93e5cb6f4473eb867d3a65dd6814a">Sheet5!$E$53</definedName>
    <definedName name="Range_5a1e68029fc0401cb14a82923dd0e5c0">Sheet5!$O$53</definedName>
    <definedName name="Range_280fad2e006d426496396299b1af2632">Sheet5!$N$53</definedName>
    <definedName name="Range_0d6d98133f0145fb9b1ad277279c0ec9">Sheet5!$M$53</definedName>
    <definedName name="Range_2833f966a8934ee8b8cc9c2e68c72bc0">Sheet5!$D$53</definedName>
    <definedName name="Range_177c8e89b3d24fdd8775cce3830cc783">Sheet5!$L$53</definedName>
    <definedName name="Range_ccefbb8e8d914ece8ae8623fe81d0d6e">Sheet5!$F$53</definedName>
    <definedName name="Range_63d36755060845f39ce1a151a1b72340">Sheet5!$K$53</definedName>
    <definedName name="Range_1635df149d92433eae7b8c382b4bf661">Sheet5!$I$53</definedName>
    <definedName name="Range_0556427684934b81ba9e67c586505de6">Sheet5!$C$54</definedName>
    <definedName name="Range_ca7aa33c19f644e39b599f3ee1a91c7e">Sheet5!$H$54</definedName>
    <definedName name="Range_7431e25576c44a869e22ff2103a1c7c1">Sheet5!$G$54</definedName>
    <definedName name="Range_80912072422840c5933223283348219e">Sheet5!$B$54</definedName>
    <definedName name="Range_1abf0abe583e40d788fff5d116236736">Sheet5!$J$54</definedName>
    <definedName name="Range_079fdc1bed254dc3916afc7f6b869890">Sheet5!$E$54</definedName>
    <definedName name="Range_b00b4729082341928e9766a769e5a583">Sheet5!$O$54</definedName>
    <definedName name="Range_68defeba48b54fd0ae1e010e4ffa46f9">Sheet5!$N$54</definedName>
    <definedName name="Range_3880d6da90eb475598b21e5903a9f793">Sheet5!$M$54</definedName>
    <definedName name="Range_fe91325b014a40ef98d36cafe689e433">Sheet5!$D$54</definedName>
    <definedName name="Range_37aea2e4bc034c6c9ff54710a4748576">Sheet5!$L$54</definedName>
    <definedName name="Range_21126715d4ba4b24a1b99930fea52b26">Sheet5!$F$54</definedName>
    <definedName name="Range_46b5727c33944864bb221399f2fd8ea8">Sheet5!$K$54</definedName>
    <definedName name="Range_ac86d4f9484f4cc88d31003fdaadfffe">Sheet5!$I$54</definedName>
    <definedName name="Range_d237a63fd4864d48a99596204486e893">Sheet5!$I$59</definedName>
    <definedName name="Range_da5d71bfeda64ea2947911405a2088c0">Sheet5!$C$59</definedName>
    <definedName name="Range_4781b915c97e45a2a6ac0468a686abed">Sheet5!$H$59</definedName>
    <definedName name="Range_fc1f130d97ed4c46a9567fb752d50ebd">Sheet5!$G$59</definedName>
    <definedName name="Range_4f818ce16b864171851b0d23ff64fcbf">Sheet5!$J$59</definedName>
    <definedName name="Range_788c0e44ad7648ac9331ec9edeeba70f">Sheet5!$D$59</definedName>
    <definedName name="Range_62eea28f2acb42f2aaf9e06e602384de">Sheet5!$B$59</definedName>
    <definedName name="Range_511ea981e2b24a3ba541bcd274dad4b6">Sheet5!$F$59</definedName>
    <definedName name="Range_dc32c17180484f2da64ae32781c03d51">Sheet5!$E$59</definedName>
    <definedName name="Range_4e20b517b86948efacdd5d5ee411214d">Sheet5!$I$60</definedName>
    <definedName name="Range_fa6886600f524cbea798b73b12d6e425">Sheet5!$C$60</definedName>
    <definedName name="Range_4cda846189fa4df4a0516e63351c567e">Sheet5!$H$60</definedName>
    <definedName name="Range_81eb42f3caf64f4d8d2b74197656e7ea">Sheet5!$G$60</definedName>
    <definedName name="Range_b6ea467748784ae49317666509a8f842">Sheet5!$J$60</definedName>
    <definedName name="Range_3d2e0c5582604643885475e3385c2e11">Sheet5!$D$60</definedName>
    <definedName name="Range_02bf275221b9435ab1485a2669998a91">Sheet5!$B$60</definedName>
    <definedName name="Range_418ea01c631047ada1ba0ac9e4748860">Sheet5!$F$60</definedName>
    <definedName name="Range_e36cc3f8443f4546a5c143b5f0930c83">Sheet5!$E$60</definedName>
    <definedName name="Range_2e55aae4486d46a58b55812994bcc1e8">Sheet6!$C$53</definedName>
    <definedName name="Range_e5bf5f1204c044d88181e0cfe6318d81">Sheet6!$H$53</definedName>
    <definedName name="Range_aacb87df362e4ef5b6ea64a3c07d0e62">Sheet6!$G$53</definedName>
    <definedName name="Range_ec1d6d83770a481e82dfd53aac469574">Sheet6!$B$53</definedName>
    <definedName name="Range_b267b94168164a63928e3ec9620e42aa">Sheet6!$J$53</definedName>
    <definedName name="Range_acec8b81c81c40fa953bab09bf7d2283">Sheet6!$E$53</definedName>
    <definedName name="Range_4c4dbeb09c0540e992bccad887263011">Sheet6!$O$53</definedName>
    <definedName name="Range_6613edd077d941cc8a03dd62200e5f08">Sheet6!$N$53</definedName>
    <definedName name="Range_8a5a145ba30d4ecc967720550bce8ed0">Sheet6!$M$53</definedName>
    <definedName name="Range_424f333652c241dab736f724b9c75709">Sheet6!$D$53</definedName>
    <definedName name="Range_07956f6597ed4b808cd612ceee234277">Sheet6!$L$53</definedName>
    <definedName name="Range_aa7821e205c34955b90b88e8d27e0041">Sheet6!$F$53</definedName>
    <definedName name="Range_0cebc67de5bd4a2983f828df21eba3ec">Sheet6!$K$53</definedName>
    <definedName name="Range_18510540fe1240b6aca9f333f27bdce5">Sheet6!$I$53</definedName>
    <definedName name="Range_6b1e41c6cc3248e68c80cb27c6cf2410">Sheet6!$C$54</definedName>
    <definedName name="Range_9596a68148d84fdeae68dd56ab7bcf93">Sheet6!$H$54</definedName>
    <definedName name="Range_d23335e17f7b484bab8f0f22b26207c0">Sheet6!$G$54</definedName>
    <definedName name="Range_0536616332e7478a8e83f48d61a8f9f6">Sheet6!$B$54</definedName>
    <definedName name="Range_b57b3b0db8694eec9bdef0ac5d277782">Sheet6!$J$54</definedName>
    <definedName name="Range_927b2b8adf3b4698914853f56256ab7e">Sheet6!$E$54</definedName>
    <definedName name="Range_1241726640e348fb8b04689b40b77f06">Sheet6!$O$54</definedName>
    <definedName name="Range_99a91ec4be9a47d88390f637516660fd">Sheet6!$N$54</definedName>
    <definedName name="Range_d26a8351de264c058a5a9c6955e03929">Sheet6!$M$54</definedName>
    <definedName name="Range_873b061bfe7f4d5b98025de5f415144c">Sheet6!$D$54</definedName>
    <definedName name="Range_edc57142a8254674850be4bfc9c369a0">Sheet6!$L$54</definedName>
    <definedName name="Range_3c85ae00d90946d29ca9c4ca5796a710">Sheet6!$F$54</definedName>
    <definedName name="Range_1e1d684e205d459487d92a23c362a2f3">Sheet6!$K$54</definedName>
    <definedName name="Range_cfc0087b617b4a4ca9fec8c248a85c11">Sheet6!$I$54</definedName>
    <definedName name="Range_c5f75f418dbc4cbb9770199f83b4875a">Sheet6!$I$59</definedName>
    <definedName name="Range_1a7be5b78ce34ecfb57c11d9544091fb">Sheet6!$C$59</definedName>
    <definedName name="Range_d142ad61691e4075b8269892e0553729">Sheet6!$H$59</definedName>
    <definedName name="Range_c9ff865dfb594b35859b075abccc9b35">Sheet6!$G$59</definedName>
    <definedName name="Range_0a4c0854a703460aa2b8b4f1044990bc">Sheet6!$J$59</definedName>
    <definedName name="Range_b92124ced25b4ffeb66dbf2b1c0d9872">Sheet6!$D$59</definedName>
    <definedName name="Range_acc7c6bc75fc4d1ca9a29ecf5f01aa17">Sheet6!$B$59</definedName>
    <definedName name="Range_5219a5c518554c579ebf970c1b3bf58f">Sheet6!$F$59</definedName>
    <definedName name="Range_6d75c22ed888400791a88a3eaa590b3c">Sheet6!$E$59</definedName>
    <definedName name="Range_eaad2b26df8849ca8b398b91dc59208c">Sheet6!$I$60</definedName>
    <definedName name="Range_bd7e92f2f9a043ab84097d8e6be40530">Sheet6!$C$60</definedName>
    <definedName name="Range_5a527a000b024939a6f6e18636cb200a">Sheet6!$H$60</definedName>
    <definedName name="Range_039836f68f7249eb91dfa622228b0b41">Sheet6!$G$60</definedName>
    <definedName name="Range_e4088b2fc3e840c2b26cdc88f145b6f7">Sheet6!$J$60</definedName>
    <definedName name="Range_41313742bdb84351b93c772db0ed523c">Sheet6!$D$60</definedName>
    <definedName name="Range_3352e9919a1d422ebe52020cc9e47570">Sheet6!$B$60</definedName>
    <definedName name="Range_28a5b92e91244a59ab31e3ae1963d4d6">Sheet6!$F$60</definedName>
    <definedName name="Range_f65b5448070345de95d5ee22f018f8e0">Sheet6!$E$60</definedName>
    <definedName name="Range_6d78f767b6a249458b07520163a9d7d2">Sheet7!$C$53</definedName>
    <definedName name="Range_dc87679e61b84fc58fb722be3b6a497d">Sheet7!$H$53</definedName>
    <definedName name="Range_c35c44b85116417a8f965efe0d633e78">Sheet7!$G$53</definedName>
    <definedName name="Range_14d0e08ce05e4039b80578eb35a215fa">Sheet7!$B$53</definedName>
    <definedName name="Range_759b4286fb074cd6b9b0ffb4feb5a53d">Sheet7!$J$53</definedName>
    <definedName name="Range_130aa793b2c04ccb8e754fcebf079aac">Sheet7!$E$53</definedName>
    <definedName name="Range_357783100746408dab46a439e423ddec">Sheet7!$O$53</definedName>
    <definedName name="Range_a0c4d7afe3384ee184397acb74922e91">Sheet7!$N$53</definedName>
    <definedName name="Range_57bcd72145684ab0b2ef710e9b4fdba4">Sheet7!$M$53</definedName>
    <definedName name="Range_af870a853be546bba60e65708535faa1">Sheet7!$D$53</definedName>
    <definedName name="Range_3fc829f6dd17465fb97e5b781be1c4b3">Sheet7!$L$53</definedName>
    <definedName name="Range_3a8b41e027eb4be59385d84a64a99e2d">Sheet7!$F$53</definedName>
    <definedName name="Range_29ca7ca9382847fcb13f3285bc7a1501">Sheet7!$K$53</definedName>
    <definedName name="Range_7d8ef6002d004f8ca606eb0dfa77fb62">Sheet7!$I$53</definedName>
    <definedName name="Range_6f1e010cc1244619a2aa5deb515fa5b6">Sheet7!$C$54</definedName>
    <definedName name="Range_34492e957f83463d8d8765ca2d2f77b4">Sheet7!$H$54</definedName>
    <definedName name="Range_74b9dd9cb4ea4eb9a0d17b37149c000b">Sheet7!$G$54</definedName>
    <definedName name="Range_cf8fb66f523f46db81e24461e9e15341">Sheet7!$B$54</definedName>
    <definedName name="Range_df3abad879b141d983e71dbcf283b71e">Sheet7!$J$54</definedName>
    <definedName name="Range_e1e2bc9c33ac4015a1fd3b11dfdb5e3d">Sheet7!$E$54</definedName>
    <definedName name="Range_3eb984b17df04ed99b100fa6820f9432">Sheet7!$O$54</definedName>
    <definedName name="Range_f16ac52493bc47b593398210654a2803">Sheet7!$N$54</definedName>
    <definedName name="Range_96185d5572d9435ab0ff1c8ef91a22c3">Sheet7!$M$54</definedName>
    <definedName name="Range_07c4801ad20649a7bb8dc7013fa17057">Sheet7!$D$54</definedName>
    <definedName name="Range_1cef137870fd407686608c38161f4f19">Sheet7!$L$54</definedName>
    <definedName name="Range_632de02077ba49adbbfe32ea8924d89c">Sheet7!$F$54</definedName>
    <definedName name="Range_5e5d65e101234525b9dc686903ec751b">Sheet7!$K$54</definedName>
    <definedName name="Range_eb0e79fa8b8745e4bf21a90c7097dca0">Sheet7!$I$54</definedName>
    <definedName name="Range_5e39383035ad45d4af4b1ac7cfdcfcfe">Sheet7!$I$59</definedName>
    <definedName name="Range_370f657972694656abfd8c01975f8315">Sheet7!$C$59</definedName>
    <definedName name="Range_ba0719e6051f4bce87f54f590ca7328e">Sheet7!$H$59</definedName>
    <definedName name="Range_1ad26d22fbe94515b2182dd29a37ade9">Sheet7!$G$59</definedName>
    <definedName name="Range_dd23a441451c4de08e2f285b238be307">Sheet7!$J$59</definedName>
    <definedName name="Range_866ceb983bab4bbd9975485e194155db">Sheet7!$D$59</definedName>
    <definedName name="Range_77f7feb09ca24c06aecd0b1b39c272aa">Sheet7!$B$59</definedName>
    <definedName name="Range_ce038b3c2e044825ac3033506826a1e5">Sheet7!$F$59</definedName>
    <definedName name="Range_293a60449b2c497cb3cca272ce8ae01f">Sheet7!$E$59</definedName>
    <definedName name="Range_fe03d258deb643b88593b59bb37d1005">Sheet7!$I$60</definedName>
    <definedName name="Range_299eaff27a354416972e199141e9c9f6">Sheet7!$C$60</definedName>
    <definedName name="Range_eb6c830e46194747b7b4291531c8e287">Sheet7!$H$60</definedName>
    <definedName name="Range_1ec3ae5adf684372b29cfd270c4f851c">Sheet7!$G$60</definedName>
    <definedName name="Range_07c94f2ff94b430dae49f6a1152988d0">Sheet7!$J$60</definedName>
    <definedName name="Range_13a5ada7bb894375afad700d01c48e01">Sheet7!$D$60</definedName>
    <definedName name="Range_1b75b28588184f898566d11b6e69f91d">Sheet7!$B$60</definedName>
    <definedName name="Range_e93f46a4ba004d99b8cc28070ab72ede">Sheet7!$F$60</definedName>
    <definedName name="Range_4ae3cdf5be02406a84ecc226ca6575e4">Sheet7!$E$60</definedName>
    <definedName name="Range_69c7c2d4ae734580824b3dadf9c42642">Sheet8!$C$53</definedName>
    <definedName name="Range_37efed0b5292436c85b0dc6ab5a8bd8a">Sheet8!$H$53</definedName>
    <definedName name="Range_57ede368643744e6b9804d86cfd56304">Sheet8!$G$53</definedName>
    <definedName name="Range_4f75158847c24c83bfc03f2958a20081">Sheet8!$B$53</definedName>
    <definedName name="Range_b9bb5de4a819457ab77075c682d43b3e">Sheet8!$J$53</definedName>
    <definedName name="Range_8b1c2525de894b55806ca6d157ac0fe4">Sheet8!$E$53</definedName>
    <definedName name="Range_4f1755d4d9ce4e5e85791e2b14da20ad">Sheet8!$O$53</definedName>
    <definedName name="Range_7183aed28a1c448fb7749a6afe7b3878">Sheet8!$N$53</definedName>
    <definedName name="Range_c90b8028775049f2a60d3390cb714bfe">Sheet8!$M$53</definedName>
    <definedName name="Range_aeeca853daa34881be81d9a3e0082e87">Sheet8!$D$53</definedName>
    <definedName name="Range_a42c9d5efac44375bdb7108a42c8a996">Sheet8!$L$53</definedName>
    <definedName name="Range_71390413936e46a2b1e6b16ba041bcd1">Sheet8!$F$53</definedName>
    <definedName name="Range_9b965a75539949b5b82f8f7c3019a96b">Sheet8!$K$53</definedName>
    <definedName name="Range_995304b8035446d8aa55101778ffe5cd">Sheet8!$I$53</definedName>
    <definedName name="Range_d5abb2265dcd43a2b87027cfbd539ccb">Sheet8!$C$54</definedName>
    <definedName name="Range_53a17b5f88fc416d86bbedbe18f60912">Sheet8!$H$54</definedName>
    <definedName name="Range_44e564a2c98e4fd48823960e58d70b06">Sheet8!$G$54</definedName>
    <definedName name="Range_ea401770beae470cbfe4dbf68fbac514">Sheet8!$B$54</definedName>
    <definedName name="Range_92772232cbc942a38787a4e196829dee">Sheet8!$J$54</definedName>
    <definedName name="Range_a402f42b8b5848ea89e91ef27de28bad">Sheet8!$E$54</definedName>
    <definedName name="Range_5d3b01d5d1c343419cef0e300b04caaa">Sheet8!$O$54</definedName>
    <definedName name="Range_2a106552fdbc441d8732c54a799e7dbd">Sheet8!$N$54</definedName>
    <definedName name="Range_cd25b2a562c143898f19b373a2390305">Sheet8!$M$54</definedName>
    <definedName name="Range_d702f1c705564ebf8263805fdb008334">Sheet8!$D$54</definedName>
    <definedName name="Range_3805e5d0fe26442f8ffa50c0a8214b7d">Sheet8!$L$54</definedName>
    <definedName name="Range_3d8d71616ffe4b9a96e748a41daa056d">Sheet8!$F$54</definedName>
    <definedName name="Range_b917b8abd5124d13b2a534d083e20a22">Sheet8!$K$54</definedName>
    <definedName name="Range_19b4d5912e8d4771901720208bb62e0a">Sheet8!$I$54</definedName>
    <definedName name="Range_b70e06b929724a06b5b5b0d229810c11">Sheet8!$I$59</definedName>
    <definedName name="Range_474eb9d074084aee8a8275bc9ab20741">Sheet8!$C$59</definedName>
    <definedName name="Range_107ffd44ee40481ba7bdb0da2bb92990">Sheet8!$H$59</definedName>
    <definedName name="Range_67daf344d8cc412eb4eeea6a21fe104c">Sheet8!$G$59</definedName>
    <definedName name="Range_be98d58d15484eb1b239d0be28136f95">Sheet8!$J$59</definedName>
    <definedName name="Range_08120d75c73b406f8f925fc52df16b35">Sheet8!$D$59</definedName>
    <definedName name="Range_c34b74b0918e45ac81d16ce6b3bc050e">Sheet8!$B$59</definedName>
    <definedName name="Range_8f9fa13e371e485f9a1ec72235495f78">Sheet8!$F$59</definedName>
    <definedName name="Range_61d6576e9072499abd2224e531b334d3">Sheet8!$E$59</definedName>
    <definedName name="Range_ba10e8dbbf874472bc8ddc73959b6f86">Sheet8!$I$60</definedName>
    <definedName name="Range_aae4c44538a345cd83943a3cb6af00fc">Sheet8!$C$60</definedName>
    <definedName name="Range_f6d52bfbc33d4635890999af01f05358">Sheet8!$H$60</definedName>
    <definedName name="Range_6bb1742fdda14991a0e3da320b86a33a">Sheet8!$G$60</definedName>
    <definedName name="Range_7df7e27a35704945a461612bf68656ab">Sheet8!$J$60</definedName>
    <definedName name="Range_f21e27788f304e70a1b8a07b738f718f">Sheet8!$D$60</definedName>
    <definedName name="Range_4d15c13401264ef29e84ab2106b3177b">Sheet8!$B$60</definedName>
    <definedName name="Range_b58e7eb3178940768fa6f9dcdeaf7127">Sheet8!$F$60</definedName>
    <definedName name="Range_21e2659699b84ae9bc75d155f810a36c">Sheet8!$E$60</definedName>
    <definedName name="Range_ed6933adb09944cc8122314ec3f444e3">Sheet9!$C$53</definedName>
    <definedName name="Range_d481590d1146487b9f10e49ee0002104">Sheet9!$H$53</definedName>
    <definedName name="Range_a569c9701f2a44209ed01825a29c8012">Sheet9!$G$53</definedName>
    <definedName name="Range_6a244d18375441eab3f086fbe96a5eca">Sheet9!$B$53</definedName>
    <definedName name="Range_fe7a3dc3e4a345e59ee512ecd5f051fc">Sheet9!$J$53</definedName>
    <definedName name="Range_ed4013b613de4f178ed6e63b6bb65622">Sheet9!$E$53</definedName>
    <definedName name="Range_81b7337a50e84c248acd4ebc30dc74c8">Sheet9!$O$53</definedName>
    <definedName name="Range_d47aa8a0caeb47ea8a73719c8e0908cc">Sheet9!$N$53</definedName>
    <definedName name="Range_a97bbe9120424f4bab2221a1b9d132ce">Sheet9!$M$53</definedName>
    <definedName name="Range_c0a384c87d204c1fa453f51113a95f4d">Sheet9!$D$53</definedName>
    <definedName name="Range_2bbd3f6a003042048b55a324dc24ee16">Sheet9!$L$53</definedName>
    <definedName name="Range_6a30673bd75c4db68b8e0c8e1bc1ffba">Sheet9!$F$53</definedName>
    <definedName name="Range_d6d5610faf964923ab29146baccf85ec">Sheet9!$K$53</definedName>
    <definedName name="Range_16de0ac55a584cd1962a2edeb83e636d">Sheet9!$I$53</definedName>
    <definedName name="Range_2daf46ff6d284b08a15bd00d8fa95a9e">Sheet9!$C$54</definedName>
    <definedName name="Range_ce323ce3eab5448bb85194a8bc4a80c3">Sheet9!$H$54</definedName>
    <definedName name="Range_b17dc50a448b4a768aa7972018f818ad">Sheet9!$G$54</definedName>
    <definedName name="Range_39965b707a2542269b83e9d49364736d">Sheet9!$B$54</definedName>
    <definedName name="Range_f750166a585d47988ee92c00556047ce">Sheet9!$J$54</definedName>
    <definedName name="Range_0ab74173011c4f0daac50de111584f76">Sheet9!$E$54</definedName>
    <definedName name="Range_954f49b46e0840a29628d87547fa4b1a">Sheet9!$O$54</definedName>
    <definedName name="Range_506edb2affc549c1a510e5b14335fe7d">Sheet9!$N$54</definedName>
    <definedName name="Range_160a9f7eb5654166ae95dd56229b237d">Sheet9!$M$54</definedName>
    <definedName name="Range_24727115bb854f68aa647ff4ca8e7435">Sheet9!$D$54</definedName>
    <definedName name="Range_4174be566c234b5cb600107b61bc829b">Sheet9!$L$54</definedName>
    <definedName name="Range_1cccebfe7c8a4459aa3843ff48064d75">Sheet9!$F$54</definedName>
    <definedName name="Range_5a1fbee5f8554b99bdc00d02aaca2bc5">Sheet9!$K$54</definedName>
    <definedName name="Range_63e3dfcd098b4483bb84322b7fc496a0">Sheet9!$I$54</definedName>
    <definedName name="Range_c88c48eb1c4148e098f317ac00bae39a">Sheet9!$I$59</definedName>
    <definedName name="Range_b2a4f19cddca4fd48f5368c4d70d8d78">Sheet9!$C$59</definedName>
    <definedName name="Range_e62b94eb93fb4b8cb2f0615ad293ebc4">Sheet9!$H$59</definedName>
    <definedName name="Range_d8aeb41812ff4e018d6295a44a7adab0">Sheet9!$G$59</definedName>
    <definedName name="Range_badb0ff4edc049fabfea8e596d805fbf">Sheet9!$J$59</definedName>
    <definedName name="Range_09d1142f641f4846bb5e0ab84e42bf54">Sheet9!$D$59</definedName>
    <definedName name="Range_3ec29acc83ce4483a67ce364cdad5d8f">Sheet9!$B$59</definedName>
    <definedName name="Range_fff1305b73284ce0a7c887319232715d">Sheet9!$F$59</definedName>
    <definedName name="Range_d2f5572c9fef486cb9be04a794ff4733">Sheet9!$E$59</definedName>
    <definedName name="Range_1a362a90786d4b199c341e21937fb0d3">Sheet9!$I$60</definedName>
    <definedName name="Range_baad2a1d7dfc4536b9440352d1fdc892">Sheet9!$C$60</definedName>
    <definedName name="Range_97cdd39910bf4a0a8cbd1efc084a73ef">Sheet9!$H$60</definedName>
    <definedName name="Range_c44f7e6dec5c44a8a76cf2ddf0972f36">Sheet9!$G$60</definedName>
    <definedName name="Range_a11cc81607724796a46449a6a7bf5acc">Sheet9!$J$60</definedName>
    <definedName name="Range_1be12a64ffca43ccb6a59031cfbacac2">Sheet9!$D$60</definedName>
    <definedName name="Range_198a0ed47673489188b0b3718eba986e">Sheet9!$B$60</definedName>
    <definedName name="Range_18611e28507d4af7b5a0037fe9fc1fdc">Sheet9!$F$60</definedName>
    <definedName name="Range_0c057c21481544b3a6c0030f051e1bc1">Sheet9!$E$60</definedName>
    <definedName name="Range_b5feafd148ed420eaa1ef99fff827ae0">Sheet10!$C$53</definedName>
    <definedName name="Range_c82e7698b569465c88f2c6bbdd340927">Sheet10!$H$53</definedName>
    <definedName name="Range_772aed7451e54cd48d474c3a42892c58">Sheet10!$G$53</definedName>
    <definedName name="Range_a70862917a29441ea0abf3fc8d075d36">Sheet10!$B$53</definedName>
    <definedName name="Range_9f8df713b2314fcfa240ba688abb7c46">Sheet10!$J$53</definedName>
    <definedName name="Range_0397824013f64bddb4bde6f443efd315">Sheet10!$E$53</definedName>
    <definedName name="Range_1027491e5cbf4b7fbd57936612f77675">Sheet10!$O$53</definedName>
    <definedName name="Range_68f764da1f4f4f48a74a74a414a59978">Sheet10!$N$53</definedName>
    <definedName name="Range_9c7f56a217e94e68b04208561bdb08df">Sheet10!$M$53</definedName>
    <definedName name="Range_892dbbd7ba4e42358fb931fb775cd210">Sheet10!$D$53</definedName>
    <definedName name="Range_23555b611bee4f818aa345fd56bb54c8">Sheet10!$L$53</definedName>
    <definedName name="Range_faf78ae6dd3f44188a9ad5c8ab4991c8">Sheet10!$F$53</definedName>
    <definedName name="Range_6d8169e9af7d41199c5575117566a93e">Sheet10!$K$53</definedName>
    <definedName name="Range_6d9fb18c1d474556936300a4ffbc9d1c">Sheet10!$I$53</definedName>
    <definedName name="Range_f1b4a0a85c3f4634a4e20c5ff00a8111">Sheet10!$C$54</definedName>
    <definedName name="Range_e7cfe10a36b541178767ef62a4e1bdd8">Sheet10!$H$54</definedName>
    <definedName name="Range_c8e4ef9d2f1b4617b82208611adb85a2">Sheet10!$G$54</definedName>
    <definedName name="Range_9fec71c4cea24b24943b833440ae4ad6">Sheet10!$B$54</definedName>
    <definedName name="Range_1035665783ce48a9a9e9a9602e284d17">Sheet10!$J$54</definedName>
    <definedName name="Range_1a469218855744898f3ac1d9c70a8380">Sheet10!$E$54</definedName>
    <definedName name="Range_dd1b6758db1e43e491aaf859560700d8">Sheet10!$O$54</definedName>
    <definedName name="Range_fa9a4ce01d1b4474ac24a24b89074baa">Sheet10!$N$54</definedName>
    <definedName name="Range_d7914c1bbacc48dbb595902a31b9f3fe">Sheet10!$M$54</definedName>
    <definedName name="Range_b2225b54e88f452181e871f64ab37b99">Sheet10!$D$54</definedName>
    <definedName name="Range_841725a1c5c64daaa6bd82d0dd9a595b">Sheet10!$L$54</definedName>
    <definedName name="Range_093d7e267afb4ce48e023966c096a53a">Sheet10!$F$54</definedName>
    <definedName name="Range_e36975b2698244ed8354bdcf1bd84392">Sheet10!$K$54</definedName>
    <definedName name="Range_d8fb71cb96d14ac8b417d58a21d741b4">Sheet10!$I$54</definedName>
    <definedName name="Range_8df44a896a774bedbe417bd95d346d64">Sheet10!$I$59</definedName>
    <definedName name="Range_b935c0cbf01f4ee5bf0d7188f4c412c4">Sheet10!$C$59</definedName>
    <definedName name="Range_42bfc729a74d4f3b9388d213af9234eb">Sheet10!$H$59</definedName>
    <definedName name="Range_6234ad22b6c940fca0fdfae8f49f512d">Sheet10!$G$59</definedName>
    <definedName name="Range_6ee099bd9c2841f3a7dd06b5cf7035a1">Sheet10!$J$59</definedName>
    <definedName name="Range_de85406f30824c958219d1d8b909ff1f">Sheet10!$D$59</definedName>
    <definedName name="Range_2e44eff9fcfa441dac5ad2d6fd522dc8">Sheet10!$B$59</definedName>
    <definedName name="Range_42c2418ca4e6477fafac43e34be571d8">Sheet10!$F$59</definedName>
    <definedName name="Range_d69df0e9372d4fdf9e0ecf7befdda354">Sheet10!$E$59</definedName>
    <definedName name="Range_cbc308cd3d634d6aa546e3bf9c09d47f">Sheet10!$I$60</definedName>
    <definedName name="Range_0c1baee57c544d38b26b497c1254bcfd">Sheet10!$C$60</definedName>
    <definedName name="Range_a74468f08c81490ea4f4741b43162243">Sheet10!$H$60</definedName>
    <definedName name="Range_51281833a6bd4bbcaa7ae8b65a26d918">Sheet10!$G$60</definedName>
    <definedName name="Range_d74ffb19700d421abfa016a8411a1cdb">Sheet10!$J$60</definedName>
    <definedName name="Range_e29a6ca822834c24a24d88b15ef977d4">Sheet10!$D$60</definedName>
    <definedName name="Range_7d44bea7f96346feb1a714f3ef5078d5">Sheet10!$B$60</definedName>
    <definedName name="Range_7d741d79c2be497fbd23eef0613b6075">Sheet10!$F$60</definedName>
    <definedName name="Range_86dc1ab641f9498dbb1c7d3c51cde625">Sheet10!$E$60</definedName>
    <definedName name="Range_7322500c23c24d60ad8ee4d517328d75">Sheet11!$C$53</definedName>
    <definedName name="Range_ed34c1a164f34c8199def6af4d9edb05">Sheet11!$H$53</definedName>
    <definedName name="Range_98b42b6e56494041b2dfb72d31d20f83">Sheet11!$G$53</definedName>
    <definedName name="Range_85850a306edb4019a91a45df572e4501">Sheet11!$B$53</definedName>
    <definedName name="Range_83886d5b2604458c91c3c1e1ed7e784b">Sheet11!$J$53</definedName>
    <definedName name="Range_874d99869ce042fa87c5eaf7d13d6bf5">Sheet11!$E$53</definedName>
    <definedName name="Range_ec31ffbe2b1547d68dd2e350b0532817">Sheet11!$O$53</definedName>
    <definedName name="Range_f7d6c02e631a4f40bc0b83b63161b5ae">Sheet11!$N$53</definedName>
    <definedName name="Range_22cbfd1373894d989b2cd40208f96729">Sheet11!$M$53</definedName>
    <definedName name="Range_319476d68aff497aa574d17f15c39a9c">Sheet11!$D$53</definedName>
    <definedName name="Range_d625c76232cf489cb66378cfa024e75c">Sheet11!$L$53</definedName>
    <definedName name="Range_52f5455af92b466681808b0d419f720f">Sheet11!$F$53</definedName>
    <definedName name="Range_6289bc57c5d340bc9fd877a259e9bb5a">Sheet11!$K$53</definedName>
    <definedName name="Range_1ab3ddce9e7f45ee8e279c30ed187de9">Sheet11!$I$53</definedName>
    <definedName name="Range_e4f6dc2afdd94930a78d432e60f20866">Sheet11!$C$54</definedName>
    <definedName name="Range_bd60ddd0bb594700bbb3a8fed5784191">Sheet11!$H$54</definedName>
    <definedName name="Range_ba017e5f6d0c468c99936ef10f410bc2">Sheet11!$G$54</definedName>
    <definedName name="Range_0c6f9d8bb40644e9889c220bb5e8752c">Sheet11!$B$54</definedName>
    <definedName name="Range_20d87a9e33a846808b4ac9506543796e">Sheet11!$J$54</definedName>
    <definedName name="Range_fb548015699e4cffb3a467ea235db240">Sheet11!$E$54</definedName>
    <definedName name="Range_fb515548e3404cbc90974758ededb934">Sheet11!$O$54</definedName>
    <definedName name="Range_9392c8fb7b964adc8d4f5b3911acc544">Sheet11!$N$54</definedName>
    <definedName name="Range_daa2f5630b9a46ec871b60317a198d43">Sheet11!$M$54</definedName>
    <definedName name="Range_8c7aef69e4a24e88ab160937c9abcf0b">Sheet11!$D$54</definedName>
    <definedName name="Range_c5526c246196474b8001921a55d68006">Sheet11!$L$54</definedName>
    <definedName name="Range_e71ab35471254608a0449a644d35b15e">Sheet11!$F$54</definedName>
    <definedName name="Range_5bd956bece2147228efe9390a998a739">Sheet11!$K$54</definedName>
    <definedName name="Range_5e8fd3addffc46debb131c1d5a480617">Sheet11!$I$54</definedName>
    <definedName name="Range_e2a1de12b1d74627a2c700704b2a5091">Sheet11!$I$59</definedName>
    <definedName name="Range_4912a4b3676543f9922b7ab95103ef03">Sheet11!$C$59</definedName>
    <definedName name="Range_e9a05ebdaa044a5c97151cbf8a09f644">Sheet11!$H$59</definedName>
    <definedName name="Range_7fc25d9cc2bd4378bc508776a02e0062">Sheet11!$G$59</definedName>
    <definedName name="Range_fa164510fcd54dbba07e8956ce1d06f7">Sheet11!$J$59</definedName>
    <definedName name="Range_f8229fe79b6c4cdf9b91572964b21694">Sheet11!$D$59</definedName>
    <definedName name="Range_f0d243e7eae6446788939e9b4102ce2d">Sheet11!$B$59</definedName>
    <definedName name="Range_a6fdcc24eae54f6dbe78a8c580d06bc7">Sheet11!$F$59</definedName>
    <definedName name="Range_33532b6c700a4f77af960c18b37b291e">Sheet11!$E$59</definedName>
    <definedName name="Range_9e69ad3244d444dbbb82080ac9b65101">Sheet11!$I$60</definedName>
    <definedName name="Range_7afa9687b8df43799b0fb2b4b5b52208">Sheet11!$C$60</definedName>
    <definedName name="Range_6c92ab8c550b400f8ea87a0ed0e1bfec">Sheet11!$H$60</definedName>
    <definedName name="Range_ae44181600c54b2c90d9a407865b15ea">Sheet11!$G$60</definedName>
    <definedName name="Range_b518d5f5085a48979645619ba03a0c67">Sheet11!$J$60</definedName>
    <definedName name="Range_dae1515e568f4d28965397df04a445bd">Sheet11!$D$60</definedName>
    <definedName name="Range_c89f9efa96eb4f67b2883807220dbb07">Sheet11!$B$60</definedName>
    <definedName name="Range_69ec7dacb5f84cca8695083ce9bb1043">Sheet11!$F$60</definedName>
    <definedName name="Range_159a3f69ac364a00ba3a2b316b9f0b87">Sheet11!$E$60</definedName>
    <definedName name="Range_fa2e62297e1347b2811a562a6c58cb1f">Sheet12!$C$53</definedName>
    <definedName name="Range_afd9174b4c084a7f937591d1aaa82386">Sheet12!$H$53</definedName>
    <definedName name="Range_964f73c4cc97427096d0f5856a92dc99">Sheet12!$G$53</definedName>
    <definedName name="Range_6f9e8342d4274b95aaef808937040572">Sheet12!$B$53</definedName>
    <definedName name="Range_2786baa86fa344db9766ea187a2573a3">Sheet12!$J$53</definedName>
    <definedName name="Range_3a5900c283b340eba0091f52fda80735">Sheet12!$E$53</definedName>
    <definedName name="Range_335f5015634642488775872c840b1872">Sheet12!$O$53</definedName>
    <definedName name="Range_32155e1eab514577bdaf778dc643c3e3">Sheet12!$N$53</definedName>
    <definedName name="Range_6a69a199eda0422fbfabc800d17d8078">Sheet12!$M$53</definedName>
    <definedName name="Range_d4dfdde6002c483aace96478065daea0">Sheet12!$D$53</definedName>
    <definedName name="Range_589fe9ea092d4677b2abbf533da74a6b">Sheet12!$L$53</definedName>
    <definedName name="Range_d452f68c7fab459b884deaad30c1a0d7">Sheet12!$F$53</definedName>
    <definedName name="Range_dba61f39159349a6a0ed608179d32874">Sheet12!$K$53</definedName>
    <definedName name="Range_b484f55bc8cf4f1b89883c7a9f813121">Sheet12!$I$53</definedName>
    <definedName name="Range_e19b39ef035b4678b3c4ee3eefea490e">Sheet12!$C$54</definedName>
    <definedName name="Range_a9ddbe197e1f447092627e717450edb1">Sheet12!$H$54</definedName>
    <definedName name="Range_4bcbe0619aa54259b3df7fbc0a4ce987">Sheet12!$G$54</definedName>
    <definedName name="Range_28b1ded515004f1aadd8d206a72889cd">Sheet12!$B$54</definedName>
    <definedName name="Range_081e67329bda4ba39b9141b5d2aedc4e">Sheet12!$J$54</definedName>
    <definedName name="Range_2c1498aa454142c9965ce6c03639988a">Sheet12!$E$54</definedName>
    <definedName name="Range_0f9dcc6b90324900a4950031d6015e3c">Sheet12!$O$54</definedName>
    <definedName name="Range_445c90aff5a04e9b9d8331c1cdf21319">Sheet12!$N$54</definedName>
    <definedName name="Range_9e9877c077b34b86bcb6d17bfdc1c491">Sheet12!$M$54</definedName>
    <definedName name="Range_6d1598a82c7d4624b0de43eb920a4c0b">Sheet12!$D$54</definedName>
    <definedName name="Range_dd12cb92b4984f378836a783bba919fa">Sheet12!$L$54</definedName>
    <definedName name="Range_46e13200746d4291a9b11702b43bbfce">Sheet12!$F$54</definedName>
    <definedName name="Range_42cd04ae581c4d4db6fe646eb056552e">Sheet12!$K$54</definedName>
    <definedName name="Range_899eff648f1544cc93a8202152921fa0">Sheet12!$I$54</definedName>
    <definedName name="Range_212925f918264adf889f13287a875412">Sheet12!$I$59</definedName>
    <definedName name="Range_0c06c67f2704455f91df05789678d55e">Sheet12!$C$59</definedName>
    <definedName name="Range_e7d2ea1a8ed2499d94f54cbea74dfd74">Sheet12!$H$59</definedName>
    <definedName name="Range_bdcb389efdd84a6db8cd8d46afc9c667">Sheet12!$G$59</definedName>
    <definedName name="Range_332c4964c60c4a63b4e2513b34fee6af">Sheet12!$J$59</definedName>
    <definedName name="Range_6be68cb6a58f4e299554f15e7aacc1a0">Sheet12!$D$59</definedName>
    <definedName name="Range_3bf139e12e154f049ea4424edc334acb">Sheet12!$B$59</definedName>
    <definedName name="Range_d3a8658096c34c678a79438262141ef7">Sheet12!$F$59</definedName>
    <definedName name="Range_c30bcd436cfd4fe48a5e6b24816f28d4">Sheet12!$E$59</definedName>
    <definedName name="Range_d3e061f5084348bdb80dbc52dfa02b5b">Sheet12!$I$60</definedName>
    <definedName name="Range_678ddd32681b46ab8d4e0c36d3df4bc3">Sheet12!$C$60</definedName>
    <definedName name="Range_5ff581edad6a4d55ac89ff10300aacb6">Sheet12!$H$60</definedName>
    <definedName name="Range_a8d94ae498864ca691367350f67fdbff">Sheet12!$G$60</definedName>
    <definedName name="Range_17c2c6ef676044ed9dcbee85aa5c5a9b">Sheet12!$J$60</definedName>
    <definedName name="Range_650f92b6214344d7a6833f6d41b27bc7">Sheet12!$D$60</definedName>
    <definedName name="Range_5a05b2d102e446b9a9a72e15d984efda">Sheet12!$B$60</definedName>
    <definedName name="Range_13730ec4a61a426f88e8015aefe270c7">Sheet12!$F$60</definedName>
    <definedName name="Range_dc5bb34a80014de98fb34d89129254ad">Sheet12!$E$60</definedName>
    <definedName name="Range_ba64686dfc064b65a5cf77bc946fdefb">Sheet13!$C$53</definedName>
    <definedName name="Range_36f7447daced4297b1ba0ba3c7a9c6db">Sheet13!$H$53</definedName>
    <definedName name="Range_2dfabac82b5146fdab449db9b007c5f2">Sheet13!$G$53</definedName>
    <definedName name="Range_9d79486d500d4c58a43c8964c58a2143">Sheet13!$B$53</definedName>
    <definedName name="Range_d199ea2cb28244938feb40966afd8643">Sheet13!$J$53</definedName>
    <definedName name="Range_7a7fc0805dd74685bd87aa1a09ff674a">Sheet13!$E$53</definedName>
    <definedName name="Range_b61d79da3a4340f68398a3e1b6efc6d7">Sheet13!$O$53</definedName>
    <definedName name="Range_499ac5409a73491d9eecaa844f580c7b">Sheet13!$N$53</definedName>
    <definedName name="Range_2e2d17f3da26425682d5569652f8b769">Sheet13!$M$53</definedName>
    <definedName name="Range_5b1bfebde171422fb41e010e8956776e">Sheet13!$D$53</definedName>
    <definedName name="Range_dadcd45ed5bb47e4b33fbd4f4280cfd7">Sheet13!$L$53</definedName>
    <definedName name="Range_d3377067aa1c4767af73e40b3701d3a9">Sheet13!$F$53</definedName>
    <definedName name="Range_ebd8ee426d894b3eb757d5f07c67af35">Sheet13!$K$53</definedName>
    <definedName name="Range_f82511b4cfb64304b93e791f342b813e">Sheet13!$I$53</definedName>
    <definedName name="Range_06a30af5e26249a7b1eff330bcc7c4bc">Sheet13!$C$54</definedName>
    <definedName name="Range_7c487a7ca6ab4bf1a7df04e5876e193e">Sheet13!$H$54</definedName>
    <definedName name="Range_f7e5adfb5325418e9d59cdb8a07b0fec">Sheet13!$G$54</definedName>
    <definedName name="Range_0a25ac9f2936453fa72b8ba7e86bd8bf">Sheet13!$B$54</definedName>
    <definedName name="Range_89465371d7bb460d983245248a77eadb">Sheet13!$J$54</definedName>
    <definedName name="Range_8671dced0f824dcaa808e96b5cf5546c">Sheet13!$E$54</definedName>
    <definedName name="Range_810a4f603522480da06088c985642249">Sheet13!$O$54</definedName>
    <definedName name="Range_5584c4db6b6149d58dd22c6142ee70dd">Sheet13!$N$54</definedName>
    <definedName name="Range_be6f3798b24b481695d2113b4d06bef4">Sheet13!$M$54</definedName>
    <definedName name="Range_679423d6c90e49398f9bdf5a92f0a191">Sheet13!$D$54</definedName>
    <definedName name="Range_a780a3470761446d8f356e892df42c63">Sheet13!$L$54</definedName>
    <definedName name="Range_20e8cbfdc0434d68b89bc35c9118dd7c">Sheet13!$F$54</definedName>
    <definedName name="Range_584a4bc8938f4c8b941969a5821bee8b">Sheet13!$K$54</definedName>
    <definedName name="Range_b81bfca53d0c4f7daa8b4c3eb24a1c12">Sheet13!$I$54</definedName>
    <definedName name="Range_274e4820e1a04837ba6bc538910c95b1">Sheet13!$I$59</definedName>
    <definedName name="Range_b5b60a75b5c947fab5f0e4809077bcef">Sheet13!$C$59</definedName>
    <definedName name="Range_88065b8f6e694025899fb5c4ade3ac23">Sheet13!$H$59</definedName>
    <definedName name="Range_6e222cade04e4150b124b5001f16ab6c">Sheet13!$G$59</definedName>
    <definedName name="Range_85d7881a666a4009a32324590ab70e78">Sheet13!$J$59</definedName>
    <definedName name="Range_4b29a0ffdb984b79916e91334941249f">Sheet13!$D$59</definedName>
    <definedName name="Range_04216d0e28f34c3b887a24808726b448">Sheet13!$B$59</definedName>
    <definedName name="Range_a842c3b3791a4b2bb29908af6e197313">Sheet13!$F$59</definedName>
    <definedName name="Range_0ed37a7122ce4317802c4a5daed0abf2">Sheet13!$E$59</definedName>
    <definedName name="Range_29040143a5b447d7b2ca8d3eaefec1a6">Sheet13!$I$60</definedName>
    <definedName name="Range_36bc96c05eac4810be9908773c627dbf">Sheet13!$C$60</definedName>
    <definedName name="Range_b3a1d5e372d74cd8aac9642f670d82e3">Sheet13!$H$60</definedName>
    <definedName name="Range_5b1fa222d2be46d8aebc7093994236fc">Sheet13!$G$60</definedName>
    <definedName name="Range_f6a00b36e7904a69b390e20064f78fda">Sheet13!$J$60</definedName>
    <definedName name="Range_a3db4f5b4d4b4e6387c8386270ebf3ff">Sheet13!$D$60</definedName>
    <definedName name="Range_27c760ea8d934a52a7a5bf82d1b49302">Sheet13!$B$60</definedName>
    <definedName name="Range_a48cd7ba031f4a82af01de98e93b8dcd">Sheet13!$F$60</definedName>
    <definedName name="Range_647006a96f2c4d6b9ceab3f7347adcff">Sheet13!$E$60</definedName>
    <definedName name="Range_0e58dfb0e7234577b8917159da062ba3">Sheet14!$C$53</definedName>
    <definedName name="Range_ba9e9b3bea4c472d9f1a65ff372ab868">Sheet14!$H$53</definedName>
    <definedName name="Range_e1ee6fff641d4750b8f1054d2eaecb97">Sheet14!$G$53</definedName>
    <definedName name="Range_3cbfa865c1184dbebe76876f573b8ccb">Sheet14!$B$53</definedName>
    <definedName name="Range_7b65be1fe70f499da6cf59ceca4baa79">Sheet14!$J$53</definedName>
    <definedName name="Range_02b10d0f4dd14bdea9593c2642513965">Sheet14!$E$53</definedName>
    <definedName name="Range_b0514c5b7f704bfaa9f9629c36aa61b8">Sheet14!$O$53</definedName>
    <definedName name="Range_c3da780b82344290bb2125a2e6c4529f">Sheet14!$N$53</definedName>
    <definedName name="Range_c24da5a9a83844668876d2d6eccc1d9a">Sheet14!$M$53</definedName>
    <definedName name="Range_d0bcecb65a5d4ed1b0d003f26e354ae9">Sheet14!$D$53</definedName>
    <definedName name="Range_56ccd0b432764947b0fb19cd958e5691">Sheet14!$L$53</definedName>
    <definedName name="Range_e0166bc99e2845d198b894c46c3faeb8">Sheet14!$F$53</definedName>
    <definedName name="Range_adc8bc7e3df94b35bdb74d99d81f3647">Sheet14!$K$53</definedName>
    <definedName name="Range_e6fff9f634074851b995cf6eed39fa92">Sheet14!$I$53</definedName>
    <definedName name="Range_246385378e9f41c49c4b83a502fa99ac">Sheet14!$C$54</definedName>
    <definedName name="Range_9854fb0170714ad78b556a402976abb3">Sheet14!$H$54</definedName>
    <definedName name="Range_77c47312d00b4cb0babdb16990124886">Sheet14!$G$54</definedName>
    <definedName name="Range_ff5b861487834341899cf2be9ca6ae7a">Sheet14!$B$54</definedName>
    <definedName name="Range_b580ff364b8e420bb0d685e1e792282d">Sheet14!$J$54</definedName>
    <definedName name="Range_34099f28576c434fb0ca0558235a3e4a">Sheet14!$E$54</definedName>
    <definedName name="Range_ea46fdb254c04c73b399d41b658b4905">Sheet14!$O$54</definedName>
    <definedName name="Range_68215ba5fb41410bb38f7cfbd1af3d5d">Sheet14!$N$54</definedName>
    <definedName name="Range_a86d6969d507449d898b3b6b103c1587">Sheet14!$M$54</definedName>
    <definedName name="Range_f6aed45cd53d4340a6d86ffe5d0be111">Sheet14!$D$54</definedName>
    <definedName name="Range_0a9ae77a3c834418adf790d8ebe1bd78">Sheet14!$L$54</definedName>
    <definedName name="Range_0d514a40437344e8ade7bbd6c70e3898">Sheet14!$F$54</definedName>
    <definedName name="Range_37bc0e9538aa4654991ae3e983845d6e">Sheet14!$K$54</definedName>
    <definedName name="Range_82d4e0c796fe42388cc10b3d67f2705e">Sheet14!$I$54</definedName>
    <definedName name="Range_5d59f8c58bba4cb8b49078974a54269e">Sheet14!$I$59</definedName>
    <definedName name="Range_270cf03e47ea473baf7454982d3ec338">Sheet14!$C$59</definedName>
    <definedName name="Range_8cbf05f8254d41d49117d2be5a5733b7">Sheet14!$H$59</definedName>
    <definedName name="Range_26ed6580ef3249df986ffd46a5df229e">Sheet14!$G$59</definedName>
    <definedName name="Range_de29d5321d844357879c76b928f88fb7">Sheet14!$J$59</definedName>
    <definedName name="Range_ebce94ec6c0d43af87a6887c4ffc74bd">Sheet14!$D$59</definedName>
    <definedName name="Range_c146d0211d32419fbffc3665f957c1ea">Sheet14!$B$59</definedName>
    <definedName name="Range_481e7db18ed8400e844979c3694ea74f">Sheet14!$F$59</definedName>
    <definedName name="Range_ae398b3541e44eaab1954328aae0d96d">Sheet14!$E$59</definedName>
    <definedName name="Range_25f1318812e140e7a00e9ac995606080">Sheet14!$I$60</definedName>
    <definedName name="Range_f67f2613152c4e5f970f064b56189bdf">Sheet14!$C$60</definedName>
    <definedName name="Range_59d835988fff4b24994522e157b6eaae">Sheet14!$H$60</definedName>
    <definedName name="Range_35b2275b1d124ef0862fd3cd110c1e47">Sheet14!$G$60</definedName>
    <definedName name="Range_b1637f06bb5641b7a01ad28770a9eef8">Sheet14!$J$60</definedName>
    <definedName name="Range_eecab0748e624f3e8b5966e2db2249fd">Sheet14!$D$60</definedName>
    <definedName name="Range_de118236fa5b418c984efa0f9adc5671">Sheet14!$B$60</definedName>
    <definedName name="Range_0d96e27b8b00433681c987e4761235dc">Sheet14!$F$60</definedName>
    <definedName name="Range_cc46d4a3bde94459a91d3a38b53f7ada">Sheet14!$E$60</definedName>
    <definedName name="Range_0a05c826923e4965872a0e096c6ebd52">Sheet15!$C$53</definedName>
    <definedName name="Range_fcb86fd07d6840058f54fddccb22afbe">Sheet15!$H$53</definedName>
    <definedName name="Range_5967884f9d3f4740ab51ff0638701b0e">Sheet15!$G$53</definedName>
    <definedName name="Range_c4254030346440f2b69267126509db6c">Sheet15!$B$53</definedName>
    <definedName name="Range_c06733233baf4c058ed6c197f7bfceb3">Sheet15!$J$53</definedName>
    <definedName name="Range_b440c9c043dd48cf81e118a68a470890">Sheet15!$E$53</definedName>
    <definedName name="Range_0f77d77ed7024cf2b1fff0e705701f82">Sheet15!$O$53</definedName>
    <definedName name="Range_bbd0a38aa939437fbab2096f29171ce1">Sheet15!$N$53</definedName>
    <definedName name="Range_2821bcef26664b4b867a526ba8068e0f">Sheet15!$M$53</definedName>
    <definedName name="Range_3fd51539f4cc4799a6b0336035a5507c">Sheet15!$D$53</definedName>
    <definedName name="Range_e39f30fdd1f74d98a6a2928d7e770e52">Sheet15!$L$53</definedName>
    <definedName name="Range_5ecfcc1e97c642f7b033af63615c2ac6">Sheet15!$F$53</definedName>
    <definedName name="Range_f39ba7020a8e4477b3d067a364a62ae4">Sheet15!$K$53</definedName>
    <definedName name="Range_010e6d52eaa74794b8e9c07fa58f9a99">Sheet15!$I$53</definedName>
    <definedName name="Range_4c52f43a22c94c10bb31ad1bee9dd299">Sheet15!$C$54</definedName>
    <definedName name="Range_ec5c59516f394dd6b12473dee3a47c24">Sheet15!$H$54</definedName>
    <definedName name="Range_ca64dd8fea09434e81f340dbbe2cb842">Sheet15!$G$54</definedName>
    <definedName name="Range_74832da3e4b842e2983ff28c0d58105e">Sheet15!$B$54</definedName>
    <definedName name="Range_76add60a7e2b4cac9a127b51800821b8">Sheet15!$J$54</definedName>
    <definedName name="Range_8afefa08b2d24762bb0f2cf162673136">Sheet15!$E$54</definedName>
    <definedName name="Range_9145425c8df848ba81f2cfeb456873fb">Sheet15!$O$54</definedName>
    <definedName name="Range_5cddf82930734ee79ee260c50741ef57">Sheet15!$N$54</definedName>
    <definedName name="Range_92270b7843b14935b78374855a410ff8">Sheet15!$M$54</definedName>
    <definedName name="Range_6746a742f1c348ea981e7c3dbc00337e">Sheet15!$D$54</definedName>
    <definedName name="Range_4a42d1a0fab8448389a8bc277b012741">Sheet15!$L$54</definedName>
    <definedName name="Range_5d362ad014074d5c96a23bedf3918f0f">Sheet15!$F$54</definedName>
    <definedName name="Range_e6dbf6167db44e08b4e51a5bdef7e09a">Sheet15!$K$54</definedName>
    <definedName name="Range_ea58173992df472a93cd3303a8a6cc01">Sheet15!$I$54</definedName>
    <definedName name="Range_479e1baf0a8c4aaa95c40556c56383ec">Sheet15!$I$59</definedName>
    <definedName name="Range_69bdb1c259984facb5f7f6a883bb7da2">Sheet15!$C$59</definedName>
    <definedName name="Range_b8150fb479a242d9a591c5262d12af26">Sheet15!$H$59</definedName>
    <definedName name="Range_fd29ba9d3af3466e93fa94646b88afb3">Sheet15!$G$59</definedName>
    <definedName name="Range_0fc02eadd72d4441bd17853ead32d249">Sheet15!$J$59</definedName>
    <definedName name="Range_66e45925499347d6906b0dd4762231f7">Sheet15!$D$59</definedName>
    <definedName name="Range_8855e5c2de234d649d4006978152cf7c">Sheet15!$B$59</definedName>
    <definedName name="Range_a5ec1b4609cf461f9d21379ea2e1aa69">Sheet15!$F$59</definedName>
    <definedName name="Range_21730f2521764f31afc4328c3d736214">Sheet15!$E$59</definedName>
    <definedName name="Range_822479db856f4d6491f4cb289fd7187f">Sheet15!$I$60</definedName>
    <definedName name="Range_7d8e4e1c140242f38e14f0104f909a9e">Sheet15!$C$60</definedName>
    <definedName name="Range_549c3229740c45899f349d62386cd2cc">Sheet15!$H$60</definedName>
    <definedName name="Range_da36950ff9494979ba8650ae73f69bb6">Sheet15!$G$60</definedName>
    <definedName name="Range_a8dd0a0786374d11874f0a583ddea1b6">Sheet15!$J$60</definedName>
    <definedName name="Range_6d2ccc30840b45ddae8ac6bd664c186b">Sheet15!$D$60</definedName>
    <definedName name="Range_e154cdca9420424caf0a4fdcb71a22bc">Sheet15!$B$60</definedName>
    <definedName name="Range_21f3d39468ab468d9441b97c2870ca46">Sheet15!$F$60</definedName>
    <definedName name="Range_32b4a0a323b64aed885393a76b4ae87e">Sheet15!$E$60</definedName>
    <definedName name="Range_34b56d049c0146c5ab2d4ad35a0a2a70">Sheet16!$C$53</definedName>
    <definedName name="Range_4b980e118d71426cade2ddd9fe66770c">Sheet16!$H$53</definedName>
    <definedName name="Range_6ea1c591e8dd4a7ebab2af3592c7b137">Sheet16!$G$53</definedName>
    <definedName name="Range_f2ad7e64350f4952825e45bd19810645">Sheet16!$B$53</definedName>
    <definedName name="Range_dc5b1032d17443d6a5cb05d28ed8fafc">Sheet16!$J$53</definedName>
    <definedName name="Range_ed729dda753c422f9c58017444af5c89">Sheet16!$E$53</definedName>
    <definedName name="Range_b49787a4f3f242389b0d806403502a6d">Sheet16!$O$53</definedName>
    <definedName name="Range_bdb511fe469d49b2acfad7e01776ad0d">Sheet16!$N$53</definedName>
    <definedName name="Range_01e4190bb781471a8908ee1a26a9ed5b">Sheet16!$M$53</definedName>
    <definedName name="Range_cdd0c64de52a496fa9a66c20e5ec7031">Sheet16!$D$53</definedName>
    <definedName name="Range_407b86f2f9074ecc96cb1cc74ba89b3d">Sheet16!$L$53</definedName>
    <definedName name="Range_ca7b9b5e7ef24936be3841f447122c50">Sheet16!$F$53</definedName>
    <definedName name="Range_55e124c9607943cfab9ee1c514657140">Sheet16!$K$53</definedName>
    <definedName name="Range_b1120a0c2cb44ed78931cebe3e8be4b7">Sheet16!$I$53</definedName>
    <definedName name="Range_06824dbead194b4dacb9340d0a51f498">Sheet16!$C$54</definedName>
    <definedName name="Range_16b9d054e6f1470cbe74dacfc4045706">Sheet16!$H$54</definedName>
    <definedName name="Range_dc1bf9df9f9e44bbbaaeff2c0932b9e3">Sheet16!$G$54</definedName>
    <definedName name="Range_6c2c37b62f664c8dbdae5b760b34148c">Sheet16!$B$54</definedName>
    <definedName name="Range_7943a608b00b47e3a2eda30da2a01205">Sheet16!$J$54</definedName>
    <definedName name="Range_5a365ad60b8d46f28c1a8008ad7a6a19">Sheet16!$E$54</definedName>
    <definedName name="Range_0f4b5a04507949ba9dcd384044d71726">Sheet16!$O$54</definedName>
    <definedName name="Range_be71590c786d4c6380b3c321c065e283">Sheet16!$N$54</definedName>
    <definedName name="Range_603d3669504243b5b975bfa21148bdd8">Sheet16!$M$54</definedName>
    <definedName name="Range_7754dec9b3ae41228db70316ff4ea7b5">Sheet16!$D$54</definedName>
    <definedName name="Range_be78b53f41374d0999e5ed4b401da2ec">Sheet16!$L$54</definedName>
    <definedName name="Range_2dc3a4372e8842d98bcd748263640cc6">Sheet16!$F$54</definedName>
    <definedName name="Range_6fba8744ba6242a0a5a705369c46fdbe">Sheet16!$K$54</definedName>
    <definedName name="Range_9b3eb83be757495e8dcd61121ffdec0b">Sheet16!$I$54</definedName>
    <definedName name="Range_4d90599854244fe888495080621c43b0">Sheet16!$I$59</definedName>
    <definedName name="Range_838b53a35eba467b9b2b8a5b3744e8dd">Sheet16!$C$59</definedName>
    <definedName name="Range_2e876516b98743598d7ce0e9fcc2010b">Sheet16!$H$59</definedName>
    <definedName name="Range_289c08403e984b9281ee5d8829365116">Sheet16!$G$59</definedName>
    <definedName name="Range_6310cbbcf200436899fcda77637bcc17">Sheet16!$J$59</definedName>
    <definedName name="Range_ff3d36e2302642948de799ad5fcb981f">Sheet16!$D$59</definedName>
    <definedName name="Range_6ecc222d996d48598cb064b63f57affb">Sheet16!$B$59</definedName>
    <definedName name="Range_e1c4aafa80c1497c9082301254997bf5">Sheet16!$F$59</definedName>
    <definedName name="Range_26302b4eddb44b24af70a377cbe2a106">Sheet16!$E$59</definedName>
    <definedName name="Range_17b389747cd94113baba109e1868fd62">Sheet16!$I$60</definedName>
    <definedName name="Range_fe6f9f3a7ff049dd9e8256f4b0209a98">Sheet16!$C$60</definedName>
    <definedName name="Range_c0bfb63c617a438287408b8bdcc32903">Sheet16!$H$60</definedName>
    <definedName name="Range_5e79eefed69c4946b4fe7a78dfeb2a94">Sheet16!$G$60</definedName>
    <definedName name="Range_8ec34c11e73b4fb99821c7f103f9efa0">Sheet16!$J$60</definedName>
    <definedName name="Range_269c12acb67f48b3a840a4f570bd0b12">Sheet16!$D$60</definedName>
    <definedName name="Range_f64fb391f3b946c2ba88a6b89c606199">Sheet16!$B$60</definedName>
    <definedName name="Range_26102eba05154290a4a44b447c5e6da9">Sheet16!$F$60</definedName>
    <definedName name="Range_da32d31ad17e4262b83320605df99d37">Sheet16!$E$60</definedName>
    <definedName name="Range_792ccd0058f74f4493beb6bb7f6c2e8d">Sheet17!$C$53</definedName>
    <definedName name="Range_991f74e18d36462b8f4756948ac16c72">Sheet17!$H$53</definedName>
    <definedName name="Range_0809375821c74fb496b1a11695707dab">Sheet17!$G$53</definedName>
    <definedName name="Range_8a7f64f441e147209d9f27e15884329b">Sheet17!$B$53</definedName>
    <definedName name="Range_3d98a32fe185428cbd677fc473752835">Sheet17!$J$53</definedName>
    <definedName name="Range_3ccd2a2f767a42e499cf7b6d9b47a3d8">Sheet17!$E$53</definedName>
    <definedName name="Range_6ad30dc5d8ec4c788f8775b9d744bc74">Sheet17!$O$53</definedName>
    <definedName name="Range_5c1590193fe24acba4f587c7e1dff3df">Sheet17!$N$53</definedName>
    <definedName name="Range_da11a10c718c4410bd67e2a77753e2bf">Sheet17!$M$53</definedName>
    <definedName name="Range_a39422fa797c4f698989eaf5c57174f8">Sheet17!$D$53</definedName>
    <definedName name="Range_f6faeae39df04c49baa7696b0703a69d">Sheet17!$L$53</definedName>
    <definedName name="Range_7a9a1b52621d41e8b21339dcd8e75186">Sheet17!$F$53</definedName>
    <definedName name="Range_b6ee3e588500496c8cf276fd10b7ebcb">Sheet17!$K$53</definedName>
    <definedName name="Range_b319a813bbd4451c846a35ac05d25015">Sheet17!$I$53</definedName>
    <definedName name="Range_062a5697663e4109901a033dd818d4a9">Sheet17!$C$54</definedName>
    <definedName name="Range_f2330433ff6943eb879eed5d9c378a49">Sheet17!$H$54</definedName>
    <definedName name="Range_5827e2f9eb144112ae22c0a9bb478f06">Sheet17!$G$54</definedName>
    <definedName name="Range_daf93c00faf04ad8903daabb18ad721b">Sheet17!$B$54</definedName>
    <definedName name="Range_3c2faf774c604eebb837a88c7b3fdd6b">Sheet17!$J$54</definedName>
    <definedName name="Range_8d9f6d055b694c8eadf065fa64cc0c7c">Sheet17!$E$54</definedName>
    <definedName name="Range_3294160f1d724bd2bb0d5e4dc1b2435b">Sheet17!$O$54</definedName>
    <definedName name="Range_a1b5ef9e588c430085717b1e9473557b">Sheet17!$N$54</definedName>
    <definedName name="Range_f86ac85f7fba48c1822e056d3b75fd4b">Sheet17!$M$54</definedName>
    <definedName name="Range_f7c07884bc0e4b759c10e0a3583c633a">Sheet17!$D$54</definedName>
    <definedName name="Range_5a0d3f6d86024b3798dbb4374002fcf4">Sheet17!$L$54</definedName>
    <definedName name="Range_e236285b58264e7abc94fa8cd76e046e">Sheet17!$F$54</definedName>
    <definedName name="Range_758ab59e06914f4986f2c2f0dd9459e9">Sheet17!$K$54</definedName>
    <definedName name="Range_be87b111003244beb05c57a8bce1cd38">Sheet17!$I$54</definedName>
    <definedName name="Range_b61bf0dc0a1d461395aa3878370153ec">Sheet17!$I$59</definedName>
    <definedName name="Range_f0f4021a1c70492a8d7399c727e1300f">Sheet17!$C$59</definedName>
    <definedName name="Range_66f1e06e81c74474a1b732a3c42e7bfd">Sheet17!$H$59</definedName>
    <definedName name="Range_677e7499bd5b4640a24a2dade5e099f6">Sheet17!$G$59</definedName>
    <definedName name="Range_07f00bc2e5974221bf08215537590c76">Sheet17!$J$59</definedName>
    <definedName name="Range_56e595f99510422687a2eb75aa67a17b">Sheet17!$D$59</definedName>
    <definedName name="Range_4d6f9f658d0a4ee9af151960c19b4565">Sheet17!$B$59</definedName>
    <definedName name="Range_95b5397bbc2140f39d48d49f7c0242e1">Sheet17!$F$59</definedName>
    <definedName name="Range_7fef547dec79408a900fb0f5e593080b">Sheet17!$E$59</definedName>
    <definedName name="Range_c20132b1ba3e497a9583360007abbaba">Sheet17!$I$60</definedName>
    <definedName name="Range_1c3d7e7208264b0ba878c7fa6389c1d9">Sheet17!$C$60</definedName>
    <definedName name="Range_e3c0e008edc84b78b8d1e0510f1d8d8d">Sheet17!$H$60</definedName>
    <definedName name="Range_9f376a8c21b949d38030d16fc931e52b">Sheet17!$G$60</definedName>
    <definedName name="Range_fa48058fa39248bba53ebd5bb35c50af">Sheet17!$J$60</definedName>
    <definedName name="Range_a8bcd534eaff4669923bdbafe8abe356">Sheet17!$D$60</definedName>
    <definedName name="Range_2225451c32754527b3390d159f61559f">Sheet17!$B$60</definedName>
    <definedName name="Range_4c2bc78337fb4dc8b912468ac488441e">Sheet17!$F$60</definedName>
    <definedName name="Range_94b76fb5fc9e42e989c79e0d3a5f6ee3">Sheet17!$E$60</definedName>
    <definedName name="Range_d8ef0c1e9ce6463b8572ccb6fd5805ec">Sheet18!$C$53</definedName>
    <definedName name="Range_2006b98a972e46f98fbd0c83b6776aaf">Sheet18!$H$53</definedName>
    <definedName name="Range_4fa8489d9fc54cf8a882d68b2e58e319">Sheet18!$G$53</definedName>
    <definedName name="Range_cc254fbd29b948689e4c42992def5fe0">Sheet18!$B$53</definedName>
    <definedName name="Range_b44a5c6d6b074c329fdf76b7066f462c">Sheet18!$J$53</definedName>
    <definedName name="Range_340a2edd62a6422ebb691c71c5cd7dcd">Sheet18!$E$53</definedName>
    <definedName name="Range_a4991167f4b44fcd8b14446b150de332">Sheet18!$O$53</definedName>
    <definedName name="Range_6ad67a9010084bfd814cc0ebc39b6708">Sheet18!$N$53</definedName>
    <definedName name="Range_fa8154a2b5b84df3afa290056405f3fb">Sheet18!$M$53</definedName>
    <definedName name="Range_ec762faad8b54857ae5d0a6a80d0407e">Sheet18!$D$53</definedName>
    <definedName name="Range_53d7360b558e4434bd3e5a75d774f4db">Sheet18!$L$53</definedName>
    <definedName name="Range_44887e78e6e44ab6a135d751dc64d4d7">Sheet18!$F$53</definedName>
    <definedName name="Range_8d5cd8a28c16455aa3c7ad165fefdc2b">Sheet18!$K$53</definedName>
    <definedName name="Range_a233389c51cd44cdaec4551776dc86af">Sheet18!$I$53</definedName>
    <definedName name="Range_4247f3e8db804bf593c6ef1441546cf5">Sheet18!$C$54</definedName>
    <definedName name="Range_f6adbcb425b248598465e543748f26fe">Sheet18!$H$54</definedName>
    <definedName name="Range_a88dfd5ba9aa4f76b3efd381a5947c19">Sheet18!$G$54</definedName>
    <definedName name="Range_ab288b5029fa4d868b3279490bd7eca0">Sheet18!$B$54</definedName>
    <definedName name="Range_cee06d460ddf4142a51ca66e2be05ba2">Sheet18!$J$54</definedName>
    <definedName name="Range_6695fcac1ca04edabfba987848ba34f7">Sheet18!$E$54</definedName>
    <definedName name="Range_7b3604e51315431a8db8c0220fe42738">Sheet18!$O$54</definedName>
    <definedName name="Range_406cc3ae22c043368c40ab730a39d525">Sheet18!$N$54</definedName>
    <definedName name="Range_2444507c36ce4587b7a5044e59e53f6b">Sheet18!$M$54</definedName>
    <definedName name="Range_532ca3f9d63d4db4a89ed8873bc88ce9">Sheet18!$D$54</definedName>
    <definedName name="Range_9192a00158634ce5a11fa7e686731406">Sheet18!$L$54</definedName>
    <definedName name="Range_e17bf63e4d6d47cd88872a6f05a48fdd">Sheet18!$F$54</definedName>
    <definedName name="Range_6135e9d783a24387bccba47c32c1c195">Sheet18!$K$54</definedName>
    <definedName name="Range_41394a9644d241a496f777b08a135af5">Sheet18!$I$54</definedName>
    <definedName name="Range_0febeacddfb34941b385686076460dcb">Sheet18!$I$59</definedName>
    <definedName name="Range_beb49cbb208b40aab9e7914be4b728d9">Sheet18!$C$59</definedName>
    <definedName name="Range_c8eefb9126354d37a42d3e40737b26b8">Sheet18!$H$59</definedName>
    <definedName name="Range_a102be221c274599b5468a374c4b8d1c">Sheet18!$G$59</definedName>
    <definedName name="Range_70eb83b75bc847ac90853cc54c8d823b">Sheet18!$J$59</definedName>
    <definedName name="Range_a77a1923f7e144559fb5320123c206be">Sheet18!$D$59</definedName>
    <definedName name="Range_7cc3718680fd44078f1b1cb5eb391b02">Sheet18!$B$59</definedName>
    <definedName name="Range_66322b27b8d34310a00700ff7d07e502">Sheet18!$F$59</definedName>
    <definedName name="Range_ed2680ef33ca4fae8c6e8c71ecb4aa39">Sheet18!$E$59</definedName>
    <definedName name="Range_ddfb11d9c7164be08a73c12e697a0e39">Sheet18!$I$60</definedName>
    <definedName name="Range_cb13d97cfd9842c6aad8b9ef8d71fe14">Sheet18!$C$60</definedName>
    <definedName name="Range_8d53de431eb244f5b1964471338ea24b">Sheet18!$H$60</definedName>
    <definedName name="Range_6d14b6a9a0304ae88994b5072663bc91">Sheet18!$G$60</definedName>
    <definedName name="Range_c8a5ad104ab240febfc77e6c832712dd">Sheet18!$J$60</definedName>
    <definedName name="Range_38138754e2f04069bc342f99ef21d7ab">Sheet18!$D$60</definedName>
    <definedName name="Range_cc30f7c965c442a89adf450ddffda53d">Sheet18!$B$60</definedName>
    <definedName name="Range_cb334e34375b411bade1a946e96e1f05">Sheet18!$F$60</definedName>
    <definedName name="Range_5596286379704459b6160541af56c6db">Sheet18!$E$60</definedName>
    <definedName name="Range_4b3de72509bb407cb6f616f4651006e9">Sheet19!$C$53</definedName>
    <definedName name="Range_9d15b294453b4e0a98f4c3eb027b6f30">Sheet19!$H$53</definedName>
    <definedName name="Range_2f6f370884eb4dbf8a48089629a4e41d">Sheet19!$G$53</definedName>
    <definedName name="Range_07f460661516437696b2196dafdcbf0b">Sheet19!$B$53</definedName>
    <definedName name="Range_b766e8ebdd254ce1b5a792ba421ae1ed">Sheet19!$J$53</definedName>
    <definedName name="Range_eb68f7cb91104544a767e8f056de5c7e">Sheet19!$E$53</definedName>
    <definedName name="Range_b930e2c22b284219aeed71c9661233f8">Sheet19!$O$53</definedName>
    <definedName name="Range_c2c14d4f4b144762842d1f4a2a2cdc44">Sheet19!$N$53</definedName>
    <definedName name="Range_7f79ecf3f989488b8950397976d58d0a">Sheet19!$M$53</definedName>
    <definedName name="Range_68482ecada2b400882a0f8cd7fd1e610">Sheet19!$D$53</definedName>
    <definedName name="Range_c2f1ee8f01144680afc918b8084cb1e7">Sheet19!$L$53</definedName>
    <definedName name="Range_47a0bcaa6f794dba985cb77c96a7acd2">Sheet19!$F$53</definedName>
    <definedName name="Range_9514dcffb3e94e9da301f0fb0e445670">Sheet19!$K$53</definedName>
    <definedName name="Range_628882dcd3b1403784596854945165a9">Sheet19!$I$53</definedName>
    <definedName name="Range_8f50b0fe01fa4c5688abdd9775647ac2">Sheet19!$C$54</definedName>
    <definedName name="Range_14993f85129c4be9b4825baff44eaf28">Sheet19!$H$54</definedName>
    <definedName name="Range_9ab8bcc24a344482aa784c5c051e7d71">Sheet19!$G$54</definedName>
    <definedName name="Range_8e29e62f902e47dfbf5aef294b9b7a8a">Sheet19!$B$54</definedName>
    <definedName name="Range_6afca6970683434b8d1f86d67a082dc7">Sheet19!$J$54</definedName>
    <definedName name="Range_585767f1a3914c90b78c7345e861c1fe">Sheet19!$E$54</definedName>
    <definedName name="Range_955da90572f448598182755548ee2192">Sheet19!$O$54</definedName>
    <definedName name="Range_ebdd3140787649d2a340235088655f5f">Sheet19!$N$54</definedName>
    <definedName name="Range_0951173508f845cba1cf40a2b56c3a9d">Sheet19!$M$54</definedName>
    <definedName name="Range_a8dc16c5a23547978aebf24f9bb273dc">Sheet19!$D$54</definedName>
    <definedName name="Range_83ef817c670e4674ae57ab1bcb117fc2">Sheet19!$L$54</definedName>
    <definedName name="Range_855829b12a0845e5b81b98dad2ee61e3">Sheet19!$F$54</definedName>
    <definedName name="Range_f2ee6a9afd6c4805813e2ad3598eb024">Sheet19!$K$54</definedName>
    <definedName name="Range_b13aa6d7bb4849108a165705484bd3d1">Sheet19!$I$54</definedName>
    <definedName name="Range_effc0573cd1d464d9ce41cfed152bd27">Sheet19!$I$59</definedName>
    <definedName name="Range_d8f50a24f5c74ba09f9f5d9aaf7072e6">Sheet19!$C$59</definedName>
    <definedName name="Range_c6e1e7aad9024403be053957dd3a5227">Sheet19!$H$59</definedName>
    <definedName name="Range_8f258277867f4415920352a54c956f5e">Sheet19!$G$59</definedName>
    <definedName name="Range_cd90e909e83e4d479f42e422f82883cc">Sheet19!$J$59</definedName>
    <definedName name="Range_86b17cdc3b4247e7b1af3a4e091ee098">Sheet19!$D$59</definedName>
    <definedName name="Range_19e3384a55bc4e68bbea9346a07e3ca2">Sheet19!$B$59</definedName>
    <definedName name="Range_0257e2c8bee94101bea8af6b0622576a">Sheet19!$F$59</definedName>
    <definedName name="Range_ba1b7d81d93f4d85b10b5c22472913ff">Sheet19!$E$59</definedName>
    <definedName name="Range_a97160719feb4c2e803aed279cbef200">Sheet19!$I$60</definedName>
    <definedName name="Range_a17f494e033a4a959d2ad9206e19e1ad">Sheet19!$C$60</definedName>
    <definedName name="Range_40997c12afb44010be72f1e2aaa3d7fb">Sheet19!$H$60</definedName>
    <definedName name="Range_6a412fe1f22b476a84a1fab676951ed0">Sheet19!$G$60</definedName>
    <definedName name="Range_d56c64576fcb4d9c8071185607b5191a">Sheet19!$J$60</definedName>
    <definedName name="Range_a6194990967340a6ae12a76d1c043ffb">Sheet19!$D$60</definedName>
    <definedName name="Range_e9724c0079d14becbf9473ac28e72e16">Sheet19!$B$60</definedName>
    <definedName name="Range_6c70b96b72ae48bf8b0a35e76a20242c">Sheet19!$F$60</definedName>
    <definedName name="Range_028dc4790e0d4dc482a0aef2eb179f3f">Sheet19!$E$60</definedName>
  </definedNames>
  <calcPr calcId="145621" fullCalcOnLoad="1" iterateDelta="1E-4"/>
</workbook>
</file>

<file path=xl/calcChain.xml><?xml version="1.0" encoding="utf-8"?>
<calcChain xmlns="http://schemas.openxmlformats.org/spreadsheetml/2006/main">
  <c i="1" l="1" r="I47"/>
  <c i="1" r="H47"/>
  <c i="1" r="G47"/>
  <c i="1" r="F47"/>
  <c i="1" r="E47"/>
  <c i="1" r="D47"/>
  <c i="1" r="C47"/>
  <c i="1" r="I46"/>
  <c i="1" r="H46"/>
  <c i="1" r="G46"/>
  <c i="1" r="F46"/>
  <c i="1" r="E46"/>
  <c i="1" r="D46"/>
  <c i="1" r="C46"/>
  <c i="1" r="I41"/>
  <c i="1" r="H41"/>
  <c i="1" r="G41"/>
  <c i="1" r="F41"/>
  <c i="1" r="E41"/>
  <c i="1" r="D41"/>
  <c i="1" r="C41"/>
  <c i="1" r="I40"/>
  <c i="1" r="I39" s="1"/>
  <c i="1" r="H40"/>
  <c i="1" r="G40"/>
  <c i="1" r="G39" s="1"/>
  <c i="1" r="F40"/>
  <c i="1" r="F39" s="1"/>
  <c i="1" r="H39"/>
  <c i="1" r="K38"/>
  <c i="1" r="J38"/>
  <c i="1" r="D40" s="1"/>
  <c i="1" r="I38"/>
  <c i="1" r="H38"/>
  <c i="1" r="G38"/>
  <c i="1" r="F38"/>
  <c i="1" l="1" r="C38"/>
  <c i="1" r="C40"/>
  <c i="1" r="C39" s="1"/>
  <c i="1" r="E38"/>
  <c i="1" r="E40"/>
  <c i="1" r="E39" s="1"/>
  <c i="1" r="D38"/>
  <c i="1" r="D39" s="1"/>
</calcChain>
</file>

<file path=xl/sharedStrings.xml><?xml version="1.0" encoding="utf-8"?>
<sst xmlns="http://schemas.openxmlformats.org/spreadsheetml/2006/main" count="74" uniqueCount="74">
  <si>
    <t>[[description]:clone]</t>
  </si>
  <si>
    <t>Average</t>
  </si>
  <si>
    <t>Newtonsoft.Json</t>
  </si>
  <si>
    <t>Revenj.Net full</t>
  </si>
  <si>
    <t>Revenj.Net minimal</t>
  </si>
  <si>
    <t>Jackson</t>
  </si>
  <si>
    <t>DSL client Java full</t>
  </si>
  <si>
    <t>DSL client Java minimal</t>
  </si>
  <si>
    <t>Protobuf.NET</t>
  </si>
  <si>
    <t>.NET (instance only)</t>
  </si>
  <si>
    <t>JVM (instance only)</t>
  </si>
  <si>
    <t>Serialization</t>
  </si>
  <si>
    <t>Deserialization</t>
  </si>
  <si>
    <t>Both</t>
  </si>
  <si>
    <t>Size</t>
  </si>
  <si>
    <t>Deviation</t>
  </si>
  <si>
    <t>Serialization data:</t>
  </si>
  <si>
    <t>Newtonsoft (duration)</t>
  </si>
  <si>
    <t>Newtonsoft (size)</t>
  </si>
  <si>
    <t>Revenj.NET full (duration)</t>
  </si>
  <si>
    <t>Revenj.NET full (size)</t>
  </si>
  <si>
    <t>Revenj.NET minimal (duration)</t>
  </si>
  <si>
    <t>Revenj.NET minimal (size)</t>
  </si>
  <si>
    <t>Jackson (duration)</t>
  </si>
  <si>
    <t>Jackson (size)</t>
  </si>
  <si>
    <t>DSL client Java full (duration)</t>
  </si>
  <si>
    <t>DSL client Java full (size)</t>
  </si>
  <si>
    <t>DSL client Java minimal (duration)</t>
  </si>
  <si>
    <t>DSL client Java minimal (size)</t>
  </si>
  <si>
    <t>Protobuf.NET (duration)</t>
  </si>
  <si>
    <t>Protobuf.NET (size)</t>
  </si>
  <si>
    <t>[[serialization.NewtonsoftJson.Duration]]</t>
  </si>
  <si>
    <t>[[serialization.NewtonsoftJson.Size]]</t>
  </si>
  <si>
    <t>[[serialization.NetBakedInFull.Duration]]</t>
  </si>
  <si>
    <t>[[serialization.NetBakedInFull.Size]]</t>
  </si>
  <si>
    <t>[[serialization.NetBakedInMinimal.Duration]]</t>
  </si>
  <si>
    <t>[[serialization.NetBakedInMinimal.Size]]</t>
  </si>
  <si>
    <t>[[serialization.Jackson.Duration]]</t>
  </si>
  <si>
    <t>[[serialization.Jackson.Size]]</t>
  </si>
  <si>
    <t>[[serialization.JvmBakedInFull.Duration]]</t>
  </si>
  <si>
    <t>[[serialization.JvmBakedInFull.Size]]</t>
  </si>
  <si>
    <t>[[serialization.JvmBakedInMinimal.Duration]]</t>
  </si>
  <si>
    <t>[[serialization.JvmBakedInMinimal.Size]]</t>
  </si>
  <si>
    <t>[[serialization.Protobuf.Duration]]</t>
  </si>
  <si>
    <t>[[serialization.Protobuf.Size]]</t>
  </si>
  <si>
    <t>Serialization and deserialization data:</t>
  </si>
  <si>
    <t>[[both.NewtonsoftJson.Duration]]</t>
  </si>
  <si>
    <t>[[both.NetBakedInFull.Duration]]</t>
  </si>
  <si>
    <t>[[both.NetBakedInMinimal.Duration]]</t>
  </si>
  <si>
    <t>[[both.Jackson.Duration]]</t>
  </si>
  <si>
    <t>[[both.JvmBakedInFull.Duration]]</t>
  </si>
  <si>
    <t>[[both.JvmBakedInMinimal.Duration]]</t>
  </si>
  <si>
    <t>[[both.Protobuf.Duration]]</t>
  </si>
  <si>
    <t>[[both.Net]]</t>
  </si>
  <si>
    <t>[[both.Jvm]]</t>
  </si>
  <si>
    <t>Startup times: SmallObject.Message</t>
  </si>
  <si>
    <t>Startup times: LargeObjects.Book</t>
  </si>
  <si>
    <t>100.000 SmallObjects.Message</t>
  </si>
  <si>
    <t>1.000.000 SmallObjects.Message</t>
  </si>
  <si>
    <t>10.000.000 SmallObjects.Message</t>
  </si>
  <si>
    <t>100.000 SmallObjects.Complex</t>
  </si>
  <si>
    <t>1.000.000 SmallObjects.Complex</t>
  </si>
  <si>
    <t>10.000.000 SmallObjects.Complex</t>
  </si>
  <si>
    <t>100.000 SmallObjects.Post</t>
  </si>
  <si>
    <t>1.000.000 SmallObjects.Post</t>
  </si>
  <si>
    <t>10.000.000 SmallObjects.Post</t>
  </si>
  <si>
    <t>10.000 StandardObjects.DeletePost</t>
  </si>
  <si>
    <t>100.000 StandardObjects.DeletePost</t>
  </si>
  <si>
    <t>1.000.000 StandardObjects.DeletePost</t>
  </si>
  <si>
    <t>10.000 StandardObjects.Post</t>
  </si>
  <si>
    <t>100.000 StandardObjects.Post</t>
  </si>
  <si>
    <t>1.000.000 StandardObjects.Post</t>
  </si>
  <si>
    <t>100 LargeObjects.Book</t>
  </si>
  <si>
    <t>1.000 LargeObjects.Book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</si>
</sst>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" numFmtId="164"/>
  </numFmts>
  <fonts count="3" x14ac:knownFonts="1">
    <font>
      <sz val="11"/>
      <color rgb="FF000000"/>
      <name val="Calibri"/>
      <family val="2"/>
      <charset val="238"/>
    </font>
    <font>
      <b/>
      <sz val="11"/>
      <color rgb="FFFFFFFF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4F81BD"/>
        <bgColor rgb="FF878787"/>
      </patternFill>
    </fill>
    <fill>
      <patternFill patternType="solid">
        <fgColor rgb="FFDCE6F2"/>
        <bgColor rgb="FFCCFFFF"/>
      </patternFill>
    </fill>
  </fills>
  <borders count="7">
    <border>
      <left/>
      <right/>
      <top/>
      <bottom/>
      <diagonal/>
    </border>
    <border>
      <left style="thin">
        <color rgb="FF95B3D7"/>
      </left>
      <right/>
      <top style="thin">
        <color rgb="FF95B3D7"/>
      </top>
      <bottom/>
      <diagonal/>
    </border>
    <border>
      <left/>
      <right/>
      <top style="thin">
        <color rgb="FF95B3D7"/>
      </top>
      <bottom/>
      <diagonal/>
    </border>
    <border>
      <left/>
      <right style="thin">
        <color rgb="FF95B3D7"/>
      </right>
      <top style="thin">
        <color rgb="FF95B3D7"/>
      </top>
      <bottom/>
      <diagonal/>
    </border>
    <border>
      <left style="thin">
        <color rgb="FF95B3D7"/>
      </left>
      <right/>
      <top style="thin">
        <color rgb="FF95B3D7"/>
      </top>
      <bottom style="thin">
        <color rgb="FF95B3D7"/>
      </bottom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 style="thin">
        <color rgb="FF95B3D7"/>
      </right>
      <top style="thin">
        <color rgb="FF95B3D7"/>
      </top>
      <bottom style="thin">
        <color rgb="FF95B3D7"/>
      </bottom>
      <diagonal/>
    </border>
  </borders>
  <cellStyleXfs count="1">
    <xf borderId="0" fillId="0" fontId="0" numFmtId="0"/>
  </cellStyleXfs>
  <cellXfs count="19">
    <xf borderId="0" fillId="0" fontId="0" numFmtId="0" xfId="0"/>
    <xf applyBorder="1" applyFill="1" applyFont="1" borderId="1" fillId="2" fontId="1" numFmtId="0" xfId="0"/>
    <xf applyBorder="1" applyFill="1" applyFont="1" borderId="2" fillId="2" fontId="1" numFmtId="0" xfId="0"/>
    <xf applyBorder="1" applyFill="1" applyFont="1" borderId="3" fillId="2" fontId="1" numFmtId="0" xfId="0"/>
    <xf applyBorder="1" applyFill="1" applyFont="1" borderId="1" fillId="3" fontId="0" numFmtId="0" xfId="0"/>
    <xf applyBorder="1" applyFill="1" applyFont="1" applyNumberFormat="1" borderId="2" fillId="3" fontId="0" numFmtId="164" xfId="0"/>
    <xf applyBorder="1" applyFill="1" applyFont="1" applyNumberFormat="1" borderId="3" fillId="3" fontId="0" numFmtId="164" xfId="0"/>
    <xf applyBorder="1" applyFont="1" borderId="1" fillId="0" fontId="0" numFmtId="0" xfId="0"/>
    <xf applyBorder="1" applyFont="1" applyNumberFormat="1" borderId="2" fillId="0" fontId="0" numFmtId="164" xfId="0"/>
    <xf applyBorder="1" applyFont="1" applyNumberFormat="1" borderId="3" fillId="0" fontId="0" numFmtId="164" xfId="0"/>
    <xf applyBorder="1" applyFont="1" borderId="4" fillId="0" fontId="0" numFmtId="0" xfId="0"/>
    <xf applyBorder="1" applyFont="1" applyNumberFormat="1" borderId="5" fillId="0" fontId="0" numFmtId="3" xfId="0"/>
    <xf applyBorder="1" applyFont="1" applyNumberFormat="1" borderId="5" fillId="0" fontId="0" numFmtId="164" xfId="0"/>
    <xf applyBorder="1" applyFont="1" applyNumberFormat="1" borderId="6" fillId="0" fontId="0" numFmtId="164" xfId="0"/>
    <xf applyNumberFormat="1" borderId="0" fillId="0" fontId="0" numFmtId="164" xfId="0"/>
    <xf applyFont="1" borderId="0" fillId="0" fontId="2" numFmtId="0" xfId="0"/>
    <xf applyBorder="1" applyFill="1" applyFont="1" borderId="4" fillId="3" fontId="0" numFmtId="0" xfId="0"/>
    <xf applyBorder="1" applyFill="1" applyFont="1" borderId="5" fillId="3" fontId="0" numFmtId="0" xfId="0"/>
    <xf applyBorder="1" applyFill="1" applyFont="1" borderId="6" fillId="3" fontId="0" numFmtId="0" xfId="0"/>
  </cellXfs>
  <cellStyles count="1">
    <cellStyle builtinId="0" name="Normal" xfId="0"/>
  </cellStyles>
  <dxfs count="0"/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4F81BD"/>
      <rgbColor rgb="FF33CCCC"/>
      <rgbColor rgb="FF99CC00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<Relationships xmlns="http://schemas.openxmlformats.org/package/2006/relationships"><Relationship Id="rId3" Target="styles.xml" Type="http://schemas.openxmlformats.org/officeDocument/2006/relationships/styles"/><Relationship Id="rId2" Target="theme/theme1.xml" Type="http://schemas.openxmlformats.org/officeDocument/2006/relationships/theme"/><Relationship Id="rId1" Target="worksheets/sheet1.xml" Type="http://schemas.openxmlformats.org/officeDocument/2006/relationships/worksheet"/><Relationship Id="rId5" Target="calcChain.xml" Type="http://schemas.openxmlformats.org/officeDocument/2006/relationships/calcChain"/><Relationship Id="rId4" Target="sharedStrings.xml" Type="http://schemas.openxmlformats.org/officeDocument/2006/relationships/sharedStrings"/><Relationship Id="R6c82ba97e9453297" Target="/xl/worksheets/sheet2.xml" Type="http://schemas.openxmlformats.org/officeDocument/2006/relationships/worksheet"/><Relationship Id="Ree103842aa43498e" Target="/xl/worksheets/sheet3.xml" Type="http://schemas.openxmlformats.org/officeDocument/2006/relationships/worksheet"/><Relationship Id="Rbd307e0531449caa" Target="/xl/worksheets/sheet4.xml" Type="http://schemas.openxmlformats.org/officeDocument/2006/relationships/worksheet"/><Relationship Id="R948e0bae2943199b" Target="/xl/worksheets/sheet5.xml" Type="http://schemas.openxmlformats.org/officeDocument/2006/relationships/worksheet"/><Relationship Id="R89a2962e8b45dc80" Target="/xl/worksheets/sheet6.xml" Type="http://schemas.openxmlformats.org/officeDocument/2006/relationships/worksheet"/><Relationship Id="R2c73320a8e418ca6" Target="/xl/worksheets/sheet7.xml" Type="http://schemas.openxmlformats.org/officeDocument/2006/relationships/worksheet"/><Relationship Id="R187f8ae95949979b" Target="/xl/worksheets/sheet8.xml" Type="http://schemas.openxmlformats.org/officeDocument/2006/relationships/worksheet"/><Relationship Id="Rfe57fc04bf4ba4a8" Target="/xl/worksheets/sheet9.xml" Type="http://schemas.openxmlformats.org/officeDocument/2006/relationships/worksheet"/><Relationship Id="Re25cc96cb34cd18f" Target="/xl/worksheets/sheet10.xml" Type="http://schemas.openxmlformats.org/officeDocument/2006/relationships/worksheet"/><Relationship Id="Rce0f94f88a491db3" Target="/xl/worksheets/sheet11.xml" Type="http://schemas.openxmlformats.org/officeDocument/2006/relationships/worksheet"/><Relationship Id="R819ab97f6c4cf998" Target="/xl/worksheets/sheet12.xml" Type="http://schemas.openxmlformats.org/officeDocument/2006/relationships/worksheet"/><Relationship Id="R7eadc4de4b411384" Target="/xl/worksheets/sheet13.xml" Type="http://schemas.openxmlformats.org/officeDocument/2006/relationships/worksheet"/><Relationship Id="R5b32c8151e4d29a1" Target="/xl/worksheets/sheet14.xml" Type="http://schemas.openxmlformats.org/officeDocument/2006/relationships/worksheet"/><Relationship Id="R4d794116304f8abf" Target="/xl/worksheets/sheet15.xml" Type="http://schemas.openxmlformats.org/officeDocument/2006/relationships/worksheet"/><Relationship Id="R6a8b11c6c54216ac" Target="/xl/worksheets/sheet16.xml" Type="http://schemas.openxmlformats.org/officeDocument/2006/relationships/worksheet"/><Relationship Id="R81dff9d7914fadbc" Target="/xl/worksheets/sheet17.xml" Type="http://schemas.openxmlformats.org/officeDocument/2006/relationships/worksheet"/><Relationship Id="R933de507b745fdba" Target="/xl/worksheets/sheet18.xml" Type="http://schemas.openxmlformats.org/officeDocument/2006/relationships/worksheet"/><Relationship Id="R09303412f14e8d9a" Target="/xl/worksheets/sheet19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 lang="hr-HR">
                <a:solidFill>
                  <a:srgbClr val="000000"/>
                </a:solidFill>
                <a:latin typeface="Calibri"/>
              </a:rPr>
              <a:t>Duration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Sheet1!$B$38</c:f>
              <c:strCache>
                <c:ptCount val="1"/>
                <c:pt idx="0">
                  <c:v>Serialization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Sheet1!$C$38:$K$38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Sheet1!$B$39</c:f>
              <c:strCache>
                <c:ptCount val="1"/>
                <c:pt idx="0">
                  <c:v>Deserialization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Sheet1!$C$39:$K$39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747264"/>
        <c:axId val="220748800"/>
      </c:barChart>
      <c:catAx>
        <c:axId val="22074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48800"/>
        <c:crosses val="autoZero"/>
        <c:auto val="1"/>
        <c:lblAlgn val="ctr"/>
        <c:lblOffset val="100"/>
        <c:noMultiLvlLbl val="1"/>
      </c:catAx>
      <c:valAx>
        <c:axId val="2207488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hr-HR" sz="1000">
                    <a:solidFill>
                      <a:srgbClr val="000000"/>
                    </a:solidFill>
                    <a:latin typeface="Calibri"/>
                  </a:rPr>
                  <a:t>ms</a:t>
                </a:r>
              </a:p>
            </c:rich>
          </c:tx>
          <c:layout/>
          <c:overlay val="1"/>
        </c:title>
        <c:numFmt formatCode="#,##0.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4726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footer="0.3" header="0.3" l="0.7" r="0.7" t="0.7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 lang="hr-HR">
                <a:solidFill>
                  <a:srgbClr val="000000"/>
                </a:solidFill>
                <a:latin typeface="Calibri"/>
              </a:rPr>
              <a:t>Duration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Sheet5!$B$38</c:f>
              <c:strCache>
                <c:ptCount val="1"/>
                <c:pt idx="0">
                  <c:v>Serialization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Sheet5!$C$37:$K$37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Sheet5!$C$38:$K$38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Sheet5!$B$39</c:f>
              <c:strCache>
                <c:ptCount val="1"/>
                <c:pt idx="0">
                  <c:v>Deserialization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Sheet5!$C$37:$K$37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Sheet5!$C$39:$K$39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747264"/>
        <c:axId val="220748800"/>
      </c:barChart>
      <c:catAx>
        <c:axId val="22074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48800"/>
        <c:crosses val="autoZero"/>
        <c:auto val="1"/>
        <c:lblAlgn val="ctr"/>
        <c:lblOffset val="100"/>
        <c:noMultiLvlLbl val="1"/>
      </c:catAx>
      <c:valAx>
        <c:axId val="2207488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hr-HR" sz="1000">
                    <a:solidFill>
                      <a:srgbClr val="000000"/>
                    </a:solidFill>
                    <a:latin typeface="Calibri"/>
                  </a:rPr>
                  <a:t>ms</a:t>
                </a:r>
              </a:p>
            </c:rich>
          </c:tx>
          <c:layout/>
          <c:overlay val="1"/>
        </c:title>
        <c:numFmt formatCode="#,##0.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4726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footer="0.3" header="0.3" l="0.7" r="0.7" t="0.7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 lang="hr-HR">
                <a:solidFill>
                  <a:srgbClr val="000000"/>
                </a:solidFill>
                <a:latin typeface="Calibri"/>
              </a:rPr>
              <a:t>Size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Sheet6!$B$41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1"/>
          <c:dLbls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Sheet6!$C$37:$I$37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Sheet6!$C$41:$I$41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782976"/>
        <c:axId val="220784512"/>
      </c:barChart>
      <c:catAx>
        <c:axId val="22078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84512"/>
        <c:crosses val="autoZero"/>
        <c:auto val="1"/>
        <c:lblAlgn val="ctr"/>
        <c:lblOffset val="100"/>
        <c:noMultiLvlLbl val="1"/>
      </c:catAx>
      <c:valAx>
        <c:axId val="2207845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hr-HR" sz="1000">
                    <a:solidFill>
                      <a:srgbClr val="000000"/>
                    </a:solidFill>
                    <a:latin typeface="Calibri"/>
                  </a:rPr>
                  <a:t>total bytes</a:t>
                </a:r>
              </a:p>
            </c:rich>
          </c:tx>
          <c:layout/>
          <c:overlay val="1"/>
        </c:title>
        <c:numFmt formatCode="#,##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8297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footer="0.3" header="0.3" l="0.7" r="0.7" t="0.7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 lang="hr-HR">
                <a:solidFill>
                  <a:srgbClr val="000000"/>
                </a:solidFill>
                <a:latin typeface="Calibri"/>
              </a:rPr>
              <a:t>Duration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Sheet6!$B$38</c:f>
              <c:strCache>
                <c:ptCount val="1"/>
                <c:pt idx="0">
                  <c:v>Serialization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Sheet6!$C$37:$K$37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Sheet6!$C$38:$K$38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Sheet6!$B$39</c:f>
              <c:strCache>
                <c:ptCount val="1"/>
                <c:pt idx="0">
                  <c:v>Deserialization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Sheet6!$C$37:$K$37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Sheet6!$C$39:$K$39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747264"/>
        <c:axId val="220748800"/>
      </c:barChart>
      <c:catAx>
        <c:axId val="22074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48800"/>
        <c:crosses val="autoZero"/>
        <c:auto val="1"/>
        <c:lblAlgn val="ctr"/>
        <c:lblOffset val="100"/>
        <c:noMultiLvlLbl val="1"/>
      </c:catAx>
      <c:valAx>
        <c:axId val="2207488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hr-HR" sz="1000">
                    <a:solidFill>
                      <a:srgbClr val="000000"/>
                    </a:solidFill>
                    <a:latin typeface="Calibri"/>
                  </a:rPr>
                  <a:t>ms</a:t>
                </a:r>
              </a:p>
            </c:rich>
          </c:tx>
          <c:layout/>
          <c:overlay val="1"/>
        </c:title>
        <c:numFmt formatCode="#,##0.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4726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footer="0.3" header="0.3" l="0.7" r="0.7" t="0.7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 lang="hr-HR">
                <a:solidFill>
                  <a:srgbClr val="000000"/>
                </a:solidFill>
                <a:latin typeface="Calibri"/>
              </a:rPr>
              <a:t>Size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Sheet7!$B$41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1"/>
          <c:dLbls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Sheet7!$C$37:$I$37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Sheet7!$C$41:$I$41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782976"/>
        <c:axId val="220784512"/>
      </c:barChart>
      <c:catAx>
        <c:axId val="22078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84512"/>
        <c:crosses val="autoZero"/>
        <c:auto val="1"/>
        <c:lblAlgn val="ctr"/>
        <c:lblOffset val="100"/>
        <c:noMultiLvlLbl val="1"/>
      </c:catAx>
      <c:valAx>
        <c:axId val="2207845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hr-HR" sz="1000">
                    <a:solidFill>
                      <a:srgbClr val="000000"/>
                    </a:solidFill>
                    <a:latin typeface="Calibri"/>
                  </a:rPr>
                  <a:t>total bytes</a:t>
                </a:r>
              </a:p>
            </c:rich>
          </c:tx>
          <c:layout/>
          <c:overlay val="1"/>
        </c:title>
        <c:numFmt formatCode="#,##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8297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footer="0.3" header="0.3" l="0.7" r="0.7" t="0.7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 lang="hr-HR">
                <a:solidFill>
                  <a:srgbClr val="000000"/>
                </a:solidFill>
                <a:latin typeface="Calibri"/>
              </a:rPr>
              <a:t>Duration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Sheet7!$B$38</c:f>
              <c:strCache>
                <c:ptCount val="1"/>
                <c:pt idx="0">
                  <c:v>Serialization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Sheet7!$C$37:$K$37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Sheet7!$C$38:$K$38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Sheet7!$B$39</c:f>
              <c:strCache>
                <c:ptCount val="1"/>
                <c:pt idx="0">
                  <c:v>Deserialization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Sheet7!$C$37:$K$37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Sheet7!$C$39:$K$39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747264"/>
        <c:axId val="220748800"/>
      </c:barChart>
      <c:catAx>
        <c:axId val="22074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48800"/>
        <c:crosses val="autoZero"/>
        <c:auto val="1"/>
        <c:lblAlgn val="ctr"/>
        <c:lblOffset val="100"/>
        <c:noMultiLvlLbl val="1"/>
      </c:catAx>
      <c:valAx>
        <c:axId val="2207488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hr-HR" sz="1000">
                    <a:solidFill>
                      <a:srgbClr val="000000"/>
                    </a:solidFill>
                    <a:latin typeface="Calibri"/>
                  </a:rPr>
                  <a:t>ms</a:t>
                </a:r>
              </a:p>
            </c:rich>
          </c:tx>
          <c:layout/>
          <c:overlay val="1"/>
        </c:title>
        <c:numFmt formatCode="#,##0.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4726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footer="0.3" header="0.3" l="0.7" r="0.7" t="0.7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 lang="hr-HR">
                <a:solidFill>
                  <a:srgbClr val="000000"/>
                </a:solidFill>
                <a:latin typeface="Calibri"/>
              </a:rPr>
              <a:t>Size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Sheet8!$B$41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1"/>
          <c:dLbls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Sheet8!$C$37:$I$37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Sheet8!$C$41:$I$41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782976"/>
        <c:axId val="220784512"/>
      </c:barChart>
      <c:catAx>
        <c:axId val="22078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84512"/>
        <c:crosses val="autoZero"/>
        <c:auto val="1"/>
        <c:lblAlgn val="ctr"/>
        <c:lblOffset val="100"/>
        <c:noMultiLvlLbl val="1"/>
      </c:catAx>
      <c:valAx>
        <c:axId val="2207845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hr-HR" sz="1000">
                    <a:solidFill>
                      <a:srgbClr val="000000"/>
                    </a:solidFill>
                    <a:latin typeface="Calibri"/>
                  </a:rPr>
                  <a:t>total bytes</a:t>
                </a:r>
              </a:p>
            </c:rich>
          </c:tx>
          <c:layout/>
          <c:overlay val="1"/>
        </c:title>
        <c:numFmt formatCode="#,##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8297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footer="0.3" header="0.3" l="0.7" r="0.7" t="0.7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 lang="hr-HR">
                <a:solidFill>
                  <a:srgbClr val="000000"/>
                </a:solidFill>
                <a:latin typeface="Calibri"/>
              </a:rPr>
              <a:t>Duration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Sheet8!$B$38</c:f>
              <c:strCache>
                <c:ptCount val="1"/>
                <c:pt idx="0">
                  <c:v>Serialization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Sheet8!$C$37:$K$37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Sheet8!$C$38:$K$38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Sheet8!$B$39</c:f>
              <c:strCache>
                <c:ptCount val="1"/>
                <c:pt idx="0">
                  <c:v>Deserialization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Sheet8!$C$37:$K$37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Sheet8!$C$39:$K$39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747264"/>
        <c:axId val="220748800"/>
      </c:barChart>
      <c:catAx>
        <c:axId val="22074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48800"/>
        <c:crosses val="autoZero"/>
        <c:auto val="1"/>
        <c:lblAlgn val="ctr"/>
        <c:lblOffset val="100"/>
        <c:noMultiLvlLbl val="1"/>
      </c:catAx>
      <c:valAx>
        <c:axId val="2207488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hr-HR" sz="1000">
                    <a:solidFill>
                      <a:srgbClr val="000000"/>
                    </a:solidFill>
                    <a:latin typeface="Calibri"/>
                  </a:rPr>
                  <a:t>ms</a:t>
                </a:r>
              </a:p>
            </c:rich>
          </c:tx>
          <c:layout/>
          <c:overlay val="1"/>
        </c:title>
        <c:numFmt formatCode="#,##0.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4726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footer="0.3" header="0.3" l="0.7" r="0.7" t="0.7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 lang="hr-HR">
                <a:solidFill>
                  <a:srgbClr val="000000"/>
                </a:solidFill>
                <a:latin typeface="Calibri"/>
              </a:rPr>
              <a:t>Size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Sheet9!$B$41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1"/>
          <c:dLbls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Sheet9!$C$37:$I$37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Sheet9!$C$41:$I$41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782976"/>
        <c:axId val="220784512"/>
      </c:barChart>
      <c:catAx>
        <c:axId val="22078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84512"/>
        <c:crosses val="autoZero"/>
        <c:auto val="1"/>
        <c:lblAlgn val="ctr"/>
        <c:lblOffset val="100"/>
        <c:noMultiLvlLbl val="1"/>
      </c:catAx>
      <c:valAx>
        <c:axId val="2207845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hr-HR" sz="1000">
                    <a:solidFill>
                      <a:srgbClr val="000000"/>
                    </a:solidFill>
                    <a:latin typeface="Calibri"/>
                  </a:rPr>
                  <a:t>total bytes</a:t>
                </a:r>
              </a:p>
            </c:rich>
          </c:tx>
          <c:layout/>
          <c:overlay val="1"/>
        </c:title>
        <c:numFmt formatCode="#,##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8297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footer="0.3" header="0.3" l="0.7" r="0.7" t="0.7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 lang="hr-HR">
                <a:solidFill>
                  <a:srgbClr val="000000"/>
                </a:solidFill>
                <a:latin typeface="Calibri"/>
              </a:rPr>
              <a:t>Duration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Sheet9!$B$38</c:f>
              <c:strCache>
                <c:ptCount val="1"/>
                <c:pt idx="0">
                  <c:v>Serialization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Sheet9!$C$37:$K$37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Sheet9!$C$38:$K$38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Sheet9!$B$39</c:f>
              <c:strCache>
                <c:ptCount val="1"/>
                <c:pt idx="0">
                  <c:v>Deserialization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Sheet9!$C$37:$K$37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Sheet9!$C$39:$K$39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747264"/>
        <c:axId val="220748800"/>
      </c:barChart>
      <c:catAx>
        <c:axId val="22074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48800"/>
        <c:crosses val="autoZero"/>
        <c:auto val="1"/>
        <c:lblAlgn val="ctr"/>
        <c:lblOffset val="100"/>
        <c:noMultiLvlLbl val="1"/>
      </c:catAx>
      <c:valAx>
        <c:axId val="2207488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hr-HR" sz="1000">
                    <a:solidFill>
                      <a:srgbClr val="000000"/>
                    </a:solidFill>
                    <a:latin typeface="Calibri"/>
                  </a:rPr>
                  <a:t>ms</a:t>
                </a:r>
              </a:p>
            </c:rich>
          </c:tx>
          <c:layout/>
          <c:overlay val="1"/>
        </c:title>
        <c:numFmt formatCode="#,##0.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4726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footer="0.3" header="0.3" l="0.7" r="0.7" t="0.7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 lang="hr-HR">
                <a:solidFill>
                  <a:srgbClr val="000000"/>
                </a:solidFill>
                <a:latin typeface="Calibri"/>
              </a:rPr>
              <a:t>Size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Sheet10!$B$41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1"/>
          <c:dLbls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Sheet10!$C$37:$I$37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Sheet10!$C$41:$I$41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782976"/>
        <c:axId val="220784512"/>
      </c:barChart>
      <c:catAx>
        <c:axId val="22078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84512"/>
        <c:crosses val="autoZero"/>
        <c:auto val="1"/>
        <c:lblAlgn val="ctr"/>
        <c:lblOffset val="100"/>
        <c:noMultiLvlLbl val="1"/>
      </c:catAx>
      <c:valAx>
        <c:axId val="2207845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hr-HR" sz="1000">
                    <a:solidFill>
                      <a:srgbClr val="000000"/>
                    </a:solidFill>
                    <a:latin typeface="Calibri"/>
                  </a:rPr>
                  <a:t>total bytes</a:t>
                </a:r>
              </a:p>
            </c:rich>
          </c:tx>
          <c:layout/>
          <c:overlay val="1"/>
        </c:title>
        <c:numFmt formatCode="#,##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8297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 lang="hr-HR">
                <a:solidFill>
                  <a:srgbClr val="000000"/>
                </a:solidFill>
                <a:latin typeface="Calibri"/>
              </a:rPr>
              <a:t>Size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Sheet1!$B$41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1"/>
          <c:dLbls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Sheet1!$C$41:$I$41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782976"/>
        <c:axId val="220784512"/>
      </c:barChart>
      <c:catAx>
        <c:axId val="22078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84512"/>
        <c:crosses val="autoZero"/>
        <c:auto val="1"/>
        <c:lblAlgn val="ctr"/>
        <c:lblOffset val="100"/>
        <c:noMultiLvlLbl val="1"/>
      </c:catAx>
      <c:valAx>
        <c:axId val="2207845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hr-HR" sz="1000">
                    <a:solidFill>
                      <a:srgbClr val="000000"/>
                    </a:solidFill>
                    <a:latin typeface="Calibri"/>
                  </a:rPr>
                  <a:t>total bytes</a:t>
                </a:r>
              </a:p>
            </c:rich>
          </c:tx>
          <c:layout/>
          <c:overlay val="1"/>
        </c:title>
        <c:numFmt formatCode="#,##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8297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footer="0.3" header="0.3" l="0.7" r="0.7" t="0.7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 lang="hr-HR">
                <a:solidFill>
                  <a:srgbClr val="000000"/>
                </a:solidFill>
                <a:latin typeface="Calibri"/>
              </a:rPr>
              <a:t>Duration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Sheet10!$B$38</c:f>
              <c:strCache>
                <c:ptCount val="1"/>
                <c:pt idx="0">
                  <c:v>Serialization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Sheet10!$C$37:$K$37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Sheet10!$C$38:$K$38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Sheet10!$B$39</c:f>
              <c:strCache>
                <c:ptCount val="1"/>
                <c:pt idx="0">
                  <c:v>Deserialization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Sheet10!$C$37:$K$37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Sheet10!$C$39:$K$39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747264"/>
        <c:axId val="220748800"/>
      </c:barChart>
      <c:catAx>
        <c:axId val="22074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48800"/>
        <c:crosses val="autoZero"/>
        <c:auto val="1"/>
        <c:lblAlgn val="ctr"/>
        <c:lblOffset val="100"/>
        <c:noMultiLvlLbl val="1"/>
      </c:catAx>
      <c:valAx>
        <c:axId val="2207488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hr-HR" sz="1000">
                    <a:solidFill>
                      <a:srgbClr val="000000"/>
                    </a:solidFill>
                    <a:latin typeface="Calibri"/>
                  </a:rPr>
                  <a:t>ms</a:t>
                </a:r>
              </a:p>
            </c:rich>
          </c:tx>
          <c:layout/>
          <c:overlay val="1"/>
        </c:title>
        <c:numFmt formatCode="#,##0.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4726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footer="0.3" header="0.3" l="0.7" r="0.7" t="0.7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 lang="hr-HR">
                <a:solidFill>
                  <a:srgbClr val="000000"/>
                </a:solidFill>
                <a:latin typeface="Calibri"/>
              </a:rPr>
              <a:t>Size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Sheet11!$B$41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1"/>
          <c:dLbls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Sheet11!$C$37:$I$37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Sheet11!$C$41:$I$41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782976"/>
        <c:axId val="220784512"/>
      </c:barChart>
      <c:catAx>
        <c:axId val="22078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84512"/>
        <c:crosses val="autoZero"/>
        <c:auto val="1"/>
        <c:lblAlgn val="ctr"/>
        <c:lblOffset val="100"/>
        <c:noMultiLvlLbl val="1"/>
      </c:catAx>
      <c:valAx>
        <c:axId val="2207845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hr-HR" sz="1000">
                    <a:solidFill>
                      <a:srgbClr val="000000"/>
                    </a:solidFill>
                    <a:latin typeface="Calibri"/>
                  </a:rPr>
                  <a:t>total bytes</a:t>
                </a:r>
              </a:p>
            </c:rich>
          </c:tx>
          <c:layout/>
          <c:overlay val="1"/>
        </c:title>
        <c:numFmt formatCode="#,##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8297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footer="0.3" header="0.3" l="0.7" r="0.7" t="0.7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 lang="hr-HR">
                <a:solidFill>
                  <a:srgbClr val="000000"/>
                </a:solidFill>
                <a:latin typeface="Calibri"/>
              </a:rPr>
              <a:t>Duration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Sheet11!$B$38</c:f>
              <c:strCache>
                <c:ptCount val="1"/>
                <c:pt idx="0">
                  <c:v>Serialization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Sheet11!$C$37:$K$37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Sheet11!$C$38:$K$38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Sheet11!$B$39</c:f>
              <c:strCache>
                <c:ptCount val="1"/>
                <c:pt idx="0">
                  <c:v>Deserialization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Sheet11!$C$37:$K$37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Sheet11!$C$39:$K$39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747264"/>
        <c:axId val="220748800"/>
      </c:barChart>
      <c:catAx>
        <c:axId val="22074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48800"/>
        <c:crosses val="autoZero"/>
        <c:auto val="1"/>
        <c:lblAlgn val="ctr"/>
        <c:lblOffset val="100"/>
        <c:noMultiLvlLbl val="1"/>
      </c:catAx>
      <c:valAx>
        <c:axId val="2207488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hr-HR" sz="1000">
                    <a:solidFill>
                      <a:srgbClr val="000000"/>
                    </a:solidFill>
                    <a:latin typeface="Calibri"/>
                  </a:rPr>
                  <a:t>ms</a:t>
                </a:r>
              </a:p>
            </c:rich>
          </c:tx>
          <c:layout/>
          <c:overlay val="1"/>
        </c:title>
        <c:numFmt formatCode="#,##0.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4726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footer="0.3" header="0.3" l="0.7" r="0.7" t="0.7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 lang="hr-HR">
                <a:solidFill>
                  <a:srgbClr val="000000"/>
                </a:solidFill>
                <a:latin typeface="Calibri"/>
              </a:rPr>
              <a:t>Size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Sheet12!$B$41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1"/>
          <c:dLbls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Sheet12!$C$37:$I$37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Sheet12!$C$41:$I$41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782976"/>
        <c:axId val="220784512"/>
      </c:barChart>
      <c:catAx>
        <c:axId val="22078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84512"/>
        <c:crosses val="autoZero"/>
        <c:auto val="1"/>
        <c:lblAlgn val="ctr"/>
        <c:lblOffset val="100"/>
        <c:noMultiLvlLbl val="1"/>
      </c:catAx>
      <c:valAx>
        <c:axId val="2207845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hr-HR" sz="1000">
                    <a:solidFill>
                      <a:srgbClr val="000000"/>
                    </a:solidFill>
                    <a:latin typeface="Calibri"/>
                  </a:rPr>
                  <a:t>total bytes</a:t>
                </a:r>
              </a:p>
            </c:rich>
          </c:tx>
          <c:layout/>
          <c:overlay val="1"/>
        </c:title>
        <c:numFmt formatCode="#,##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8297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footer="0.3" header="0.3" l="0.7" r="0.7" t="0.7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 lang="hr-HR">
                <a:solidFill>
                  <a:srgbClr val="000000"/>
                </a:solidFill>
                <a:latin typeface="Calibri"/>
              </a:rPr>
              <a:t>Duration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Sheet12!$B$38</c:f>
              <c:strCache>
                <c:ptCount val="1"/>
                <c:pt idx="0">
                  <c:v>Serialization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Sheet12!$C$37:$K$37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Sheet12!$C$38:$K$38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Sheet12!$B$39</c:f>
              <c:strCache>
                <c:ptCount val="1"/>
                <c:pt idx="0">
                  <c:v>Deserialization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Sheet12!$C$37:$K$37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Sheet12!$C$39:$K$39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747264"/>
        <c:axId val="220748800"/>
      </c:barChart>
      <c:catAx>
        <c:axId val="22074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48800"/>
        <c:crosses val="autoZero"/>
        <c:auto val="1"/>
        <c:lblAlgn val="ctr"/>
        <c:lblOffset val="100"/>
        <c:noMultiLvlLbl val="1"/>
      </c:catAx>
      <c:valAx>
        <c:axId val="2207488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hr-HR" sz="1000">
                    <a:solidFill>
                      <a:srgbClr val="000000"/>
                    </a:solidFill>
                    <a:latin typeface="Calibri"/>
                  </a:rPr>
                  <a:t>ms</a:t>
                </a:r>
              </a:p>
            </c:rich>
          </c:tx>
          <c:layout/>
          <c:overlay val="1"/>
        </c:title>
        <c:numFmt formatCode="#,##0.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4726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footer="0.3" header="0.3" l="0.7" r="0.7" t="0.7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 lang="hr-HR">
                <a:solidFill>
                  <a:srgbClr val="000000"/>
                </a:solidFill>
                <a:latin typeface="Calibri"/>
              </a:rPr>
              <a:t>Size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Sheet13!$B$41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1"/>
          <c:dLbls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Sheet13!$C$37:$I$37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Sheet13!$C$41:$I$41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782976"/>
        <c:axId val="220784512"/>
      </c:barChart>
      <c:catAx>
        <c:axId val="22078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84512"/>
        <c:crosses val="autoZero"/>
        <c:auto val="1"/>
        <c:lblAlgn val="ctr"/>
        <c:lblOffset val="100"/>
        <c:noMultiLvlLbl val="1"/>
      </c:catAx>
      <c:valAx>
        <c:axId val="2207845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hr-HR" sz="1000">
                    <a:solidFill>
                      <a:srgbClr val="000000"/>
                    </a:solidFill>
                    <a:latin typeface="Calibri"/>
                  </a:rPr>
                  <a:t>total bytes</a:t>
                </a:r>
              </a:p>
            </c:rich>
          </c:tx>
          <c:layout/>
          <c:overlay val="1"/>
        </c:title>
        <c:numFmt formatCode="#,##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8297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footer="0.3" header="0.3" l="0.7" r="0.7" t="0.7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 lang="hr-HR">
                <a:solidFill>
                  <a:srgbClr val="000000"/>
                </a:solidFill>
                <a:latin typeface="Calibri"/>
              </a:rPr>
              <a:t>Duration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Sheet13!$B$38</c:f>
              <c:strCache>
                <c:ptCount val="1"/>
                <c:pt idx="0">
                  <c:v>Serialization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Sheet13!$C$37:$K$37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Sheet13!$C$38:$K$38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Sheet13!$B$39</c:f>
              <c:strCache>
                <c:ptCount val="1"/>
                <c:pt idx="0">
                  <c:v>Deserialization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Sheet13!$C$37:$K$37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Sheet13!$C$39:$K$39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747264"/>
        <c:axId val="220748800"/>
      </c:barChart>
      <c:catAx>
        <c:axId val="22074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48800"/>
        <c:crosses val="autoZero"/>
        <c:auto val="1"/>
        <c:lblAlgn val="ctr"/>
        <c:lblOffset val="100"/>
        <c:noMultiLvlLbl val="1"/>
      </c:catAx>
      <c:valAx>
        <c:axId val="2207488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hr-HR" sz="1000">
                    <a:solidFill>
                      <a:srgbClr val="000000"/>
                    </a:solidFill>
                    <a:latin typeface="Calibri"/>
                  </a:rPr>
                  <a:t>ms</a:t>
                </a:r>
              </a:p>
            </c:rich>
          </c:tx>
          <c:layout/>
          <c:overlay val="1"/>
        </c:title>
        <c:numFmt formatCode="#,##0.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4726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footer="0.3" header="0.3" l="0.7" r="0.7" t="0.7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 lang="hr-HR">
                <a:solidFill>
                  <a:srgbClr val="000000"/>
                </a:solidFill>
                <a:latin typeface="Calibri"/>
              </a:rPr>
              <a:t>Size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Sheet14!$B$41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1"/>
          <c:dLbls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Sheet14!$C$37:$I$37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Sheet14!$C$41:$I$41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782976"/>
        <c:axId val="220784512"/>
      </c:barChart>
      <c:catAx>
        <c:axId val="22078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84512"/>
        <c:crosses val="autoZero"/>
        <c:auto val="1"/>
        <c:lblAlgn val="ctr"/>
        <c:lblOffset val="100"/>
        <c:noMultiLvlLbl val="1"/>
      </c:catAx>
      <c:valAx>
        <c:axId val="2207845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hr-HR" sz="1000">
                    <a:solidFill>
                      <a:srgbClr val="000000"/>
                    </a:solidFill>
                    <a:latin typeface="Calibri"/>
                  </a:rPr>
                  <a:t>total bytes</a:t>
                </a:r>
              </a:p>
            </c:rich>
          </c:tx>
          <c:layout/>
          <c:overlay val="1"/>
        </c:title>
        <c:numFmt formatCode="#,##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8297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footer="0.3" header="0.3" l="0.7" r="0.7" t="0.7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 lang="hr-HR">
                <a:solidFill>
                  <a:srgbClr val="000000"/>
                </a:solidFill>
                <a:latin typeface="Calibri"/>
              </a:rPr>
              <a:t>Duration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Sheet14!$B$38</c:f>
              <c:strCache>
                <c:ptCount val="1"/>
                <c:pt idx="0">
                  <c:v>Serialization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Sheet14!$C$37:$K$37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Sheet14!$C$38:$K$38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Sheet14!$B$39</c:f>
              <c:strCache>
                <c:ptCount val="1"/>
                <c:pt idx="0">
                  <c:v>Deserialization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Sheet14!$C$37:$K$37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Sheet14!$C$39:$K$39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747264"/>
        <c:axId val="220748800"/>
      </c:barChart>
      <c:catAx>
        <c:axId val="22074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48800"/>
        <c:crosses val="autoZero"/>
        <c:auto val="1"/>
        <c:lblAlgn val="ctr"/>
        <c:lblOffset val="100"/>
        <c:noMultiLvlLbl val="1"/>
      </c:catAx>
      <c:valAx>
        <c:axId val="2207488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hr-HR" sz="1000">
                    <a:solidFill>
                      <a:srgbClr val="000000"/>
                    </a:solidFill>
                    <a:latin typeface="Calibri"/>
                  </a:rPr>
                  <a:t>ms</a:t>
                </a:r>
              </a:p>
            </c:rich>
          </c:tx>
          <c:layout/>
          <c:overlay val="1"/>
        </c:title>
        <c:numFmt formatCode="#,##0.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4726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footer="0.3" header="0.3" l="0.7" r="0.7" t="0.7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 lang="hr-HR">
                <a:solidFill>
                  <a:srgbClr val="000000"/>
                </a:solidFill>
                <a:latin typeface="Calibri"/>
              </a:rPr>
              <a:t>Size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Sheet15!$B$41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1"/>
          <c:dLbls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Sheet15!$C$37:$I$37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Sheet15!$C$41:$I$41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782976"/>
        <c:axId val="220784512"/>
      </c:barChart>
      <c:catAx>
        <c:axId val="22078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84512"/>
        <c:crosses val="autoZero"/>
        <c:auto val="1"/>
        <c:lblAlgn val="ctr"/>
        <c:lblOffset val="100"/>
        <c:noMultiLvlLbl val="1"/>
      </c:catAx>
      <c:valAx>
        <c:axId val="2207845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hr-HR" sz="1000">
                    <a:solidFill>
                      <a:srgbClr val="000000"/>
                    </a:solidFill>
                    <a:latin typeface="Calibri"/>
                  </a:rPr>
                  <a:t>total bytes</a:t>
                </a:r>
              </a:p>
            </c:rich>
          </c:tx>
          <c:layout/>
          <c:overlay val="1"/>
        </c:title>
        <c:numFmt formatCode="#,##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8297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footer="0.3" header="0.3" l="0.7" r="0.7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 lang="hr-HR">
                <a:solidFill>
                  <a:srgbClr val="000000"/>
                </a:solidFill>
                <a:latin typeface="Calibri"/>
              </a:rPr>
              <a:t>Size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Sheet2!$B$41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1"/>
          <c:dLbls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Sheet2!$C$37:$I$37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Sheet2!$C$41:$I$41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782976"/>
        <c:axId val="220784512"/>
      </c:barChart>
      <c:catAx>
        <c:axId val="22078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84512"/>
        <c:crosses val="autoZero"/>
        <c:auto val="1"/>
        <c:lblAlgn val="ctr"/>
        <c:lblOffset val="100"/>
        <c:noMultiLvlLbl val="1"/>
      </c:catAx>
      <c:valAx>
        <c:axId val="2207845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hr-HR" sz="1000">
                    <a:solidFill>
                      <a:srgbClr val="000000"/>
                    </a:solidFill>
                    <a:latin typeface="Calibri"/>
                  </a:rPr>
                  <a:t>total bytes</a:t>
                </a:r>
              </a:p>
            </c:rich>
          </c:tx>
          <c:layout/>
          <c:overlay val="1"/>
        </c:title>
        <c:numFmt formatCode="#,##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8297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footer="0.3" header="0.3" l="0.7" r="0.7" t="0.7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 lang="hr-HR">
                <a:solidFill>
                  <a:srgbClr val="000000"/>
                </a:solidFill>
                <a:latin typeface="Calibri"/>
              </a:rPr>
              <a:t>Duration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Sheet15!$B$38</c:f>
              <c:strCache>
                <c:ptCount val="1"/>
                <c:pt idx="0">
                  <c:v>Serialization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Sheet15!$C$37:$K$37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Sheet15!$C$38:$K$38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Sheet15!$B$39</c:f>
              <c:strCache>
                <c:ptCount val="1"/>
                <c:pt idx="0">
                  <c:v>Deserialization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Sheet15!$C$37:$K$37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Sheet15!$C$39:$K$39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747264"/>
        <c:axId val="220748800"/>
      </c:barChart>
      <c:catAx>
        <c:axId val="22074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48800"/>
        <c:crosses val="autoZero"/>
        <c:auto val="1"/>
        <c:lblAlgn val="ctr"/>
        <c:lblOffset val="100"/>
        <c:noMultiLvlLbl val="1"/>
      </c:catAx>
      <c:valAx>
        <c:axId val="2207488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hr-HR" sz="1000">
                    <a:solidFill>
                      <a:srgbClr val="000000"/>
                    </a:solidFill>
                    <a:latin typeface="Calibri"/>
                  </a:rPr>
                  <a:t>ms</a:t>
                </a:r>
              </a:p>
            </c:rich>
          </c:tx>
          <c:layout/>
          <c:overlay val="1"/>
        </c:title>
        <c:numFmt formatCode="#,##0.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4726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footer="0.3" header="0.3" l="0.7" r="0.7" t="0.7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 lang="hr-HR">
                <a:solidFill>
                  <a:srgbClr val="000000"/>
                </a:solidFill>
                <a:latin typeface="Calibri"/>
              </a:rPr>
              <a:t>Size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Sheet16!$B$41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1"/>
          <c:dLbls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Sheet16!$C$37:$I$37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Sheet16!$C$41:$I$41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782976"/>
        <c:axId val="220784512"/>
      </c:barChart>
      <c:catAx>
        <c:axId val="22078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84512"/>
        <c:crosses val="autoZero"/>
        <c:auto val="1"/>
        <c:lblAlgn val="ctr"/>
        <c:lblOffset val="100"/>
        <c:noMultiLvlLbl val="1"/>
      </c:catAx>
      <c:valAx>
        <c:axId val="2207845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hr-HR" sz="1000">
                    <a:solidFill>
                      <a:srgbClr val="000000"/>
                    </a:solidFill>
                    <a:latin typeface="Calibri"/>
                  </a:rPr>
                  <a:t>total bytes</a:t>
                </a:r>
              </a:p>
            </c:rich>
          </c:tx>
          <c:layout/>
          <c:overlay val="1"/>
        </c:title>
        <c:numFmt formatCode="#,##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8297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footer="0.3" header="0.3" l="0.7" r="0.7" t="0.7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 lang="hr-HR">
                <a:solidFill>
                  <a:srgbClr val="000000"/>
                </a:solidFill>
                <a:latin typeface="Calibri"/>
              </a:rPr>
              <a:t>Duration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Sheet16!$B$38</c:f>
              <c:strCache>
                <c:ptCount val="1"/>
                <c:pt idx="0">
                  <c:v>Serialization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Sheet16!$C$37:$K$37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Sheet16!$C$38:$K$38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Sheet16!$B$39</c:f>
              <c:strCache>
                <c:ptCount val="1"/>
                <c:pt idx="0">
                  <c:v>Deserialization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Sheet16!$C$37:$K$37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Sheet16!$C$39:$K$39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747264"/>
        <c:axId val="220748800"/>
      </c:barChart>
      <c:catAx>
        <c:axId val="22074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48800"/>
        <c:crosses val="autoZero"/>
        <c:auto val="1"/>
        <c:lblAlgn val="ctr"/>
        <c:lblOffset val="100"/>
        <c:noMultiLvlLbl val="1"/>
      </c:catAx>
      <c:valAx>
        <c:axId val="2207488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hr-HR" sz="1000">
                    <a:solidFill>
                      <a:srgbClr val="000000"/>
                    </a:solidFill>
                    <a:latin typeface="Calibri"/>
                  </a:rPr>
                  <a:t>ms</a:t>
                </a:r>
              </a:p>
            </c:rich>
          </c:tx>
          <c:layout/>
          <c:overlay val="1"/>
        </c:title>
        <c:numFmt formatCode="#,##0.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4726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footer="0.3" header="0.3" l="0.7" r="0.7" t="0.7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 lang="hr-HR">
                <a:solidFill>
                  <a:srgbClr val="000000"/>
                </a:solidFill>
                <a:latin typeface="Calibri"/>
              </a:rPr>
              <a:t>Size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Sheet17!$B$41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1"/>
          <c:dLbls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Sheet17!$C$37:$I$37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Sheet17!$C$41:$I$41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782976"/>
        <c:axId val="220784512"/>
      </c:barChart>
      <c:catAx>
        <c:axId val="22078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84512"/>
        <c:crosses val="autoZero"/>
        <c:auto val="1"/>
        <c:lblAlgn val="ctr"/>
        <c:lblOffset val="100"/>
        <c:noMultiLvlLbl val="1"/>
      </c:catAx>
      <c:valAx>
        <c:axId val="2207845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hr-HR" sz="1000">
                    <a:solidFill>
                      <a:srgbClr val="000000"/>
                    </a:solidFill>
                    <a:latin typeface="Calibri"/>
                  </a:rPr>
                  <a:t>total bytes</a:t>
                </a:r>
              </a:p>
            </c:rich>
          </c:tx>
          <c:layout/>
          <c:overlay val="1"/>
        </c:title>
        <c:numFmt formatCode="#,##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8297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footer="0.3" header="0.3" l="0.7" r="0.7" t="0.7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 lang="hr-HR">
                <a:solidFill>
                  <a:srgbClr val="000000"/>
                </a:solidFill>
                <a:latin typeface="Calibri"/>
              </a:rPr>
              <a:t>Duration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Sheet17!$B$38</c:f>
              <c:strCache>
                <c:ptCount val="1"/>
                <c:pt idx="0">
                  <c:v>Serialization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Sheet17!$C$37:$K$37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Sheet17!$C$38:$K$38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Sheet17!$B$39</c:f>
              <c:strCache>
                <c:ptCount val="1"/>
                <c:pt idx="0">
                  <c:v>Deserialization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Sheet17!$C$37:$K$37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Sheet17!$C$39:$K$39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747264"/>
        <c:axId val="220748800"/>
      </c:barChart>
      <c:catAx>
        <c:axId val="22074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48800"/>
        <c:crosses val="autoZero"/>
        <c:auto val="1"/>
        <c:lblAlgn val="ctr"/>
        <c:lblOffset val="100"/>
        <c:noMultiLvlLbl val="1"/>
      </c:catAx>
      <c:valAx>
        <c:axId val="2207488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hr-HR" sz="1000">
                    <a:solidFill>
                      <a:srgbClr val="000000"/>
                    </a:solidFill>
                    <a:latin typeface="Calibri"/>
                  </a:rPr>
                  <a:t>ms</a:t>
                </a:r>
              </a:p>
            </c:rich>
          </c:tx>
          <c:layout/>
          <c:overlay val="1"/>
        </c:title>
        <c:numFmt formatCode="#,##0.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4726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footer="0.3" header="0.3" l="0.7" r="0.7" t="0.7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 lang="hr-HR">
                <a:solidFill>
                  <a:srgbClr val="000000"/>
                </a:solidFill>
                <a:latin typeface="Calibri"/>
              </a:rPr>
              <a:t>Size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Sheet18!$B$41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1"/>
          <c:dLbls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Sheet18!$C$37:$I$37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Sheet18!$C$41:$I$41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782976"/>
        <c:axId val="220784512"/>
      </c:barChart>
      <c:catAx>
        <c:axId val="22078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84512"/>
        <c:crosses val="autoZero"/>
        <c:auto val="1"/>
        <c:lblAlgn val="ctr"/>
        <c:lblOffset val="100"/>
        <c:noMultiLvlLbl val="1"/>
      </c:catAx>
      <c:valAx>
        <c:axId val="2207845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hr-HR" sz="1000">
                    <a:solidFill>
                      <a:srgbClr val="000000"/>
                    </a:solidFill>
                    <a:latin typeface="Calibri"/>
                  </a:rPr>
                  <a:t>total bytes</a:t>
                </a:r>
              </a:p>
            </c:rich>
          </c:tx>
          <c:layout/>
          <c:overlay val="1"/>
        </c:title>
        <c:numFmt formatCode="#,##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8297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footer="0.3" header="0.3" l="0.7" r="0.7" t="0.7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 lang="hr-HR">
                <a:solidFill>
                  <a:srgbClr val="000000"/>
                </a:solidFill>
                <a:latin typeface="Calibri"/>
              </a:rPr>
              <a:t>Duration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Sheet18!$B$38</c:f>
              <c:strCache>
                <c:ptCount val="1"/>
                <c:pt idx="0">
                  <c:v>Serialization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Sheet18!$C$37:$K$37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Sheet18!$C$38:$K$38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Sheet18!$B$39</c:f>
              <c:strCache>
                <c:ptCount val="1"/>
                <c:pt idx="0">
                  <c:v>Deserialization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Sheet18!$C$37:$K$37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Sheet18!$C$39:$K$39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747264"/>
        <c:axId val="220748800"/>
      </c:barChart>
      <c:catAx>
        <c:axId val="22074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48800"/>
        <c:crosses val="autoZero"/>
        <c:auto val="1"/>
        <c:lblAlgn val="ctr"/>
        <c:lblOffset val="100"/>
        <c:noMultiLvlLbl val="1"/>
      </c:catAx>
      <c:valAx>
        <c:axId val="2207488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hr-HR" sz="1000">
                    <a:solidFill>
                      <a:srgbClr val="000000"/>
                    </a:solidFill>
                    <a:latin typeface="Calibri"/>
                  </a:rPr>
                  <a:t>ms</a:t>
                </a:r>
              </a:p>
            </c:rich>
          </c:tx>
          <c:layout/>
          <c:overlay val="1"/>
        </c:title>
        <c:numFmt formatCode="#,##0.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4726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footer="0.3" header="0.3" l="0.7" r="0.7" t="0.7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 lang="hr-HR">
                <a:solidFill>
                  <a:srgbClr val="000000"/>
                </a:solidFill>
                <a:latin typeface="Calibri"/>
              </a:rPr>
              <a:t>Size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Sheet19!$B$41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1"/>
          <c:dLbls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Sheet19!$C$37:$I$37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Sheet19!$C$41:$I$41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782976"/>
        <c:axId val="220784512"/>
      </c:barChart>
      <c:catAx>
        <c:axId val="22078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84512"/>
        <c:crosses val="autoZero"/>
        <c:auto val="1"/>
        <c:lblAlgn val="ctr"/>
        <c:lblOffset val="100"/>
        <c:noMultiLvlLbl val="1"/>
      </c:catAx>
      <c:valAx>
        <c:axId val="2207845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hr-HR" sz="1000">
                    <a:solidFill>
                      <a:srgbClr val="000000"/>
                    </a:solidFill>
                    <a:latin typeface="Calibri"/>
                  </a:rPr>
                  <a:t>total bytes</a:t>
                </a:r>
              </a:p>
            </c:rich>
          </c:tx>
          <c:layout/>
          <c:overlay val="1"/>
        </c:title>
        <c:numFmt formatCode="#,##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8297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footer="0.3" header="0.3" l="0.7" r="0.7" t="0.7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 lang="hr-HR">
                <a:solidFill>
                  <a:srgbClr val="000000"/>
                </a:solidFill>
                <a:latin typeface="Calibri"/>
              </a:rPr>
              <a:t>Duration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Sheet19!$B$38</c:f>
              <c:strCache>
                <c:ptCount val="1"/>
                <c:pt idx="0">
                  <c:v>Serialization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Sheet19!$C$37:$K$37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Sheet19!$C$38:$K$38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Sheet19!$B$39</c:f>
              <c:strCache>
                <c:ptCount val="1"/>
                <c:pt idx="0">
                  <c:v>Deserialization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Sheet19!$C$37:$K$37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Sheet19!$C$39:$K$39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747264"/>
        <c:axId val="220748800"/>
      </c:barChart>
      <c:catAx>
        <c:axId val="22074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48800"/>
        <c:crosses val="autoZero"/>
        <c:auto val="1"/>
        <c:lblAlgn val="ctr"/>
        <c:lblOffset val="100"/>
        <c:noMultiLvlLbl val="1"/>
      </c:catAx>
      <c:valAx>
        <c:axId val="2207488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hr-HR" sz="1000">
                    <a:solidFill>
                      <a:srgbClr val="000000"/>
                    </a:solidFill>
                    <a:latin typeface="Calibri"/>
                  </a:rPr>
                  <a:t>ms</a:t>
                </a:r>
              </a:p>
            </c:rich>
          </c:tx>
          <c:layout/>
          <c:overlay val="1"/>
        </c:title>
        <c:numFmt formatCode="#,##0.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4726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footer="0.3" header="0.3" l="0.7" r="0.7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 lang="hr-HR">
                <a:solidFill>
                  <a:srgbClr val="000000"/>
                </a:solidFill>
                <a:latin typeface="Calibri"/>
              </a:rPr>
              <a:t>Duration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Sheet2!$B$38</c:f>
              <c:strCache>
                <c:ptCount val="1"/>
                <c:pt idx="0">
                  <c:v>Serialization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Sheet2!$C$37:$K$37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Sheet2!$C$38:$K$38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Sheet2!$B$39</c:f>
              <c:strCache>
                <c:ptCount val="1"/>
                <c:pt idx="0">
                  <c:v>Deserialization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Sheet2!$C$37:$K$37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Sheet2!$C$39:$K$39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747264"/>
        <c:axId val="220748800"/>
      </c:barChart>
      <c:catAx>
        <c:axId val="22074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48800"/>
        <c:crosses val="autoZero"/>
        <c:auto val="1"/>
        <c:lblAlgn val="ctr"/>
        <c:lblOffset val="100"/>
        <c:noMultiLvlLbl val="1"/>
      </c:catAx>
      <c:valAx>
        <c:axId val="2207488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hr-HR" sz="1000">
                    <a:solidFill>
                      <a:srgbClr val="000000"/>
                    </a:solidFill>
                    <a:latin typeface="Calibri"/>
                  </a:rPr>
                  <a:t>ms</a:t>
                </a:r>
              </a:p>
            </c:rich>
          </c:tx>
          <c:layout/>
          <c:overlay val="1"/>
        </c:title>
        <c:numFmt formatCode="#,##0.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4726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footer="0.3" header="0.3" l="0.7" r="0.7" t="0.7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 lang="hr-HR">
                <a:solidFill>
                  <a:srgbClr val="000000"/>
                </a:solidFill>
                <a:latin typeface="Calibri"/>
              </a:rPr>
              <a:t>Size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Sheet3!$B$41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1"/>
          <c:dLbls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Sheet3!$C$37:$I$37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Sheet3!$C$41:$I$41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782976"/>
        <c:axId val="220784512"/>
      </c:barChart>
      <c:catAx>
        <c:axId val="22078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84512"/>
        <c:crosses val="autoZero"/>
        <c:auto val="1"/>
        <c:lblAlgn val="ctr"/>
        <c:lblOffset val="100"/>
        <c:noMultiLvlLbl val="1"/>
      </c:catAx>
      <c:valAx>
        <c:axId val="2207845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hr-HR" sz="1000">
                    <a:solidFill>
                      <a:srgbClr val="000000"/>
                    </a:solidFill>
                    <a:latin typeface="Calibri"/>
                  </a:rPr>
                  <a:t>total bytes</a:t>
                </a:r>
              </a:p>
            </c:rich>
          </c:tx>
          <c:layout/>
          <c:overlay val="1"/>
        </c:title>
        <c:numFmt formatCode="#,##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8297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footer="0.3" header="0.3" l="0.7" r="0.7" t="0.7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 lang="hr-HR">
                <a:solidFill>
                  <a:srgbClr val="000000"/>
                </a:solidFill>
                <a:latin typeface="Calibri"/>
              </a:rPr>
              <a:t>Duration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Sheet3!$B$38</c:f>
              <c:strCache>
                <c:ptCount val="1"/>
                <c:pt idx="0">
                  <c:v>Serialization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Sheet3!$C$37:$K$37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Sheet3!$C$38:$K$38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Sheet3!$B$39</c:f>
              <c:strCache>
                <c:ptCount val="1"/>
                <c:pt idx="0">
                  <c:v>Deserialization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Sheet3!$C$37:$K$37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Sheet3!$C$39:$K$39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747264"/>
        <c:axId val="220748800"/>
      </c:barChart>
      <c:catAx>
        <c:axId val="22074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48800"/>
        <c:crosses val="autoZero"/>
        <c:auto val="1"/>
        <c:lblAlgn val="ctr"/>
        <c:lblOffset val="100"/>
        <c:noMultiLvlLbl val="1"/>
      </c:catAx>
      <c:valAx>
        <c:axId val="2207488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hr-HR" sz="1000">
                    <a:solidFill>
                      <a:srgbClr val="000000"/>
                    </a:solidFill>
                    <a:latin typeface="Calibri"/>
                  </a:rPr>
                  <a:t>ms</a:t>
                </a:r>
              </a:p>
            </c:rich>
          </c:tx>
          <c:layout/>
          <c:overlay val="1"/>
        </c:title>
        <c:numFmt formatCode="#,##0.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4726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footer="0.3" header="0.3" l="0.7" r="0.7" t="0.7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 lang="hr-HR">
                <a:solidFill>
                  <a:srgbClr val="000000"/>
                </a:solidFill>
                <a:latin typeface="Calibri"/>
              </a:rPr>
              <a:t>Size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Sheet4!$B$41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1"/>
          <c:dLbls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Sheet4!$C$37:$I$37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Sheet4!$C$41:$I$41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782976"/>
        <c:axId val="220784512"/>
      </c:barChart>
      <c:catAx>
        <c:axId val="22078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84512"/>
        <c:crosses val="autoZero"/>
        <c:auto val="1"/>
        <c:lblAlgn val="ctr"/>
        <c:lblOffset val="100"/>
        <c:noMultiLvlLbl val="1"/>
      </c:catAx>
      <c:valAx>
        <c:axId val="2207845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hr-HR" sz="1000">
                    <a:solidFill>
                      <a:srgbClr val="000000"/>
                    </a:solidFill>
                    <a:latin typeface="Calibri"/>
                  </a:rPr>
                  <a:t>total bytes</a:t>
                </a:r>
              </a:p>
            </c:rich>
          </c:tx>
          <c:layout/>
          <c:overlay val="1"/>
        </c:title>
        <c:numFmt formatCode="#,##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8297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footer="0.3" header="0.3" l="0.7" r="0.7" t="0.7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 lang="hr-HR">
                <a:solidFill>
                  <a:srgbClr val="000000"/>
                </a:solidFill>
                <a:latin typeface="Calibri"/>
              </a:rPr>
              <a:t>Duration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Sheet4!$B$38</c:f>
              <c:strCache>
                <c:ptCount val="1"/>
                <c:pt idx="0">
                  <c:v>Serialization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Sheet4!$C$37:$K$37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Sheet4!$C$38:$K$38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Sheet4!$B$39</c:f>
              <c:strCache>
                <c:ptCount val="1"/>
                <c:pt idx="0">
                  <c:v>Deserialization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Sheet4!$C$37:$K$37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Sheet4!$C$39:$K$39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747264"/>
        <c:axId val="220748800"/>
      </c:barChart>
      <c:catAx>
        <c:axId val="22074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48800"/>
        <c:crosses val="autoZero"/>
        <c:auto val="1"/>
        <c:lblAlgn val="ctr"/>
        <c:lblOffset val="100"/>
        <c:noMultiLvlLbl val="1"/>
      </c:catAx>
      <c:valAx>
        <c:axId val="2207488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hr-HR" sz="1000">
                    <a:solidFill>
                      <a:srgbClr val="000000"/>
                    </a:solidFill>
                    <a:latin typeface="Calibri"/>
                  </a:rPr>
                  <a:t>ms</a:t>
                </a:r>
              </a:p>
            </c:rich>
          </c:tx>
          <c:layout/>
          <c:overlay val="1"/>
        </c:title>
        <c:numFmt formatCode="#,##0.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4726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footer="0.3" header="0.3" l="0.7" r="0.7" t="0.7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 lang="hr-HR">
                <a:solidFill>
                  <a:srgbClr val="000000"/>
                </a:solidFill>
                <a:latin typeface="Calibri"/>
              </a:rPr>
              <a:t>Size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Sheet5!$B$41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1"/>
          <c:dLbls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Sheet5!$C$37:$I$37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Sheet5!$C$41:$I$41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782976"/>
        <c:axId val="220784512"/>
      </c:barChart>
      <c:catAx>
        <c:axId val="22078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84512"/>
        <c:crosses val="autoZero"/>
        <c:auto val="1"/>
        <c:lblAlgn val="ctr"/>
        <c:lblOffset val="100"/>
        <c:noMultiLvlLbl val="1"/>
      </c:catAx>
      <c:valAx>
        <c:axId val="2207845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hr-HR" sz="1000">
                    <a:solidFill>
                      <a:srgbClr val="000000"/>
                    </a:solidFill>
                    <a:latin typeface="Calibri"/>
                  </a:rPr>
                  <a:t>total bytes</a:t>
                </a:r>
              </a:p>
            </c:rich>
          </c:tx>
          <c:layout/>
          <c:overlay val="1"/>
        </c:title>
        <c:numFmt formatCode="#,##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78297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footer="0.3" header="0.3" l="0.7" r="0.7" t="0.75"/>
    <c:pageSetup/>
  </c:printSettings>
</c:chartSpace>
</file>

<file path=xl/drawings/_rels/drawing1.xml.rels><?xml version="1.0" encoding="UTF-8"?><Relationships xmlns="http://schemas.openxmlformats.org/package/2006/relationships"><Relationship Id="rId2" Target="../charts/chart2.xml" Type="http://schemas.openxmlformats.org/officeDocument/2006/relationships/chart"/><Relationship Id="rId1" Target="../charts/chart1.xml" Type="http://schemas.openxmlformats.org/officeDocument/2006/relationships/chart"/></Relationships>
</file>

<file path=xl/drawings/_rels/drawing10.xml.rels><?xml version="1.0" encoding="UTF-8"?><Relationships xmlns="http://schemas.openxmlformats.org/package/2006/relationships"><Relationship Id="rId2" Target="/xl/charts/chart19.xml" Type="http://schemas.openxmlformats.org/officeDocument/2006/relationships/chart"/><Relationship Id="rId1" Target="/xl/charts/chart20.xml" Type="http://schemas.openxmlformats.org/officeDocument/2006/relationships/chart"/></Relationships>
</file>

<file path=xl/drawings/_rels/drawing11.xml.rels><?xml version="1.0" encoding="UTF-8"?><Relationships xmlns="http://schemas.openxmlformats.org/package/2006/relationships"><Relationship Id="rId2" Target="/xl/charts/chart21.xml" Type="http://schemas.openxmlformats.org/officeDocument/2006/relationships/chart"/><Relationship Id="rId1" Target="/xl/charts/chart22.xml" Type="http://schemas.openxmlformats.org/officeDocument/2006/relationships/chart"/></Relationships>
</file>

<file path=xl/drawings/_rels/drawing12.xml.rels><?xml version="1.0" encoding="UTF-8"?><Relationships xmlns="http://schemas.openxmlformats.org/package/2006/relationships"><Relationship Id="rId2" Target="/xl/charts/chart23.xml" Type="http://schemas.openxmlformats.org/officeDocument/2006/relationships/chart"/><Relationship Id="rId1" Target="/xl/charts/chart24.xml" Type="http://schemas.openxmlformats.org/officeDocument/2006/relationships/chart"/></Relationships>
</file>

<file path=xl/drawings/_rels/drawing13.xml.rels><?xml version="1.0" encoding="UTF-8"?><Relationships xmlns="http://schemas.openxmlformats.org/package/2006/relationships"><Relationship Id="rId2" Target="/xl/charts/chart25.xml" Type="http://schemas.openxmlformats.org/officeDocument/2006/relationships/chart"/><Relationship Id="rId1" Target="/xl/charts/chart26.xml" Type="http://schemas.openxmlformats.org/officeDocument/2006/relationships/chart"/></Relationships>
</file>

<file path=xl/drawings/_rels/drawing14.xml.rels><?xml version="1.0" encoding="UTF-8"?><Relationships xmlns="http://schemas.openxmlformats.org/package/2006/relationships"><Relationship Id="rId2" Target="/xl/charts/chart27.xml" Type="http://schemas.openxmlformats.org/officeDocument/2006/relationships/chart"/><Relationship Id="rId1" Target="/xl/charts/chart28.xml" Type="http://schemas.openxmlformats.org/officeDocument/2006/relationships/chart"/></Relationships>
</file>

<file path=xl/drawings/_rels/drawing15.xml.rels><?xml version="1.0" encoding="UTF-8"?><Relationships xmlns="http://schemas.openxmlformats.org/package/2006/relationships"><Relationship Id="rId2" Target="/xl/charts/chart29.xml" Type="http://schemas.openxmlformats.org/officeDocument/2006/relationships/chart"/><Relationship Id="rId1" Target="/xl/charts/chart30.xml" Type="http://schemas.openxmlformats.org/officeDocument/2006/relationships/chart"/></Relationships>
</file>

<file path=xl/drawings/_rels/drawing16.xml.rels><?xml version="1.0" encoding="UTF-8"?><Relationships xmlns="http://schemas.openxmlformats.org/package/2006/relationships"><Relationship Id="rId2" Target="/xl/charts/chart31.xml" Type="http://schemas.openxmlformats.org/officeDocument/2006/relationships/chart"/><Relationship Id="rId1" Target="/xl/charts/chart32.xml" Type="http://schemas.openxmlformats.org/officeDocument/2006/relationships/chart"/></Relationships>
</file>

<file path=xl/drawings/_rels/drawing17.xml.rels><?xml version="1.0" encoding="UTF-8"?><Relationships xmlns="http://schemas.openxmlformats.org/package/2006/relationships"><Relationship Id="rId2" Target="/xl/charts/chart33.xml" Type="http://schemas.openxmlformats.org/officeDocument/2006/relationships/chart"/><Relationship Id="rId1" Target="/xl/charts/chart34.xml" Type="http://schemas.openxmlformats.org/officeDocument/2006/relationships/chart"/></Relationships>
</file>

<file path=xl/drawings/_rels/drawing18.xml.rels><?xml version="1.0" encoding="UTF-8"?><Relationships xmlns="http://schemas.openxmlformats.org/package/2006/relationships"><Relationship Id="rId2" Target="/xl/charts/chart35.xml" Type="http://schemas.openxmlformats.org/officeDocument/2006/relationships/chart"/><Relationship Id="rId1" Target="/xl/charts/chart36.xml" Type="http://schemas.openxmlformats.org/officeDocument/2006/relationships/chart"/></Relationships>
</file>

<file path=xl/drawings/_rels/drawing19.xml.rels><?xml version="1.0" encoding="UTF-8"?><Relationships xmlns="http://schemas.openxmlformats.org/package/2006/relationships"><Relationship Id="rId2" Target="/xl/charts/chart37.xml" Type="http://schemas.openxmlformats.org/officeDocument/2006/relationships/chart"/><Relationship Id="rId1" Target="/xl/charts/chart38.xml" Type="http://schemas.openxmlformats.org/officeDocument/2006/relationships/chart"/></Relationships>
</file>

<file path=xl/drawings/_rels/drawing2.xml.rels><?xml version="1.0" encoding="UTF-8"?><Relationships xmlns="http://schemas.openxmlformats.org/package/2006/relationships"><Relationship Id="rId2" Target="/xl/charts/chart3.xml" Type="http://schemas.openxmlformats.org/officeDocument/2006/relationships/chart"/><Relationship Id="rId1" Target="/xl/charts/chart4.xml" Type="http://schemas.openxmlformats.org/officeDocument/2006/relationships/chart"/></Relationships>
</file>

<file path=xl/drawings/_rels/drawing3.xml.rels><?xml version="1.0" encoding="UTF-8"?><Relationships xmlns="http://schemas.openxmlformats.org/package/2006/relationships"><Relationship Id="rId2" Target="/xl/charts/chart5.xml" Type="http://schemas.openxmlformats.org/officeDocument/2006/relationships/chart"/><Relationship Id="rId1" Target="/xl/charts/chart6.xml" Type="http://schemas.openxmlformats.org/officeDocument/2006/relationships/chart"/></Relationships>
</file>

<file path=xl/drawings/_rels/drawing4.xml.rels><?xml version="1.0" encoding="UTF-8"?><Relationships xmlns="http://schemas.openxmlformats.org/package/2006/relationships"><Relationship Id="rId2" Target="/xl/charts/chart7.xml" Type="http://schemas.openxmlformats.org/officeDocument/2006/relationships/chart"/><Relationship Id="rId1" Target="/xl/charts/chart8.xml" Type="http://schemas.openxmlformats.org/officeDocument/2006/relationships/chart"/></Relationships>
</file>

<file path=xl/drawings/_rels/drawing5.xml.rels><?xml version="1.0" encoding="UTF-8"?><Relationships xmlns="http://schemas.openxmlformats.org/package/2006/relationships"><Relationship Id="rId2" Target="/xl/charts/chart9.xml" Type="http://schemas.openxmlformats.org/officeDocument/2006/relationships/chart"/><Relationship Id="rId1" Target="/xl/charts/chart10.xml" Type="http://schemas.openxmlformats.org/officeDocument/2006/relationships/chart"/></Relationships>
</file>

<file path=xl/drawings/_rels/drawing6.xml.rels><?xml version="1.0" encoding="UTF-8"?><Relationships xmlns="http://schemas.openxmlformats.org/package/2006/relationships"><Relationship Id="rId2" Target="/xl/charts/chart11.xml" Type="http://schemas.openxmlformats.org/officeDocument/2006/relationships/chart"/><Relationship Id="rId1" Target="/xl/charts/chart12.xml" Type="http://schemas.openxmlformats.org/officeDocument/2006/relationships/chart"/></Relationships>
</file>

<file path=xl/drawings/_rels/drawing7.xml.rels><?xml version="1.0" encoding="UTF-8"?><Relationships xmlns="http://schemas.openxmlformats.org/package/2006/relationships"><Relationship Id="rId2" Target="/xl/charts/chart13.xml" Type="http://schemas.openxmlformats.org/officeDocument/2006/relationships/chart"/><Relationship Id="rId1" Target="/xl/charts/chart14.xml" Type="http://schemas.openxmlformats.org/officeDocument/2006/relationships/chart"/></Relationships>
</file>

<file path=xl/drawings/_rels/drawing8.xml.rels><?xml version="1.0" encoding="UTF-8"?><Relationships xmlns="http://schemas.openxmlformats.org/package/2006/relationships"><Relationship Id="rId2" Target="/xl/charts/chart15.xml" Type="http://schemas.openxmlformats.org/officeDocument/2006/relationships/chart"/><Relationship Id="rId1" Target="/xl/charts/chart16.xml" Type="http://schemas.openxmlformats.org/officeDocument/2006/relationships/chart"/></Relationships>
</file>

<file path=xl/drawings/_rels/drawing9.xml.rels><?xml version="1.0" encoding="UTF-8"?><Relationships xmlns="http://schemas.openxmlformats.org/package/2006/relationships"><Relationship Id="rId2" Target="/xl/charts/chart17.xml" Type="http://schemas.openxmlformats.org/officeDocument/2006/relationships/chart"/><Relationship Id="rId1" Target="/xl/charts/chart1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7560</xdr:colOff>
      <xdr:row>1</xdr:row>
      <xdr:rowOff>144720</xdr:rowOff>
    </xdr:from>
    <xdr:to>
      <xdr:col>9</xdr:col>
      <xdr:colOff>26640</xdr:colOff>
      <xdr:row>18</xdr:row>
      <xdr:rowOff>15840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27000</xdr:colOff>
      <xdr:row>19</xdr:row>
      <xdr:rowOff>6480</xdr:rowOff>
    </xdr:from>
    <xdr:to>
      <xdr:col>6</xdr:col>
      <xdr:colOff>1321920</xdr:colOff>
      <xdr:row>35</xdr:row>
      <xdr:rowOff>67680</xdr:rowOff>
    </xdr:to>
    <xdr:graphicFrame macro="">
      <xdr:nvGraphicFramePr>
        <xdr:cNvPr id="3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7560</xdr:colOff>
      <xdr:row>1</xdr:row>
      <xdr:rowOff>144720</xdr:rowOff>
    </xdr:from>
    <xdr:to>
      <xdr:col>9</xdr:col>
      <xdr:colOff>26640</xdr:colOff>
      <xdr:row>18</xdr:row>
      <xdr:rowOff>15840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27000</xdr:colOff>
      <xdr:row>19</xdr:row>
      <xdr:rowOff>6480</xdr:rowOff>
    </xdr:from>
    <xdr:to>
      <xdr:col>6</xdr:col>
      <xdr:colOff>1321920</xdr:colOff>
      <xdr:row>35</xdr:row>
      <xdr:rowOff>67680</xdr:rowOff>
    </xdr:to>
    <xdr:graphicFrame macro="">
      <xdr:nvGraphicFramePr>
        <xdr:cNvPr id="3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7560</xdr:colOff>
      <xdr:row>1</xdr:row>
      <xdr:rowOff>144720</xdr:rowOff>
    </xdr:from>
    <xdr:to>
      <xdr:col>9</xdr:col>
      <xdr:colOff>26640</xdr:colOff>
      <xdr:row>18</xdr:row>
      <xdr:rowOff>15840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27000</xdr:colOff>
      <xdr:row>19</xdr:row>
      <xdr:rowOff>6480</xdr:rowOff>
    </xdr:from>
    <xdr:to>
      <xdr:col>6</xdr:col>
      <xdr:colOff>1321920</xdr:colOff>
      <xdr:row>35</xdr:row>
      <xdr:rowOff>67680</xdr:rowOff>
    </xdr:to>
    <xdr:graphicFrame macro="">
      <xdr:nvGraphicFramePr>
        <xdr:cNvPr id="3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7560</xdr:colOff>
      <xdr:row>1</xdr:row>
      <xdr:rowOff>144720</xdr:rowOff>
    </xdr:from>
    <xdr:to>
      <xdr:col>9</xdr:col>
      <xdr:colOff>26640</xdr:colOff>
      <xdr:row>18</xdr:row>
      <xdr:rowOff>15840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27000</xdr:colOff>
      <xdr:row>19</xdr:row>
      <xdr:rowOff>6480</xdr:rowOff>
    </xdr:from>
    <xdr:to>
      <xdr:col>6</xdr:col>
      <xdr:colOff>1321920</xdr:colOff>
      <xdr:row>35</xdr:row>
      <xdr:rowOff>67680</xdr:rowOff>
    </xdr:to>
    <xdr:graphicFrame macro="">
      <xdr:nvGraphicFramePr>
        <xdr:cNvPr id="3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7560</xdr:colOff>
      <xdr:row>1</xdr:row>
      <xdr:rowOff>144720</xdr:rowOff>
    </xdr:from>
    <xdr:to>
      <xdr:col>9</xdr:col>
      <xdr:colOff>26640</xdr:colOff>
      <xdr:row>18</xdr:row>
      <xdr:rowOff>15840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27000</xdr:colOff>
      <xdr:row>19</xdr:row>
      <xdr:rowOff>6480</xdr:rowOff>
    </xdr:from>
    <xdr:to>
      <xdr:col>6</xdr:col>
      <xdr:colOff>1321920</xdr:colOff>
      <xdr:row>35</xdr:row>
      <xdr:rowOff>67680</xdr:rowOff>
    </xdr:to>
    <xdr:graphicFrame macro="">
      <xdr:nvGraphicFramePr>
        <xdr:cNvPr id="3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7560</xdr:colOff>
      <xdr:row>1</xdr:row>
      <xdr:rowOff>144720</xdr:rowOff>
    </xdr:from>
    <xdr:to>
      <xdr:col>9</xdr:col>
      <xdr:colOff>26640</xdr:colOff>
      <xdr:row>18</xdr:row>
      <xdr:rowOff>15840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27000</xdr:colOff>
      <xdr:row>19</xdr:row>
      <xdr:rowOff>6480</xdr:rowOff>
    </xdr:from>
    <xdr:to>
      <xdr:col>6</xdr:col>
      <xdr:colOff>1321920</xdr:colOff>
      <xdr:row>35</xdr:row>
      <xdr:rowOff>67680</xdr:rowOff>
    </xdr:to>
    <xdr:graphicFrame macro="">
      <xdr:nvGraphicFramePr>
        <xdr:cNvPr id="3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7560</xdr:colOff>
      <xdr:row>1</xdr:row>
      <xdr:rowOff>144720</xdr:rowOff>
    </xdr:from>
    <xdr:to>
      <xdr:col>9</xdr:col>
      <xdr:colOff>26640</xdr:colOff>
      <xdr:row>18</xdr:row>
      <xdr:rowOff>15840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27000</xdr:colOff>
      <xdr:row>19</xdr:row>
      <xdr:rowOff>6480</xdr:rowOff>
    </xdr:from>
    <xdr:to>
      <xdr:col>6</xdr:col>
      <xdr:colOff>1321920</xdr:colOff>
      <xdr:row>35</xdr:row>
      <xdr:rowOff>67680</xdr:rowOff>
    </xdr:to>
    <xdr:graphicFrame macro="">
      <xdr:nvGraphicFramePr>
        <xdr:cNvPr id="3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7560</xdr:colOff>
      <xdr:row>1</xdr:row>
      <xdr:rowOff>144720</xdr:rowOff>
    </xdr:from>
    <xdr:to>
      <xdr:col>9</xdr:col>
      <xdr:colOff>26640</xdr:colOff>
      <xdr:row>18</xdr:row>
      <xdr:rowOff>15840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27000</xdr:colOff>
      <xdr:row>19</xdr:row>
      <xdr:rowOff>6480</xdr:rowOff>
    </xdr:from>
    <xdr:to>
      <xdr:col>6</xdr:col>
      <xdr:colOff>1321920</xdr:colOff>
      <xdr:row>35</xdr:row>
      <xdr:rowOff>67680</xdr:rowOff>
    </xdr:to>
    <xdr:graphicFrame macro="">
      <xdr:nvGraphicFramePr>
        <xdr:cNvPr id="3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7560</xdr:colOff>
      <xdr:row>1</xdr:row>
      <xdr:rowOff>144720</xdr:rowOff>
    </xdr:from>
    <xdr:to>
      <xdr:col>9</xdr:col>
      <xdr:colOff>26640</xdr:colOff>
      <xdr:row>18</xdr:row>
      <xdr:rowOff>15840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27000</xdr:colOff>
      <xdr:row>19</xdr:row>
      <xdr:rowOff>6480</xdr:rowOff>
    </xdr:from>
    <xdr:to>
      <xdr:col>6</xdr:col>
      <xdr:colOff>1321920</xdr:colOff>
      <xdr:row>35</xdr:row>
      <xdr:rowOff>67680</xdr:rowOff>
    </xdr:to>
    <xdr:graphicFrame macro="">
      <xdr:nvGraphicFramePr>
        <xdr:cNvPr id="3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7560</xdr:colOff>
      <xdr:row>1</xdr:row>
      <xdr:rowOff>144720</xdr:rowOff>
    </xdr:from>
    <xdr:to>
      <xdr:col>9</xdr:col>
      <xdr:colOff>26640</xdr:colOff>
      <xdr:row>18</xdr:row>
      <xdr:rowOff>15840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27000</xdr:colOff>
      <xdr:row>19</xdr:row>
      <xdr:rowOff>6480</xdr:rowOff>
    </xdr:from>
    <xdr:to>
      <xdr:col>6</xdr:col>
      <xdr:colOff>1321920</xdr:colOff>
      <xdr:row>35</xdr:row>
      <xdr:rowOff>67680</xdr:rowOff>
    </xdr:to>
    <xdr:graphicFrame macro="">
      <xdr:nvGraphicFramePr>
        <xdr:cNvPr id="3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7560</xdr:colOff>
      <xdr:row>1</xdr:row>
      <xdr:rowOff>144720</xdr:rowOff>
    </xdr:from>
    <xdr:to>
      <xdr:col>9</xdr:col>
      <xdr:colOff>26640</xdr:colOff>
      <xdr:row>18</xdr:row>
      <xdr:rowOff>15840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27000</xdr:colOff>
      <xdr:row>19</xdr:row>
      <xdr:rowOff>6480</xdr:rowOff>
    </xdr:from>
    <xdr:to>
      <xdr:col>6</xdr:col>
      <xdr:colOff>1321920</xdr:colOff>
      <xdr:row>35</xdr:row>
      <xdr:rowOff>67680</xdr:rowOff>
    </xdr:to>
    <xdr:graphicFrame macro="">
      <xdr:nvGraphicFramePr>
        <xdr:cNvPr id="3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7560</xdr:colOff>
      <xdr:row>1</xdr:row>
      <xdr:rowOff>144720</xdr:rowOff>
    </xdr:from>
    <xdr:to>
      <xdr:col>9</xdr:col>
      <xdr:colOff>26640</xdr:colOff>
      <xdr:row>18</xdr:row>
      <xdr:rowOff>15840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27000</xdr:colOff>
      <xdr:row>19</xdr:row>
      <xdr:rowOff>6480</xdr:rowOff>
    </xdr:from>
    <xdr:to>
      <xdr:col>6</xdr:col>
      <xdr:colOff>1321920</xdr:colOff>
      <xdr:row>35</xdr:row>
      <xdr:rowOff>67680</xdr:rowOff>
    </xdr:to>
    <xdr:graphicFrame macro="">
      <xdr:nvGraphicFramePr>
        <xdr:cNvPr id="3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7560</xdr:colOff>
      <xdr:row>1</xdr:row>
      <xdr:rowOff>144720</xdr:rowOff>
    </xdr:from>
    <xdr:to>
      <xdr:col>9</xdr:col>
      <xdr:colOff>26640</xdr:colOff>
      <xdr:row>18</xdr:row>
      <xdr:rowOff>15840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27000</xdr:colOff>
      <xdr:row>19</xdr:row>
      <xdr:rowOff>6480</xdr:rowOff>
    </xdr:from>
    <xdr:to>
      <xdr:col>6</xdr:col>
      <xdr:colOff>1321920</xdr:colOff>
      <xdr:row>35</xdr:row>
      <xdr:rowOff>67680</xdr:rowOff>
    </xdr:to>
    <xdr:graphicFrame macro="">
      <xdr:nvGraphicFramePr>
        <xdr:cNvPr id="3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7560</xdr:colOff>
      <xdr:row>1</xdr:row>
      <xdr:rowOff>144720</xdr:rowOff>
    </xdr:from>
    <xdr:to>
      <xdr:col>9</xdr:col>
      <xdr:colOff>26640</xdr:colOff>
      <xdr:row>18</xdr:row>
      <xdr:rowOff>15840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27000</xdr:colOff>
      <xdr:row>19</xdr:row>
      <xdr:rowOff>6480</xdr:rowOff>
    </xdr:from>
    <xdr:to>
      <xdr:col>6</xdr:col>
      <xdr:colOff>1321920</xdr:colOff>
      <xdr:row>35</xdr:row>
      <xdr:rowOff>67680</xdr:rowOff>
    </xdr:to>
    <xdr:graphicFrame macro="">
      <xdr:nvGraphicFramePr>
        <xdr:cNvPr id="3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7560</xdr:colOff>
      <xdr:row>1</xdr:row>
      <xdr:rowOff>144720</xdr:rowOff>
    </xdr:from>
    <xdr:to>
      <xdr:col>9</xdr:col>
      <xdr:colOff>26640</xdr:colOff>
      <xdr:row>18</xdr:row>
      <xdr:rowOff>15840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27000</xdr:colOff>
      <xdr:row>19</xdr:row>
      <xdr:rowOff>6480</xdr:rowOff>
    </xdr:from>
    <xdr:to>
      <xdr:col>6</xdr:col>
      <xdr:colOff>1321920</xdr:colOff>
      <xdr:row>35</xdr:row>
      <xdr:rowOff>67680</xdr:rowOff>
    </xdr:to>
    <xdr:graphicFrame macro="">
      <xdr:nvGraphicFramePr>
        <xdr:cNvPr id="3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7560</xdr:colOff>
      <xdr:row>1</xdr:row>
      <xdr:rowOff>144720</xdr:rowOff>
    </xdr:from>
    <xdr:to>
      <xdr:col>9</xdr:col>
      <xdr:colOff>26640</xdr:colOff>
      <xdr:row>18</xdr:row>
      <xdr:rowOff>15840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27000</xdr:colOff>
      <xdr:row>19</xdr:row>
      <xdr:rowOff>6480</xdr:rowOff>
    </xdr:from>
    <xdr:to>
      <xdr:col>6</xdr:col>
      <xdr:colOff>1321920</xdr:colOff>
      <xdr:row>35</xdr:row>
      <xdr:rowOff>67680</xdr:rowOff>
    </xdr:to>
    <xdr:graphicFrame macro="">
      <xdr:nvGraphicFramePr>
        <xdr:cNvPr id="3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7560</xdr:colOff>
      <xdr:row>1</xdr:row>
      <xdr:rowOff>144720</xdr:rowOff>
    </xdr:from>
    <xdr:to>
      <xdr:col>9</xdr:col>
      <xdr:colOff>26640</xdr:colOff>
      <xdr:row>18</xdr:row>
      <xdr:rowOff>15840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27000</xdr:colOff>
      <xdr:row>19</xdr:row>
      <xdr:rowOff>6480</xdr:rowOff>
    </xdr:from>
    <xdr:to>
      <xdr:col>6</xdr:col>
      <xdr:colOff>1321920</xdr:colOff>
      <xdr:row>35</xdr:row>
      <xdr:rowOff>67680</xdr:rowOff>
    </xdr:to>
    <xdr:graphicFrame macro="">
      <xdr:nvGraphicFramePr>
        <xdr:cNvPr id="3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7560</xdr:colOff>
      <xdr:row>1</xdr:row>
      <xdr:rowOff>144720</xdr:rowOff>
    </xdr:from>
    <xdr:to>
      <xdr:col>9</xdr:col>
      <xdr:colOff>26640</xdr:colOff>
      <xdr:row>18</xdr:row>
      <xdr:rowOff>15840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27000</xdr:colOff>
      <xdr:row>19</xdr:row>
      <xdr:rowOff>6480</xdr:rowOff>
    </xdr:from>
    <xdr:to>
      <xdr:col>6</xdr:col>
      <xdr:colOff>1321920</xdr:colOff>
      <xdr:row>35</xdr:row>
      <xdr:rowOff>67680</xdr:rowOff>
    </xdr:to>
    <xdr:graphicFrame macro="">
      <xdr:nvGraphicFramePr>
        <xdr:cNvPr id="3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7560</xdr:colOff>
      <xdr:row>1</xdr:row>
      <xdr:rowOff>144720</xdr:rowOff>
    </xdr:from>
    <xdr:to>
      <xdr:col>9</xdr:col>
      <xdr:colOff>26640</xdr:colOff>
      <xdr:row>18</xdr:row>
      <xdr:rowOff>15840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27000</xdr:colOff>
      <xdr:row>19</xdr:row>
      <xdr:rowOff>6480</xdr:rowOff>
    </xdr:from>
    <xdr:to>
      <xdr:col>6</xdr:col>
      <xdr:colOff>1321920</xdr:colOff>
      <xdr:row>35</xdr:row>
      <xdr:rowOff>67680</xdr:rowOff>
    </xdr:to>
    <xdr:graphicFrame macro="">
      <xdr:nvGraphicFramePr>
        <xdr:cNvPr id="3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10.xml.rels><?xml version="1.0" encoding="UTF-8"?><Relationships xmlns="http://schemas.openxmlformats.org/package/2006/relationships"><Relationship Id="rId1" Target="/xl/drawings/drawing10.xml" Type="http://schemas.openxmlformats.org/officeDocument/2006/relationships/drawing"/></Relationships>
</file>

<file path=xl/worksheets/_rels/sheet11.xml.rels><?xml version="1.0" encoding="UTF-8"?><Relationships xmlns="http://schemas.openxmlformats.org/package/2006/relationships"><Relationship Id="rId1" Target="/xl/drawings/drawing11.xml" Type="http://schemas.openxmlformats.org/officeDocument/2006/relationships/drawing"/></Relationships>
</file>

<file path=xl/worksheets/_rels/sheet12.xml.rels><?xml version="1.0" encoding="UTF-8"?><Relationships xmlns="http://schemas.openxmlformats.org/package/2006/relationships"><Relationship Id="rId1" Target="/xl/drawings/drawing12.xml" Type="http://schemas.openxmlformats.org/officeDocument/2006/relationships/drawing"/></Relationships>
</file>

<file path=xl/worksheets/_rels/sheet13.xml.rels><?xml version="1.0" encoding="UTF-8"?><Relationships xmlns="http://schemas.openxmlformats.org/package/2006/relationships"><Relationship Id="rId1" Target="/xl/drawings/drawing13.xml" Type="http://schemas.openxmlformats.org/officeDocument/2006/relationships/drawing"/></Relationships>
</file>

<file path=xl/worksheets/_rels/sheet14.xml.rels><?xml version="1.0" encoding="UTF-8"?><Relationships xmlns="http://schemas.openxmlformats.org/package/2006/relationships"><Relationship Id="rId1" Target="/xl/drawings/drawing14.xml" Type="http://schemas.openxmlformats.org/officeDocument/2006/relationships/drawing"/></Relationships>
</file>

<file path=xl/worksheets/_rels/sheet15.xml.rels><?xml version="1.0" encoding="UTF-8"?><Relationships xmlns="http://schemas.openxmlformats.org/package/2006/relationships"><Relationship Id="rId1" Target="/xl/drawings/drawing15.xml" Type="http://schemas.openxmlformats.org/officeDocument/2006/relationships/drawing"/></Relationships>
</file>

<file path=xl/worksheets/_rels/sheet16.xml.rels><?xml version="1.0" encoding="UTF-8"?><Relationships xmlns="http://schemas.openxmlformats.org/package/2006/relationships"><Relationship Id="rId1" Target="/xl/drawings/drawing16.xml" Type="http://schemas.openxmlformats.org/officeDocument/2006/relationships/drawing"/></Relationships>
</file>

<file path=xl/worksheets/_rels/sheet17.xml.rels><?xml version="1.0" encoding="UTF-8"?><Relationships xmlns="http://schemas.openxmlformats.org/package/2006/relationships"><Relationship Id="rId1" Target="/xl/drawings/drawing17.xml" Type="http://schemas.openxmlformats.org/officeDocument/2006/relationships/drawing"/></Relationships>
</file>

<file path=xl/worksheets/_rels/sheet18.xml.rels><?xml version="1.0" encoding="UTF-8"?><Relationships xmlns="http://schemas.openxmlformats.org/package/2006/relationships"><Relationship Id="rId1" Target="/xl/drawings/drawing18.xml" Type="http://schemas.openxmlformats.org/officeDocument/2006/relationships/drawing"/></Relationships>
</file>

<file path=xl/worksheets/_rels/sheet19.xml.rels><?xml version="1.0" encoding="UTF-8"?><Relationships xmlns="http://schemas.openxmlformats.org/package/2006/relationships"><Relationship Id="rId1" Target="/xl/drawings/drawing19.xml" Type="http://schemas.openxmlformats.org/officeDocument/2006/relationships/drawing"/></Relationships>
</file>

<file path=xl/worksheets/_rels/sheet2.xml.rels><?xml version="1.0" encoding="UTF-8"?><Relationships xmlns="http://schemas.openxmlformats.org/package/2006/relationships"><Relationship Id="rId1" Target="/xl/drawings/drawing2.xml" Type="http://schemas.openxmlformats.org/officeDocument/2006/relationships/drawing"/></Relationships>
</file>

<file path=xl/worksheets/_rels/sheet3.xml.rels><?xml version="1.0" encoding="UTF-8"?><Relationships xmlns="http://schemas.openxmlformats.org/package/2006/relationships"><Relationship Id="rId1" Target="/xl/drawings/drawing3.xml" Type="http://schemas.openxmlformats.org/officeDocument/2006/relationships/drawing"/></Relationships>
</file>

<file path=xl/worksheets/_rels/sheet4.xml.rels><?xml version="1.0" encoding="UTF-8"?><Relationships xmlns="http://schemas.openxmlformats.org/package/2006/relationships"><Relationship Id="rId1" Target="/xl/drawings/drawing4.xml" Type="http://schemas.openxmlformats.org/officeDocument/2006/relationships/drawing"/></Relationships>
</file>

<file path=xl/worksheets/_rels/sheet5.xml.rels><?xml version="1.0" encoding="UTF-8"?><Relationships xmlns="http://schemas.openxmlformats.org/package/2006/relationships"><Relationship Id="rId1" Target="/xl/drawings/drawing5.xml" Type="http://schemas.openxmlformats.org/officeDocument/2006/relationships/drawing"/></Relationships>
</file>

<file path=xl/worksheets/_rels/sheet6.xml.rels><?xml version="1.0" encoding="UTF-8"?><Relationships xmlns="http://schemas.openxmlformats.org/package/2006/relationships"><Relationship Id="rId1" Target="/xl/drawings/drawing6.xml" Type="http://schemas.openxmlformats.org/officeDocument/2006/relationships/drawing"/></Relationships>
</file>

<file path=xl/worksheets/_rels/sheet7.xml.rels><?xml version="1.0" encoding="UTF-8"?><Relationships xmlns="http://schemas.openxmlformats.org/package/2006/relationships"><Relationship Id="rId1" Target="/xl/drawings/drawing7.xml" Type="http://schemas.openxmlformats.org/officeDocument/2006/relationships/drawing"/></Relationships>
</file>

<file path=xl/worksheets/_rels/sheet8.xml.rels><?xml version="1.0" encoding="UTF-8"?><Relationships xmlns="http://schemas.openxmlformats.org/package/2006/relationships"><Relationship Id="rId1" Target="/xl/drawings/drawing8.xml" Type="http://schemas.openxmlformats.org/officeDocument/2006/relationships/drawing"/></Relationships>
</file>

<file path=xl/worksheets/_rels/sheet9.xml.rels><?xml version="1.0" encoding="UTF-8"?><Relationships xmlns="http://schemas.openxmlformats.org/package/2006/relationships"><Relationship Id="rId1" Target="/xl/drawings/drawing9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B1:O56"/>
  <sheetViews>
    <sheetView tabSelected="1" workbookViewId="0" zoomScaleNormal="100">
      <selection activeCell="B1" sqref="B1"/>
    </sheetView>
  </sheetViews>
  <sheetFormatPr defaultRowHeight="15" x14ac:dyDescent="0.25"/>
  <cols>
    <col max="1" min="1" width="5"/>
    <col max="2" min="2" width="19.85546875"/>
    <col max="3" min="3" width="18.7109375"/>
    <col max="5" min="4" width="22.85546875"/>
    <col max="6" min="6" width="18.7109375"/>
    <col max="7" min="7" width="19.5703125"/>
    <col max="8" min="8" width="19"/>
    <col max="9" min="9" width="21.140625"/>
    <col max="10" min="10" width="24.42578125"/>
    <col max="11" min="11" width="22.5703125"/>
    <col max="12" min="12" width="30.28515625"/>
    <col max="13" min="13" width="25.85546875"/>
    <col max="14" min="14" width="24.5703125"/>
    <col max="15" min="15" width="22.140625"/>
    <col max="1025" min="16" width="8.7109375"/>
  </cols>
  <sheetData>
    <row r="1" spans="2:2" x14ac:dyDescent="0.25">
      <c r="B1" t="s">
        <v>55</v>
      </c>
    </row>
    <row r="37" spans="2:11" x14ac:dyDescent="0.25">
      <c r="B37" s="1" t="s">
        <v>1</v>
      </c>
      <c r="C37" s="2" t="s">
        <v>2</v>
      </c>
      <c r="D37" s="2" t="s">
        <v>3</v>
      </c>
      <c r="E37" s="2" t="s">
        <v>4</v>
      </c>
      <c r="F37" s="2" t="s">
        <v>5</v>
      </c>
      <c r="G37" s="2" t="s">
        <v>6</v>
      </c>
      <c r="H37" s="2" t="s">
        <v>7</v>
      </c>
      <c r="I37" s="2" t="s">
        <v>8</v>
      </c>
      <c r="J37" s="2" t="s">
        <v>9</v>
      </c>
      <c r="K37" s="3" t="s">
        <v>10</v>
      </c>
    </row>
    <row r="38" spans="2:11" x14ac:dyDescent="0.25">
      <c r="B38" s="4" t="s">
        <v>11</v>
      </c>
      <c r="C38" s="5" t="e">
        <f>AVERAGE(Newtonsoft__duration__serialization) - J38</f>
      </c>
      <c r="D38" s="5" t="e">
        <f>AVERAGE(Revenj.NET_full__duration__serialization) - J38</f>
      </c>
      <c r="E38" s="5" t="e">
        <f>AVERAGE(Revenj.NET_minimal__duration__serialization) - J38</f>
      </c>
      <c r="F38" s="5" t="e">
        <f>AVERAGE(Jackson__duration__serialization) - J39</f>
      </c>
      <c r="G38" s="5" t="e">
        <f>AVERAGE(DSL_client_Java_full__duration__serialization) - J39</f>
      </c>
      <c r="H38" s="5" t="e">
        <f>AVERAGE(DSL_client_Java_minimal__duration__serialization) - J39</f>
      </c>
      <c r="I38" s="5" t="e">
        <f>AVERAGE(Protobuf.NET__duration__serialization) - J38</f>
      </c>
      <c r="J38" s="5" t="e">
        <f>AVERAGE(_.NET__instance_only)</f>
      </c>
      <c r="K38" s="6" t="e">
        <f>AVERAGE(JVM__instance_only)</f>
      </c>
    </row>
    <row r="39" spans="2:11" x14ac:dyDescent="0.25">
      <c r="B39" s="7" t="s">
        <v>12</v>
      </c>
      <c r="C39" s="8" t="e">
        <f ref="C39:I39" si="0" t="shared">C40-C38</f>
      </c>
      <c r="D39" s="8" t="e">
        <f si="0" t="shared"/>
      </c>
      <c r="E39" s="8" t="e">
        <f si="0" t="shared"/>
      </c>
      <c r="F39" s="8" t="e">
        <f si="0" t="shared"/>
      </c>
      <c r="G39" s="8" t="e">
        <f si="0" t="shared"/>
      </c>
      <c r="H39" s="8" t="e">
        <f si="0" t="shared"/>
      </c>
      <c r="I39" s="8" t="e">
        <f si="0" t="shared"/>
      </c>
      <c r="J39" s="8"/>
      <c r="K39" s="9"/>
    </row>
    <row r="40" spans="2:11" x14ac:dyDescent="0.25">
      <c r="B40" s="4" t="s">
        <v>13</v>
      </c>
      <c r="C40" s="5" t="e">
        <f>AVERAGE(Newtonsoft__duration__both) - J38</f>
      </c>
      <c r="D40" s="5" t="e">
        <f>AVERAGE(Revenj.NET_full__duration_both) - J38</f>
      </c>
      <c r="E40" s="5" t="e">
        <f>AVERAGE(Revenj.NET_minimal__duration__both) - J38</f>
      </c>
      <c r="F40" s="5" t="e">
        <f>AVERAGE(Jackson__duration__both) - J39</f>
      </c>
      <c r="G40" s="5" t="e">
        <f>AVERAGE(DSL_client_Java_full__duration__both) - J39</f>
      </c>
      <c r="H40" s="5" t="e">
        <f>AVERAGE(DSL_client_Java_minimal__duration__both) - J39</f>
      </c>
      <c r="I40" s="5" t="e">
        <f>AVERAGE(Protobuf.NET__duration__both) - J38</f>
      </c>
      <c r="J40" s="5"/>
      <c r="K40" s="6"/>
    </row>
    <row r="41" spans="2:11" x14ac:dyDescent="0.25">
      <c r="B41" s="10" t="s">
        <v>14</v>
      </c>
      <c r="C41" s="11" t="e">
        <f>AVERAGE(Newtonsoft__size)</f>
      </c>
      <c r="D41" s="11" t="e">
        <f>AVERAGE(Revenj.NET_full__size)</f>
      </c>
      <c r="E41" s="11" t="e">
        <f>AVERAGE(Revenj.NET_minimal__size)</f>
      </c>
      <c r="F41" s="11" t="e">
        <f>AVERAGE(Jackson__size)</f>
      </c>
      <c r="G41" s="11" t="e">
        <f>AVERAGE(DSL_client_Java_full__size)</f>
      </c>
      <c r="H41" s="11" t="e">
        <f>AVERAGE(DSL_client_Java_minimal__size)</f>
      </c>
      <c r="I41" s="11" t="e">
        <f>AVERAGE(Protobuf.NET__size)</f>
      </c>
      <c r="J41" s="12"/>
      <c r="K41" s="13"/>
    </row>
    <row r="42" spans="2:11" x14ac:dyDescent="0.25">
      <c r="C42" s="14"/>
      <c r="D42" s="14"/>
      <c r="E42" s="14"/>
      <c r="F42" s="14"/>
      <c r="G42" s="14"/>
      <c r="H42" s="14"/>
      <c r="I42" s="14"/>
    </row>
    <row r="45" spans="2:11" x14ac:dyDescent="0.25">
      <c r="B45" s="1" t="s">
        <v>15</v>
      </c>
      <c r="C45" s="2" t="s">
        <v>2</v>
      </c>
      <c r="D45" s="2" t="s">
        <v>3</v>
      </c>
      <c r="E45" s="2" t="s">
        <v>4</v>
      </c>
      <c r="F45" s="2" t="s">
        <v>5</v>
      </c>
      <c r="G45" s="2" t="s">
        <v>6</v>
      </c>
      <c r="H45" s="2" t="s">
        <v>7</v>
      </c>
      <c r="I45" s="3" t="s">
        <v>8</v>
      </c>
    </row>
    <row r="46" spans="2:11" x14ac:dyDescent="0.25">
      <c r="B46" s="4" t="s">
        <v>11</v>
      </c>
      <c r="C46" s="5" t="e">
        <f>DEVSQ(Newtonsoft__duration__serialization)</f>
      </c>
      <c r="D46" s="5" t="e">
        <f>DEVSQ(Revenj.NET_full__duration__serialization)</f>
      </c>
      <c r="E46" s="5" t="e">
        <f>DEVSQ(Revenj.NET_minimal__duration__serialization)</f>
      </c>
      <c r="F46" s="5" t="e">
        <f>DEVSQ(Jackson__duration__serialization)</f>
      </c>
      <c r="G46" s="5" t="e">
        <f>DEVSQ(DSL_client_Java_full__duration__serialization)</f>
      </c>
      <c r="H46" s="5" t="e">
        <f>DEVSQ(DSL_client_Java_minimal__duration__serialization)</f>
      </c>
      <c r="I46" s="6" t="e">
        <f>DEVSQ(Protobuf.NET__duration__serialization)</f>
      </c>
    </row>
    <row r="47" spans="2:11" x14ac:dyDescent="0.25">
      <c r="B47" s="10" t="s">
        <v>13</v>
      </c>
      <c r="C47" s="12" t="e">
        <f>DEVSQ(Newtonsoft__duration__both)</f>
      </c>
      <c r="D47" s="12" t="e">
        <f>DEVSQ(Revenj.NET_full__duration_both)</f>
      </c>
      <c r="E47" s="12" t="e">
        <f>DEVSQ(Revenj.NET_minimal__duration__both)</f>
      </c>
      <c r="F47" s="12" t="e">
        <f>DEVSQ(Jackson__duration__both)</f>
      </c>
      <c r="G47" s="12" t="e">
        <f>DEVSQ(DSL_client_Java_full__duration__both)</f>
      </c>
      <c r="H47" s="12" t="e">
        <f>DEVSQ(DSL_client_Java_minimal__duration__both)</f>
      </c>
      <c r="I47" s="13" t="e">
        <f>DEVSQ(Protobuf.NET__duration__both)</f>
      </c>
    </row>
    <row r="48" spans="2:11" x14ac:dyDescent="0.25">
      <c r="C48" s="14"/>
      <c r="D48" s="14"/>
      <c r="E48" s="14"/>
      <c r="F48" s="14"/>
      <c r="G48" s="14"/>
    </row>
    <row r="50" spans="2:15" x14ac:dyDescent="0.25">
      <c r="B50" s="15" t="s">
        <v>16</v>
      </c>
    </row>
    <row r="51" spans="2:15" x14ac:dyDescent="0.25">
      <c r="B51" s="1" t="s">
        <v>17</v>
      </c>
      <c r="C51" s="2" t="s">
        <v>18</v>
      </c>
      <c r="D51" s="2" t="s">
        <v>19</v>
      </c>
      <c r="E51" s="2" t="s">
        <v>20</v>
      </c>
      <c r="F51" s="2" t="s">
        <v>21</v>
      </c>
      <c r="G51" s="2" t="s">
        <v>22</v>
      </c>
      <c r="H51" s="2" t="s">
        <v>23</v>
      </c>
      <c r="I51" s="2" t="s">
        <v>24</v>
      </c>
      <c r="J51" s="2" t="s">
        <v>25</v>
      </c>
      <c r="K51" s="2" t="s">
        <v>26</v>
      </c>
      <c r="L51" s="2" t="s">
        <v>27</v>
      </c>
      <c r="M51" s="2" t="s">
        <v>28</v>
      </c>
      <c r="N51" s="2" t="s">
        <v>29</v>
      </c>
      <c r="O51" s="3" t="s">
        <v>30</v>
      </c>
    </row>
    <row r="52" spans="2:15" x14ac:dyDescent="0.25">
      <c r="B52" s="16">
        <v>81.0</v>
      </c>
      <c r="C52" s="17">
        <v>28.0</v>
      </c>
      <c r="D52" s="17">
        <v>3.0</v>
      </c>
      <c r="E52" s="17">
        <v>40.0</v>
      </c>
      <c r="F52" s="17">
        <v>3.0</v>
      </c>
      <c r="G52" s="17">
        <v>28.0</v>
      </c>
      <c r="H52" s="17">
        <v>46.0</v>
      </c>
      <c r="I52" s="17">
        <v>40.0</v>
      </c>
      <c r="J52" s="17">
        <v>0.0</v>
      </c>
      <c r="K52" s="17">
        <v>40.0</v>
      </c>
      <c r="L52" s="17">
        <v>0.0</v>
      </c>
      <c r="M52" s="17">
        <v>28.0</v>
      </c>
      <c r="N52" s="17">
        <v>39.0</v>
      </c>
      <c r="O52" s="18">
        <v>16.0</v>
      </c>
    </row>
    <row r="53" spans="2:15" x14ac:dyDescent="0.25">
      <c r="B53" s="16">
        <v>82.0</v>
      </c>
      <c r="C53" s="17">
        <v>28.0</v>
      </c>
      <c r="D53" s="17">
        <v>3.0</v>
      </c>
      <c r="E53" s="17">
        <v>40.0</v>
      </c>
      <c r="F53" s="17">
        <v>3.0</v>
      </c>
      <c r="G53" s="17">
        <v>28.0</v>
      </c>
      <c r="H53" s="17">
        <v>47.0</v>
      </c>
      <c r="I53" s="17">
        <v>40.0</v>
      </c>
      <c r="J53" s="17">
        <v>16.0</v>
      </c>
      <c r="K53" s="17">
        <v>40.0</v>
      </c>
      <c r="L53" s="17">
        <v>0.0</v>
      </c>
      <c r="M53" s="17">
        <v>28.0</v>
      </c>
      <c r="N53" s="17">
        <v>39.0</v>
      </c>
      <c r="O53" s="18">
        <v>16.0</v>
      </c>
    </row>
    <row r="54" spans="2:15" x14ac:dyDescent="0.25">
      <c r="B54" s="16">
        <v>82.0</v>
      </c>
      <c r="C54" s="17">
        <v>28.0</v>
      </c>
      <c r="D54" s="17">
        <v>3.0</v>
      </c>
      <c r="E54" s="17">
        <v>40.0</v>
      </c>
      <c r="F54" s="17">
        <v>3.0</v>
      </c>
      <c r="G54" s="17">
        <v>28.0</v>
      </c>
      <c r="H54" s="17">
        <v>47.0</v>
      </c>
      <c r="I54" s="17">
        <v>40.0</v>
      </c>
      <c r="J54" s="17">
        <v>0.0</v>
      </c>
      <c r="K54" s="17">
        <v>40.0</v>
      </c>
      <c r="L54" s="17">
        <v>0.0</v>
      </c>
      <c r="M54" s="17">
        <v>28.0</v>
      </c>
      <c r="N54" s="17">
        <v>39.0</v>
      </c>
      <c r="O54" s="18">
        <v>16.0</v>
      </c>
    </row>
    <row r="55" spans="2:15" x14ac:dyDescent="0.25"/>
    <row r="56" spans="2:15" x14ac:dyDescent="0.25">
      <c r="B56" s="15" t="s">
        <v>45</v>
      </c>
      <c r="C56"/>
      <c r="D56"/>
      <c r="E56"/>
      <c r="F56"/>
      <c r="G56"/>
      <c r="H56"/>
      <c r="I56"/>
      <c r="J56"/>
      <c r="K56"/>
      <c r="L56"/>
      <c r="M56"/>
      <c r="N56"/>
      <c r="O56"/>
    </row>
    <row r="57" spans="2:15" x14ac:dyDescent="0.25">
      <c r="B57" s="1" t="s">
        <v>17</v>
      </c>
      <c r="C57" s="2" t="s">
        <v>19</v>
      </c>
      <c r="D57" s="2" t="s">
        <v>21</v>
      </c>
      <c r="E57" s="2" t="s">
        <v>23</v>
      </c>
      <c r="F57" s="2" t="s">
        <v>25</v>
      </c>
      <c r="G57" s="2" t="s">
        <v>27</v>
      </c>
      <c r="H57" s="2" t="s">
        <v>29</v>
      </c>
      <c r="I57" s="2" t="s">
        <v>9</v>
      </c>
      <c r="J57" s="3" t="s">
        <v>10</v>
      </c>
      <c r="K57"/>
      <c r="L57"/>
      <c r="M57"/>
      <c r="N57"/>
      <c r="O57"/>
    </row>
    <row r="58" spans="2:15" x14ac:dyDescent="0.25">
      <c r="B58" s="16">
        <v>117.0</v>
      </c>
      <c r="C58" s="17">
        <v>14.0</v>
      </c>
      <c r="D58" s="17">
        <v>14.0</v>
      </c>
      <c r="E58" s="17">
        <v>78.0</v>
      </c>
      <c r="F58" s="17">
        <v>0.0</v>
      </c>
      <c r="G58" s="17">
        <v>0.0</v>
      </c>
      <c r="H58" s="17">
        <v>43.0</v>
      </c>
      <c r="I58" s="17">
        <v>0.0</v>
      </c>
      <c r="J58" s="18">
        <v>0.0</v>
      </c>
    </row>
    <row r="59" spans="2:15" x14ac:dyDescent="0.25">
      <c r="B59" s="16">
        <v>112.0</v>
      </c>
      <c r="C59" s="17">
        <v>14.0</v>
      </c>
      <c r="D59" s="17">
        <v>13.0</v>
      </c>
      <c r="E59" s="17">
        <v>62.0</v>
      </c>
      <c r="F59" s="17">
        <v>16.0</v>
      </c>
      <c r="G59" s="17">
        <v>0.0</v>
      </c>
      <c r="H59" s="17">
        <v>43.0</v>
      </c>
      <c r="I59" s="17">
        <v>0.0</v>
      </c>
      <c r="J59" s="18">
        <v>0.0</v>
      </c>
    </row>
    <row r="60" spans="2:15" x14ac:dyDescent="0.25">
      <c r="B60" s="16">
        <v>112.0</v>
      </c>
      <c r="C60" s="17">
        <v>13.0</v>
      </c>
      <c r="D60" s="17">
        <v>13.0</v>
      </c>
      <c r="E60" s="17">
        <v>63.0</v>
      </c>
      <c r="F60" s="17">
        <v>0.0</v>
      </c>
      <c r="G60" s="17">
        <v>0.0</v>
      </c>
      <c r="H60" s="17">
        <v>43.0</v>
      </c>
      <c r="I60" s="17">
        <v>0.0</v>
      </c>
      <c r="J60" s="18">
        <v>0.0</v>
      </c>
    </row>
  </sheetData>
  <pageMargins bottom="0.75" footer="0.51180555555555496" header="0.51180555555555496" left="0.7" right="0.7" top="0.75"/>
  <pageSetup copies="0" firstPageNumber="0" horizontalDpi="0" orientation="portrait" paperSize="0" scale="0" usePrinterDefaults="0" verticalDpi="0"/>
  <drawing r:id="rId1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B1:O56"/>
  <sheetViews>
    <sheetView workbookViewId="0" zoomScaleNormal="100">
      <selection activeCell="B1" sqref="B1"/>
    </sheetView>
  </sheetViews>
  <sheetFormatPr defaultRowHeight="15" x14ac:dyDescent="0.25"/>
  <cols>
    <col max="1" min="1" width="5"/>
    <col max="2" min="2" width="19.85546875"/>
    <col max="3" min="3" width="18.7109375"/>
    <col max="5" min="4" width="22.85546875"/>
    <col max="6" min="6" width="18.7109375"/>
    <col max="7" min="7" width="19.5703125"/>
    <col max="8" min="8" width="19"/>
    <col max="9" min="9" width="21.140625"/>
    <col max="10" min="10" width="24.42578125"/>
    <col max="11" min="11" width="22.5703125"/>
    <col max="12" min="12" width="30.28515625"/>
    <col max="13" min="13" width="25.85546875"/>
    <col max="14" min="14" width="24.5703125"/>
    <col max="15" min="15" width="22.140625"/>
    <col max="1025" min="16" width="8.7109375"/>
  </cols>
  <sheetData>
    <row r="1" spans="2:2" x14ac:dyDescent="0.25">
      <c r="B1" t="s">
        <v>64</v>
      </c>
    </row>
    <row r="37" spans="2:11" x14ac:dyDescent="0.25">
      <c r="B37" s="1" t="s">
        <v>1</v>
      </c>
      <c r="C37" s="2" t="s">
        <v>2</v>
      </c>
      <c r="D37" s="2" t="s">
        <v>3</v>
      </c>
      <c r="E37" s="2" t="s">
        <v>4</v>
      </c>
      <c r="F37" s="2" t="s">
        <v>5</v>
      </c>
      <c r="G37" s="2" t="s">
        <v>6</v>
      </c>
      <c r="H37" s="2" t="s">
        <v>7</v>
      </c>
      <c r="I37" s="2" t="s">
        <v>8</v>
      </c>
      <c r="J37" s="2" t="s">
        <v>9</v>
      </c>
      <c r="K37" s="3" t="s">
        <v>10</v>
      </c>
    </row>
    <row r="38" spans="2:11" x14ac:dyDescent="0.25">
      <c r="B38" s="4" t="s">
        <v>11</v>
      </c>
      <c r="C38" s="5" t="e">
        <f>AVERAGE(Range_ab7ccb5ce45043f5b56dda9cfc10c031) - J38</f>
      </c>
      <c r="D38" s="5" t="e">
        <f>AVERAGE(Range_d98c069866a24869875577749b70b80e) - J38</f>
      </c>
      <c r="E38" s="5" t="e">
        <f>AVERAGE(Range_25c59bfe00de455d81b1b2118311c2e9) - J38</f>
      </c>
      <c r="F38" s="5" t="e">
        <f>AVERAGE(Range_bfaa69fb692544a8ab8b5d5cb36b9525) - J39</f>
      </c>
      <c r="G38" s="5" t="e">
        <f>AVERAGE(Range_2151c4abe29c4d68b6ce2547b623392e) - J39</f>
      </c>
      <c r="H38" s="5" t="e">
        <f>AVERAGE(Range_0bd056bcda644fd2ada0b2dc35f2ce99) - J39</f>
      </c>
      <c r="I38" s="5" t="e">
        <f>AVERAGE(Range_69e79ab4d58e4d0db2d4e5cab1edcbfe) - J38</f>
      </c>
      <c r="J38" s="5" t="e">
        <f>AVERAGE(Range_b8a52d8959a940268208e53f0ab58ee0)</f>
      </c>
      <c r="K38" s="6" t="e">
        <f>AVERAGE(Range_df16145d9db5431ea69ddc7d9dab673b)</f>
      </c>
    </row>
    <row r="39" spans="2:11" x14ac:dyDescent="0.25">
      <c r="B39" s="7" t="s">
        <v>12</v>
      </c>
      <c r="C39" s="8" t="e">
        <f ref="C39:I39" si="0" t="shared">C40-C38</f>
      </c>
      <c r="D39" s="8" t="e">
        <f si="0" t="shared"/>
      </c>
      <c r="E39" s="8" t="e">
        <f si="0" t="shared"/>
      </c>
      <c r="F39" s="8" t="e">
        <f si="0" t="shared"/>
      </c>
      <c r="G39" s="8" t="e">
        <f si="0" t="shared"/>
      </c>
      <c r="H39" s="8" t="e">
        <f si="0" t="shared"/>
      </c>
      <c r="I39" s="8" t="e">
        <f si="0" t="shared"/>
      </c>
      <c r="J39" s="8"/>
      <c r="K39" s="9"/>
    </row>
    <row r="40" spans="2:11" x14ac:dyDescent="0.25">
      <c r="B40" s="4" t="s">
        <v>13</v>
      </c>
      <c r="C40" s="5" t="e">
        <f>AVERAGE(Range_42156ff2253949f28d5b0249a3ce0365) - J38</f>
      </c>
      <c r="D40" s="5" t="e">
        <f>AVERAGE(Range_c5cb91e70a2f44b29395e872b02e974d) - J38</f>
      </c>
      <c r="E40" s="5" t="e">
        <f>AVERAGE(Range_54514dd5ba8c4c3583f3a145b4611058) - J38</f>
      </c>
      <c r="F40" s="5" t="e">
        <f>AVERAGE(Range_67cff58c04b545a5a1b1a17574aaf557) - J39</f>
      </c>
      <c r="G40" s="5" t="e">
        <f>AVERAGE(Range_4bec62361bfc49d4ab9feac910e2329d) - J39</f>
      </c>
      <c r="H40" s="5" t="e">
        <f>AVERAGE(Range_93b737cf3769494fb7aa06a788eaea1a) - J39</f>
      </c>
      <c r="I40" s="5" t="e">
        <f>AVERAGE(Range_76a5421840e843a79e35de76c154a5ed) - J38</f>
      </c>
      <c r="J40" s="5"/>
      <c r="K40" s="6"/>
    </row>
    <row r="41" spans="2:11" x14ac:dyDescent="0.25">
      <c r="B41" s="10" t="s">
        <v>14</v>
      </c>
      <c r="C41" s="11" t="e">
        <f>AVERAGE(Range_f5fe8c6d27ad4274a4c288ad64287e7c)</f>
      </c>
      <c r="D41" s="11" t="e">
        <f>AVERAGE(Range_e2a64af36fc84e13829ed3eb4bc44462)</f>
      </c>
      <c r="E41" s="11" t="e">
        <f>AVERAGE(Range_61435471c583496ab67fe4ba49a6ad35)</f>
      </c>
      <c r="F41" s="11" t="e">
        <f>AVERAGE(Range_329834f226b0481bbe55804689299efc)</f>
      </c>
      <c r="G41" s="11" t="e">
        <f>AVERAGE(Range_c6758a9cf6834cd783ec96bbd417c544)</f>
      </c>
      <c r="H41" s="11" t="e">
        <f>AVERAGE(Range_c5356b0128b1496a97b09333c19051f7)</f>
      </c>
      <c r="I41" s="11" t="e">
        <f>AVERAGE(Range_64716dbe0e1147b68f1415d97fe55639)</f>
      </c>
      <c r="J41" s="12"/>
      <c r="K41" s="13"/>
    </row>
    <row r="42" spans="2:11" x14ac:dyDescent="0.25">
      <c r="C42" s="14"/>
      <c r="D42" s="14"/>
      <c r="E42" s="14"/>
      <c r="F42" s="14"/>
      <c r="G42" s="14"/>
      <c r="H42" s="14"/>
      <c r="I42" s="14"/>
    </row>
    <row r="45" spans="2:11" x14ac:dyDescent="0.25">
      <c r="B45" s="1" t="s">
        <v>15</v>
      </c>
      <c r="C45" s="2" t="s">
        <v>2</v>
      </c>
      <c r="D45" s="2" t="s">
        <v>3</v>
      </c>
      <c r="E45" s="2" t="s">
        <v>4</v>
      </c>
      <c r="F45" s="2" t="s">
        <v>5</v>
      </c>
      <c r="G45" s="2" t="s">
        <v>6</v>
      </c>
      <c r="H45" s="2" t="s">
        <v>7</v>
      </c>
      <c r="I45" s="3" t="s">
        <v>8</v>
      </c>
    </row>
    <row r="46" spans="2:11" x14ac:dyDescent="0.25">
      <c r="B46" s="4" t="s">
        <v>11</v>
      </c>
      <c r="C46" s="5" t="e">
        <f>DEVSQ(Range_ab7ccb5ce45043f5b56dda9cfc10c031)</f>
      </c>
      <c r="D46" s="5" t="e">
        <f>DEVSQ(Range_d98c069866a24869875577749b70b80e)</f>
      </c>
      <c r="E46" s="5" t="e">
        <f>DEVSQ(Range_25c59bfe00de455d81b1b2118311c2e9)</f>
      </c>
      <c r="F46" s="5" t="e">
        <f>DEVSQ(Range_bfaa69fb692544a8ab8b5d5cb36b9525)</f>
      </c>
      <c r="G46" s="5" t="e">
        <f>DEVSQ(Range_2151c4abe29c4d68b6ce2547b623392e)</f>
      </c>
      <c r="H46" s="5" t="e">
        <f>DEVSQ(Range_0bd056bcda644fd2ada0b2dc35f2ce99)</f>
      </c>
      <c r="I46" s="6" t="e">
        <f>DEVSQ(Range_69e79ab4d58e4d0db2d4e5cab1edcbfe)</f>
      </c>
    </row>
    <row r="47" spans="2:11" x14ac:dyDescent="0.25">
      <c r="B47" s="10" t="s">
        <v>13</v>
      </c>
      <c r="C47" s="12" t="e">
        <f>DEVSQ(Range_42156ff2253949f28d5b0249a3ce0365)</f>
      </c>
      <c r="D47" s="12" t="e">
        <f>DEVSQ(Range_c5cb91e70a2f44b29395e872b02e974d)</f>
      </c>
      <c r="E47" s="12" t="e">
        <f>DEVSQ(Range_54514dd5ba8c4c3583f3a145b4611058)</f>
      </c>
      <c r="F47" s="12" t="e">
        <f>DEVSQ(Range_67cff58c04b545a5a1b1a17574aaf557)</f>
      </c>
      <c r="G47" s="12" t="e">
        <f>DEVSQ(Range_4bec62361bfc49d4ab9feac910e2329d)</f>
      </c>
      <c r="H47" s="12" t="e">
        <f>DEVSQ(Range_93b737cf3769494fb7aa06a788eaea1a)</f>
      </c>
      <c r="I47" s="13" t="e">
        <f>DEVSQ(Range_76a5421840e843a79e35de76c154a5ed)</f>
      </c>
    </row>
    <row r="48" spans="2:11" x14ac:dyDescent="0.25">
      <c r="C48" s="14"/>
      <c r="D48" s="14"/>
      <c r="E48" s="14"/>
      <c r="F48" s="14"/>
      <c r="G48" s="14"/>
    </row>
    <row r="50" spans="2:15" x14ac:dyDescent="0.25">
      <c r="B50" s="15" t="s">
        <v>16</v>
      </c>
    </row>
    <row r="51" spans="2:15" x14ac:dyDescent="0.25">
      <c r="B51" s="1" t="s">
        <v>17</v>
      </c>
      <c r="C51" s="2" t="s">
        <v>18</v>
      </c>
      <c r="D51" s="2" t="s">
        <v>19</v>
      </c>
      <c r="E51" s="2" t="s">
        <v>20</v>
      </c>
      <c r="F51" s="2" t="s">
        <v>21</v>
      </c>
      <c r="G51" s="2" t="s">
        <v>22</v>
      </c>
      <c r="H51" s="2" t="s">
        <v>23</v>
      </c>
      <c r="I51" s="2" t="s">
        <v>24</v>
      </c>
      <c r="J51" s="2" t="s">
        <v>25</v>
      </c>
      <c r="K51" s="2" t="s">
        <v>26</v>
      </c>
      <c r="L51" s="2" t="s">
        <v>27</v>
      </c>
      <c r="M51" s="2" t="s">
        <v>28</v>
      </c>
      <c r="N51" s="2" t="s">
        <v>29</v>
      </c>
      <c r="O51" s="3" t="s">
        <v>30</v>
      </c>
    </row>
    <row r="52" spans="2:15" x14ac:dyDescent="0.25">
      <c r="B52" s="16">
        <v>3685.0</v>
      </c>
      <c r="C52" s="17">
        <v>1.29722895E8</v>
      </c>
      <c r="D52" s="17">
        <v>2146.0</v>
      </c>
      <c r="E52" s="17">
        <v>1.2722289E8</v>
      </c>
      <c r="F52" s="17">
        <v>2221.0</v>
      </c>
      <c r="G52" s="17">
        <v>1.1972289E8</v>
      </c>
      <c r="H52" s="17">
        <v>1779.0</v>
      </c>
      <c r="I52" s="17">
        <v>1.2887126E8</v>
      </c>
      <c r="J52" s="17">
        <v>921.0</v>
      </c>
      <c r="K52" s="17">
        <v>1.28871259E8</v>
      </c>
      <c r="L52" s="17">
        <v>936.0</v>
      </c>
      <c r="M52" s="17">
        <v>1.21371259E8</v>
      </c>
      <c r="N52" s="17">
        <v>1974.0</v>
      </c>
      <c r="O52" s="18">
        <v>5.5722893E7</v>
      </c>
    </row>
    <row r="53" spans="2:15" x14ac:dyDescent="0.25">
      <c r="B53" s="16">
        <v>3814.0</v>
      </c>
      <c r="C53" s="17">
        <v>1.29722895E8</v>
      </c>
      <c r="D53" s="17">
        <v>2154.0</v>
      </c>
      <c r="E53" s="17">
        <v>1.2722289E8</v>
      </c>
      <c r="F53" s="17">
        <v>2152.0</v>
      </c>
      <c r="G53" s="17">
        <v>1.1972289E8</v>
      </c>
      <c r="H53" s="17">
        <v>1919.0</v>
      </c>
      <c r="I53" s="17">
        <v>1.2887126E8</v>
      </c>
      <c r="J53" s="17">
        <v>952.0</v>
      </c>
      <c r="K53" s="17">
        <v>1.28871259E8</v>
      </c>
      <c r="L53" s="17">
        <v>936.0</v>
      </c>
      <c r="M53" s="17">
        <v>1.21371259E8</v>
      </c>
      <c r="N53" s="17">
        <v>2009.0</v>
      </c>
      <c r="O53" s="18">
        <v>5.5722893E7</v>
      </c>
    </row>
    <row r="54" spans="2:15" x14ac:dyDescent="0.25">
      <c r="B54" s="16">
        <v>3923.0</v>
      </c>
      <c r="C54" s="17">
        <v>1.29722895E8</v>
      </c>
      <c r="D54" s="17">
        <v>2165.0</v>
      </c>
      <c r="E54" s="17">
        <v>1.2722289E8</v>
      </c>
      <c r="F54" s="17">
        <v>2151.0</v>
      </c>
      <c r="G54" s="17">
        <v>1.1972289E8</v>
      </c>
      <c r="H54" s="17">
        <v>1654.0</v>
      </c>
      <c r="I54" s="17">
        <v>1.2887126E8</v>
      </c>
      <c r="J54" s="17">
        <v>936.0</v>
      </c>
      <c r="K54" s="17">
        <v>1.28871259E8</v>
      </c>
      <c r="L54" s="17">
        <v>998.0</v>
      </c>
      <c r="M54" s="17">
        <v>1.21371259E8</v>
      </c>
      <c r="N54" s="17">
        <v>1998.0</v>
      </c>
      <c r="O54" s="18">
        <v>5.5722893E7</v>
      </c>
    </row>
    <row r="55" spans="2:15" x14ac:dyDescent="0.25"/>
    <row r="56" spans="2:15" x14ac:dyDescent="0.25">
      <c r="B56" s="15" t="s">
        <v>45</v>
      </c>
      <c r="C56"/>
      <c r="D56"/>
      <c r="E56"/>
      <c r="F56"/>
      <c r="G56"/>
      <c r="H56"/>
      <c r="I56"/>
      <c r="J56"/>
      <c r="K56"/>
      <c r="L56"/>
      <c r="M56"/>
      <c r="N56"/>
      <c r="O56"/>
    </row>
    <row r="57" spans="2:15" x14ac:dyDescent="0.25">
      <c r="B57" s="1" t="s">
        <v>17</v>
      </c>
      <c r="C57" s="2" t="s">
        <v>19</v>
      </c>
      <c r="D57" s="2" t="s">
        <v>21</v>
      </c>
      <c r="E57" s="2" t="s">
        <v>23</v>
      </c>
      <c r="F57" s="2" t="s">
        <v>25</v>
      </c>
      <c r="G57" s="2" t="s">
        <v>27</v>
      </c>
      <c r="H57" s="2" t="s">
        <v>29</v>
      </c>
      <c r="I57" s="2" t="s">
        <v>9</v>
      </c>
      <c r="J57" s="3" t="s">
        <v>10</v>
      </c>
      <c r="K57"/>
      <c r="L57"/>
      <c r="M57"/>
      <c r="N57"/>
      <c r="O57"/>
    </row>
    <row r="58" spans="2:15" x14ac:dyDescent="0.25">
      <c r="B58" s="16">
        <v>12264.0</v>
      </c>
      <c r="C58" s="17">
        <v>3398.0</v>
      </c>
      <c r="D58" s="17">
        <v>3327.0</v>
      </c>
      <c r="E58" s="17">
        <v>5288.0</v>
      </c>
      <c r="F58" s="17">
        <v>1404.0</v>
      </c>
      <c r="G58" s="17">
        <v>1342.0</v>
      </c>
      <c r="H58" s="17">
        <v>4434.0</v>
      </c>
      <c r="I58" s="17">
        <v>1146.0</v>
      </c>
      <c r="J58" s="18">
        <v>655.0</v>
      </c>
    </row>
    <row r="59" spans="2:15" x14ac:dyDescent="0.25">
      <c r="B59" s="16">
        <v>11853.0</v>
      </c>
      <c r="C59" s="17">
        <v>3404.0</v>
      </c>
      <c r="D59" s="17">
        <v>3325.0</v>
      </c>
      <c r="E59" s="17">
        <v>5304.0</v>
      </c>
      <c r="F59" s="17">
        <v>1342.0</v>
      </c>
      <c r="G59" s="17">
        <v>1326.0</v>
      </c>
      <c r="H59" s="17">
        <v>4869.0</v>
      </c>
      <c r="I59" s="17">
        <v>1144.0</v>
      </c>
      <c r="J59" s="18">
        <v>702.0</v>
      </c>
    </row>
    <row r="60" spans="2:15" x14ac:dyDescent="0.25">
      <c r="B60" s="16">
        <v>11737.0</v>
      </c>
      <c r="C60" s="17">
        <v>3368.0</v>
      </c>
      <c r="D60" s="17">
        <v>3345.0</v>
      </c>
      <c r="E60" s="17">
        <v>5601.0</v>
      </c>
      <c r="F60" s="17">
        <v>1341.0</v>
      </c>
      <c r="G60" s="17">
        <v>1372.0</v>
      </c>
      <c r="H60" s="17">
        <v>4268.0</v>
      </c>
      <c r="I60" s="17">
        <v>1151.0</v>
      </c>
      <c r="J60" s="18">
        <v>655.0</v>
      </c>
    </row>
  </sheetData>
  <pageMargins bottom="0.75" footer="0.51180555555555496" header="0.51180555555555496" left="0.7" right="0.7" top="0.75"/>
  <pageSetup copies="0" firstPageNumber="0" horizontalDpi="0" orientation="portrait" paperSize="0" scale="0" usePrinterDefaults="0" verticalDpi="0"/>
  <drawing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B1:O56"/>
  <sheetViews>
    <sheetView workbookViewId="0" zoomScaleNormal="100">
      <selection activeCell="B1" sqref="B1"/>
    </sheetView>
  </sheetViews>
  <sheetFormatPr defaultRowHeight="15" x14ac:dyDescent="0.25"/>
  <cols>
    <col max="1" min="1" width="5"/>
    <col max="2" min="2" width="19.85546875"/>
    <col max="3" min="3" width="18.7109375"/>
    <col max="5" min="4" width="22.85546875"/>
    <col max="6" min="6" width="18.7109375"/>
    <col max="7" min="7" width="19.5703125"/>
    <col max="8" min="8" width="19"/>
    <col max="9" min="9" width="21.140625"/>
    <col max="10" min="10" width="24.42578125"/>
    <col max="11" min="11" width="22.5703125"/>
    <col max="12" min="12" width="30.28515625"/>
    <col max="13" min="13" width="25.85546875"/>
    <col max="14" min="14" width="24.5703125"/>
    <col max="15" min="15" width="22.140625"/>
    <col max="1025" min="16" width="8.7109375"/>
  </cols>
  <sheetData>
    <row r="1" spans="2:2" x14ac:dyDescent="0.25">
      <c r="B1" t="s">
        <v>65</v>
      </c>
    </row>
    <row r="37" spans="2:11" x14ac:dyDescent="0.25">
      <c r="B37" s="1" t="s">
        <v>1</v>
      </c>
      <c r="C37" s="2" t="s">
        <v>2</v>
      </c>
      <c r="D37" s="2" t="s">
        <v>3</v>
      </c>
      <c r="E37" s="2" t="s">
        <v>4</v>
      </c>
      <c r="F37" s="2" t="s">
        <v>5</v>
      </c>
      <c r="G37" s="2" t="s">
        <v>6</v>
      </c>
      <c r="H37" s="2" t="s">
        <v>7</v>
      </c>
      <c r="I37" s="2" t="s">
        <v>8</v>
      </c>
      <c r="J37" s="2" t="s">
        <v>9</v>
      </c>
      <c r="K37" s="3" t="s">
        <v>10</v>
      </c>
    </row>
    <row r="38" spans="2:11" x14ac:dyDescent="0.25">
      <c r="B38" s="4" t="s">
        <v>11</v>
      </c>
      <c r="C38" s="5" t="e">
        <f>AVERAGE(Range_d4f8c5c78f054b62bc74055fdb12a5c7) - J38</f>
      </c>
      <c r="D38" s="5" t="e">
        <f>AVERAGE(Range_10d96e830cf44b0cb7525aea67cc5a79) - J38</f>
      </c>
      <c r="E38" s="5" t="e">
        <f>AVERAGE(Range_5fe428701ff347788be137ada767385c) - J38</f>
      </c>
      <c r="F38" s="5" t="e">
        <f>AVERAGE(Range_88a31161d5ad468d8b2d5e29cec8c68f) - J39</f>
      </c>
      <c r="G38" s="5" t="e">
        <f>AVERAGE(Range_3aa7dadb1c0d4dde8b4400092a200831) - J39</f>
      </c>
      <c r="H38" s="5" t="e">
        <f>AVERAGE(Range_83b9b73c0e48455b94e6cdb201c73139) - J39</f>
      </c>
      <c r="I38" s="5" t="e">
        <f>AVERAGE(Range_6e3a03fdc1eb4e2eb442bd118471e29c) - J38</f>
      </c>
      <c r="J38" s="5" t="e">
        <f>AVERAGE(Range_b551a40706c84a1ea1d802add147e48a)</f>
      </c>
      <c r="K38" s="6" t="e">
        <f>AVERAGE(Range_a4bb580b582040f7afdc4fd5e4162314)</f>
      </c>
    </row>
    <row r="39" spans="2:11" x14ac:dyDescent="0.25">
      <c r="B39" s="7" t="s">
        <v>12</v>
      </c>
      <c r="C39" s="8" t="e">
        <f ref="C39:I39" si="0" t="shared">C40-C38</f>
      </c>
      <c r="D39" s="8" t="e">
        <f si="0" t="shared"/>
      </c>
      <c r="E39" s="8" t="e">
        <f si="0" t="shared"/>
      </c>
      <c r="F39" s="8" t="e">
        <f si="0" t="shared"/>
      </c>
      <c r="G39" s="8" t="e">
        <f si="0" t="shared"/>
      </c>
      <c r="H39" s="8" t="e">
        <f si="0" t="shared"/>
      </c>
      <c r="I39" s="8" t="e">
        <f si="0" t="shared"/>
      </c>
      <c r="J39" s="8"/>
      <c r="K39" s="9"/>
    </row>
    <row r="40" spans="2:11" x14ac:dyDescent="0.25">
      <c r="B40" s="4" t="s">
        <v>13</v>
      </c>
      <c r="C40" s="5" t="e">
        <f>AVERAGE(Range_159eaa507baa4367a4b1621f05f95c99) - J38</f>
      </c>
      <c r="D40" s="5" t="e">
        <f>AVERAGE(Range_fef0b50b89674d83b9dedcac0bf36277) - J38</f>
      </c>
      <c r="E40" s="5" t="e">
        <f>AVERAGE(Range_a09aa96e7e7a40cc8a23441965c7676e) - J38</f>
      </c>
      <c r="F40" s="5" t="e">
        <f>AVERAGE(Range_5d02b8db01db42dcbc4c95e244fcb0b5) - J39</f>
      </c>
      <c r="G40" s="5" t="e">
        <f>AVERAGE(Range_878b6826ead84fb2bb21a0bf21822636) - J39</f>
      </c>
      <c r="H40" s="5" t="e">
        <f>AVERAGE(Range_4795ef62d8304d32af6e676e03b93912) - J39</f>
      </c>
      <c r="I40" s="5" t="e">
        <f>AVERAGE(Range_481774d73f364feaa372d0a80b9ac29e) - J38</f>
      </c>
      <c r="J40" s="5"/>
      <c r="K40" s="6"/>
    </row>
    <row r="41" spans="2:11" x14ac:dyDescent="0.25">
      <c r="B41" s="10" t="s">
        <v>14</v>
      </c>
      <c r="C41" s="11" t="e">
        <f>AVERAGE(Range_2c20dcad24dc4c069c81cb3fab106f19)</f>
      </c>
      <c r="D41" s="11" t="e">
        <f>AVERAGE(Range_4b970e036de64fcabc188a7dd87bbdc5)</f>
      </c>
      <c r="E41" s="11" t="e">
        <f>AVERAGE(Range_d951d88514dd4c9aa7241320e9a5ca80)</f>
      </c>
      <c r="F41" s="11" t="e">
        <f>AVERAGE(Range_cc10411eab644326b47e1a84f263fbac)</f>
      </c>
      <c r="G41" s="11" t="e">
        <f>AVERAGE(Range_50166f2fd48b4a708c37dce3afd74129)</f>
      </c>
      <c r="H41" s="11" t="e">
        <f>AVERAGE(Range_6349ca477eb54ccb9c1754ca60673107)</f>
      </c>
      <c r="I41" s="11" t="e">
        <f>AVERAGE(Range_992c8a7572224d529cb5fd2626dfc3e6)</f>
      </c>
      <c r="J41" s="12"/>
      <c r="K41" s="13"/>
    </row>
    <row r="42" spans="2:11" x14ac:dyDescent="0.25">
      <c r="C42" s="14"/>
      <c r="D42" s="14"/>
      <c r="E42" s="14"/>
      <c r="F42" s="14"/>
      <c r="G42" s="14"/>
      <c r="H42" s="14"/>
      <c r="I42" s="14"/>
    </row>
    <row r="45" spans="2:11" x14ac:dyDescent="0.25">
      <c r="B45" s="1" t="s">
        <v>15</v>
      </c>
      <c r="C45" s="2" t="s">
        <v>2</v>
      </c>
      <c r="D45" s="2" t="s">
        <v>3</v>
      </c>
      <c r="E45" s="2" t="s">
        <v>4</v>
      </c>
      <c r="F45" s="2" t="s">
        <v>5</v>
      </c>
      <c r="G45" s="2" t="s">
        <v>6</v>
      </c>
      <c r="H45" s="2" t="s">
        <v>7</v>
      </c>
      <c r="I45" s="3" t="s">
        <v>8</v>
      </c>
    </row>
    <row r="46" spans="2:11" x14ac:dyDescent="0.25">
      <c r="B46" s="4" t="s">
        <v>11</v>
      </c>
      <c r="C46" s="5" t="e">
        <f>DEVSQ(Range_d4f8c5c78f054b62bc74055fdb12a5c7)</f>
      </c>
      <c r="D46" s="5" t="e">
        <f>DEVSQ(Range_10d96e830cf44b0cb7525aea67cc5a79)</f>
      </c>
      <c r="E46" s="5" t="e">
        <f>DEVSQ(Range_5fe428701ff347788be137ada767385c)</f>
      </c>
      <c r="F46" s="5" t="e">
        <f>DEVSQ(Range_88a31161d5ad468d8b2d5e29cec8c68f)</f>
      </c>
      <c r="G46" s="5" t="e">
        <f>DEVSQ(Range_3aa7dadb1c0d4dde8b4400092a200831)</f>
      </c>
      <c r="H46" s="5" t="e">
        <f>DEVSQ(Range_83b9b73c0e48455b94e6cdb201c73139)</f>
      </c>
      <c r="I46" s="6" t="e">
        <f>DEVSQ(Range_6e3a03fdc1eb4e2eb442bd118471e29c)</f>
      </c>
    </row>
    <row r="47" spans="2:11" x14ac:dyDescent="0.25">
      <c r="B47" s="10" t="s">
        <v>13</v>
      </c>
      <c r="C47" s="12" t="e">
        <f>DEVSQ(Range_159eaa507baa4367a4b1621f05f95c99)</f>
      </c>
      <c r="D47" s="12" t="e">
        <f>DEVSQ(Range_fef0b50b89674d83b9dedcac0bf36277)</f>
      </c>
      <c r="E47" s="12" t="e">
        <f>DEVSQ(Range_a09aa96e7e7a40cc8a23441965c7676e)</f>
      </c>
      <c r="F47" s="12" t="e">
        <f>DEVSQ(Range_5d02b8db01db42dcbc4c95e244fcb0b5)</f>
      </c>
      <c r="G47" s="12" t="e">
        <f>DEVSQ(Range_878b6826ead84fb2bb21a0bf21822636)</f>
      </c>
      <c r="H47" s="12" t="e">
        <f>DEVSQ(Range_4795ef62d8304d32af6e676e03b93912)</f>
      </c>
      <c r="I47" s="13" t="e">
        <f>DEVSQ(Range_481774d73f364feaa372d0a80b9ac29e)</f>
      </c>
    </row>
    <row r="48" spans="2:11" x14ac:dyDescent="0.25">
      <c r="C48" s="14"/>
      <c r="D48" s="14"/>
      <c r="E48" s="14"/>
      <c r="F48" s="14"/>
      <c r="G48" s="14"/>
    </row>
    <row r="50" spans="2:15" x14ac:dyDescent="0.25">
      <c r="B50" s="15" t="s">
        <v>16</v>
      </c>
    </row>
    <row r="51" spans="2:15" x14ac:dyDescent="0.25">
      <c r="B51" s="1" t="s">
        <v>17</v>
      </c>
      <c r="C51" s="2" t="s">
        <v>18</v>
      </c>
      <c r="D51" s="2" t="s">
        <v>19</v>
      </c>
      <c r="E51" s="2" t="s">
        <v>20</v>
      </c>
      <c r="F51" s="2" t="s">
        <v>21</v>
      </c>
      <c r="G51" s="2" t="s">
        <v>22</v>
      </c>
      <c r="H51" s="2" t="s">
        <v>23</v>
      </c>
      <c r="I51" s="2" t="s">
        <v>24</v>
      </c>
      <c r="J51" s="2" t="s">
        <v>25</v>
      </c>
      <c r="K51" s="2" t="s">
        <v>26</v>
      </c>
      <c r="L51" s="2" t="s">
        <v>27</v>
      </c>
      <c r="M51" s="2" t="s">
        <v>28</v>
      </c>
      <c r="N51" s="2" t="s">
        <v>29</v>
      </c>
      <c r="O51" s="3" t="s">
        <v>30</v>
      </c>
    </row>
    <row r="52" spans="2:15" x14ac:dyDescent="0.25">
      <c r="B52" s="16">
        <v>40455.0</v>
      </c>
      <c r="C52" s="17">
        <v>1.307232793E9</v>
      </c>
      <c r="D52" s="17">
        <v>21510.0</v>
      </c>
      <c r="E52" s="17">
        <v>1.282232786E9</v>
      </c>
      <c r="F52" s="17">
        <v>21364.0</v>
      </c>
      <c r="G52" s="17">
        <v>1.207232786E9</v>
      </c>
      <c r="H52" s="17">
        <v>15787.0</v>
      </c>
      <c r="I52" s="17">
        <v>1.298716394E9</v>
      </c>
      <c r="J52" s="17">
        <v>8190.0</v>
      </c>
      <c r="K52" s="17">
        <v>1.298716389E9</v>
      </c>
      <c r="L52" s="17">
        <v>8221.0</v>
      </c>
      <c r="M52" s="17">
        <v>1.223716389E9</v>
      </c>
      <c r="N52" s="17">
        <v>19560.0</v>
      </c>
      <c r="O52" s="18">
        <v>5.67232787E8</v>
      </c>
    </row>
    <row r="53" spans="2:15" x14ac:dyDescent="0.25">
      <c r="B53" s="16">
        <v>36941.0</v>
      </c>
      <c r="C53" s="17">
        <v>1.307232793E9</v>
      </c>
      <c r="D53" s="17">
        <v>21464.0</v>
      </c>
      <c r="E53" s="17">
        <v>1.282232786E9</v>
      </c>
      <c r="F53" s="17">
        <v>21431.0</v>
      </c>
      <c r="G53" s="17">
        <v>1.207232786E9</v>
      </c>
      <c r="H53" s="17">
        <v>16926.0</v>
      </c>
      <c r="I53" s="17">
        <v>1.298716394E9</v>
      </c>
      <c r="J53" s="17">
        <v>8019.0</v>
      </c>
      <c r="K53" s="17">
        <v>1.298716389E9</v>
      </c>
      <c r="L53" s="17">
        <v>8221.0</v>
      </c>
      <c r="M53" s="17">
        <v>1.223716389E9</v>
      </c>
      <c r="N53" s="17">
        <v>19821.0</v>
      </c>
      <c r="O53" s="18">
        <v>5.67232787E8</v>
      </c>
    </row>
    <row r="54" spans="2:15" x14ac:dyDescent="0.25">
      <c r="B54" s="16">
        <v>36976.0</v>
      </c>
      <c r="C54" s="17">
        <v>1.307232793E9</v>
      </c>
      <c r="D54" s="17">
        <v>21557.0</v>
      </c>
      <c r="E54" s="17">
        <v>1.282232786E9</v>
      </c>
      <c r="F54" s="17">
        <v>22631.0</v>
      </c>
      <c r="G54" s="17">
        <v>1.207232786E9</v>
      </c>
      <c r="H54" s="17">
        <v>16225.0</v>
      </c>
      <c r="I54" s="17">
        <v>1.298716394E9</v>
      </c>
      <c r="J54" s="17">
        <v>8299.0</v>
      </c>
      <c r="K54" s="17">
        <v>1.298716389E9</v>
      </c>
      <c r="L54" s="17">
        <v>8502.0</v>
      </c>
      <c r="M54" s="17">
        <v>1.223716389E9</v>
      </c>
      <c r="N54" s="17">
        <v>19596.0</v>
      </c>
      <c r="O54" s="18">
        <v>5.67232787E8</v>
      </c>
    </row>
    <row r="55" spans="2:15" x14ac:dyDescent="0.25"/>
    <row r="56" spans="2:15" x14ac:dyDescent="0.25">
      <c r="B56" s="15" t="s">
        <v>45</v>
      </c>
      <c r="C56"/>
      <c r="D56"/>
      <c r="E56"/>
      <c r="F56"/>
      <c r="G56"/>
      <c r="H56"/>
      <c r="I56"/>
      <c r="J56"/>
      <c r="K56"/>
      <c r="L56"/>
      <c r="M56"/>
      <c r="N56"/>
      <c r="O56"/>
    </row>
    <row r="57" spans="2:15" x14ac:dyDescent="0.25">
      <c r="B57" s="1" t="s">
        <v>17</v>
      </c>
      <c r="C57" s="2" t="s">
        <v>19</v>
      </c>
      <c r="D57" s="2" t="s">
        <v>21</v>
      </c>
      <c r="E57" s="2" t="s">
        <v>23</v>
      </c>
      <c r="F57" s="2" t="s">
        <v>25</v>
      </c>
      <c r="G57" s="2" t="s">
        <v>27</v>
      </c>
      <c r="H57" s="2" t="s">
        <v>29</v>
      </c>
      <c r="I57" s="2" t="s">
        <v>9</v>
      </c>
      <c r="J57" s="3" t="s">
        <v>10</v>
      </c>
      <c r="K57"/>
      <c r="L57"/>
      <c r="M57"/>
      <c r="N57"/>
      <c r="O57"/>
    </row>
    <row r="58" spans="2:15" x14ac:dyDescent="0.25">
      <c r="B58" s="16">
        <v>117248.0</v>
      </c>
      <c r="C58" s="17">
        <v>35199.0</v>
      </c>
      <c r="D58" s="17">
        <v>33547.0</v>
      </c>
      <c r="E58" s="17">
        <v>49031.0</v>
      </c>
      <c r="F58" s="17">
        <v>11887.0</v>
      </c>
      <c r="G58" s="17">
        <v>11560.0</v>
      </c>
      <c r="H58" s="17">
        <v>43201.0</v>
      </c>
      <c r="I58" s="17">
        <v>11600.0</v>
      </c>
      <c r="J58" s="18">
        <v>5616.0</v>
      </c>
    </row>
    <row r="59" spans="2:15" x14ac:dyDescent="0.25">
      <c r="B59" s="16">
        <v>117912.0</v>
      </c>
      <c r="C59" s="17">
        <v>34930.0</v>
      </c>
      <c r="D59" s="17">
        <v>33209.0</v>
      </c>
      <c r="E59" s="17">
        <v>47097.0</v>
      </c>
      <c r="F59" s="17">
        <v>12105.0</v>
      </c>
      <c r="G59" s="17">
        <v>12137.0</v>
      </c>
      <c r="H59" s="17">
        <v>42598.0</v>
      </c>
      <c r="I59" s="17">
        <v>11588.0</v>
      </c>
      <c r="J59" s="18">
        <v>5616.0</v>
      </c>
    </row>
    <row r="60" spans="2:15" x14ac:dyDescent="0.25">
      <c r="B60" s="16">
        <v>119050.0</v>
      </c>
      <c r="C60" s="17">
        <v>35262.0</v>
      </c>
      <c r="D60" s="17">
        <v>33644.0</v>
      </c>
      <c r="E60" s="17">
        <v>51792.0</v>
      </c>
      <c r="F60" s="17">
        <v>13541.0</v>
      </c>
      <c r="G60" s="17">
        <v>12433.0</v>
      </c>
      <c r="H60" s="17">
        <v>42261.0</v>
      </c>
      <c r="I60" s="17">
        <v>11601.0</v>
      </c>
      <c r="J60" s="18">
        <v>5632.0</v>
      </c>
    </row>
  </sheetData>
  <pageMargins bottom="0.75" footer="0.51180555555555496" header="0.51180555555555496" left="0.7" right="0.7" top="0.75"/>
  <pageSetup copies="0" firstPageNumber="0" horizontalDpi="0" orientation="portrait" paperSize="0" scale="0" usePrinterDefaults="0" verticalDpi="0"/>
  <drawing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B1:O56"/>
  <sheetViews>
    <sheetView workbookViewId="0" zoomScaleNormal="100">
      <selection activeCell="B1" sqref="B1"/>
    </sheetView>
  </sheetViews>
  <sheetFormatPr defaultRowHeight="15" x14ac:dyDescent="0.25"/>
  <cols>
    <col max="1" min="1" width="5"/>
    <col max="2" min="2" width="19.85546875"/>
    <col max="3" min="3" width="18.7109375"/>
    <col max="5" min="4" width="22.85546875"/>
    <col max="6" min="6" width="18.7109375"/>
    <col max="7" min="7" width="19.5703125"/>
    <col max="8" min="8" width="19"/>
    <col max="9" min="9" width="21.140625"/>
    <col max="10" min="10" width="24.42578125"/>
    <col max="11" min="11" width="22.5703125"/>
    <col max="12" min="12" width="30.28515625"/>
    <col max="13" min="13" width="25.85546875"/>
    <col max="14" min="14" width="24.5703125"/>
    <col max="15" min="15" width="22.140625"/>
    <col max="1025" min="16" width="8.7109375"/>
  </cols>
  <sheetData>
    <row r="1" spans="2:2" x14ac:dyDescent="0.25">
      <c r="B1" t="s">
        <v>66</v>
      </c>
    </row>
    <row r="37" spans="2:11" x14ac:dyDescent="0.25">
      <c r="B37" s="1" t="s">
        <v>1</v>
      </c>
      <c r="C37" s="2" t="s">
        <v>2</v>
      </c>
      <c r="D37" s="2" t="s">
        <v>3</v>
      </c>
      <c r="E37" s="2" t="s">
        <v>4</v>
      </c>
      <c r="F37" s="2" t="s">
        <v>5</v>
      </c>
      <c r="G37" s="2" t="s">
        <v>6</v>
      </c>
      <c r="H37" s="2" t="s">
        <v>7</v>
      </c>
      <c r="I37" s="2" t="s">
        <v>8</v>
      </c>
      <c r="J37" s="2" t="s">
        <v>9</v>
      </c>
      <c r="K37" s="3" t="s">
        <v>10</v>
      </c>
    </row>
    <row r="38" spans="2:11" x14ac:dyDescent="0.25">
      <c r="B38" s="4" t="s">
        <v>11</v>
      </c>
      <c r="C38" s="5" t="e">
        <f>AVERAGE(Range_7e3b5df881554c78bc8147e3cd5342dd) - J38</f>
      </c>
      <c r="D38" s="5" t="e">
        <f>AVERAGE(Range_f5d0c4373e724734a0fb1b4de18ec0a1) - J38</f>
      </c>
      <c r="E38" s="5" t="e">
        <f>AVERAGE(Range_c8486cf8b96944c4bb865e74d308e4cb) - J38</f>
      </c>
      <c r="F38" s="5" t="e">
        <f>AVERAGE(Range_6f78399bf3894834af65473abe3df9cb) - J39</f>
      </c>
      <c r="G38" s="5" t="e">
        <f>AVERAGE(Range_f4206940df6a480894b14822eda249b9) - J39</f>
      </c>
      <c r="H38" s="5" t="e">
        <f>AVERAGE(Range_984fa11ccde84ab481696d02df98f862) - J39</f>
      </c>
      <c r="I38" s="5" t="e">
        <f>AVERAGE(Range_4d7d9b50cbb442bf94d0e40cb4a2b9d1) - J38</f>
      </c>
      <c r="J38" s="5" t="e">
        <f>AVERAGE(Range_925eca45855f4f3ba32fc0931f14af60)</f>
      </c>
      <c r="K38" s="6" t="e">
        <f>AVERAGE(Range_8ea8f98eb4f74031adeba25cf4efbf85)</f>
      </c>
    </row>
    <row r="39" spans="2:11" x14ac:dyDescent="0.25">
      <c r="B39" s="7" t="s">
        <v>12</v>
      </c>
      <c r="C39" s="8" t="e">
        <f ref="C39:I39" si="0" t="shared">C40-C38</f>
      </c>
      <c r="D39" s="8" t="e">
        <f si="0" t="shared"/>
      </c>
      <c r="E39" s="8" t="e">
        <f si="0" t="shared"/>
      </c>
      <c r="F39" s="8" t="e">
        <f si="0" t="shared"/>
      </c>
      <c r="G39" s="8" t="e">
        <f si="0" t="shared"/>
      </c>
      <c r="H39" s="8" t="e">
        <f si="0" t="shared"/>
      </c>
      <c r="I39" s="8" t="e">
        <f si="0" t="shared"/>
      </c>
      <c r="J39" s="8"/>
      <c r="K39" s="9"/>
    </row>
    <row r="40" spans="2:11" x14ac:dyDescent="0.25">
      <c r="B40" s="4" t="s">
        <v>13</v>
      </c>
      <c r="C40" s="5" t="e">
        <f>AVERAGE(Range_d334258f6ad44190acc8b1faaef381ae) - J38</f>
      </c>
      <c r="D40" s="5" t="e">
        <f>AVERAGE(Range_6be3e3b87ff24f0daee69f95e3eb6911) - J38</f>
      </c>
      <c r="E40" s="5" t="e">
        <f>AVERAGE(Range_428a25e30973490598e9f3ace6e4d0de) - J38</f>
      </c>
      <c r="F40" s="5" t="e">
        <f>AVERAGE(Range_1205d350fc184fafb8da81404b6a4e31) - J39</f>
      </c>
      <c r="G40" s="5" t="e">
        <f>AVERAGE(Range_010d27b8ca3d4677b53d11a5edf28d37) - J39</f>
      </c>
      <c r="H40" s="5" t="e">
        <f>AVERAGE(Range_88f7c881255447a7baf88afc50e34816) - J39</f>
      </c>
      <c r="I40" s="5" t="e">
        <f>AVERAGE(Range_ad887a382f1146e9aa7af2799d436345) - J38</f>
      </c>
      <c r="J40" s="5"/>
      <c r="K40" s="6"/>
    </row>
    <row r="41" spans="2:11" x14ac:dyDescent="0.25">
      <c r="B41" s="10" t="s">
        <v>14</v>
      </c>
      <c r="C41" s="11" t="e">
        <f>AVERAGE(Range_b073de5978054a5282dd82ca86745922)</f>
      </c>
      <c r="D41" s="11" t="e">
        <f>AVERAGE(Range_f2f09784315b4fa2ba3f860df4bc3122)</f>
      </c>
      <c r="E41" s="11" t="e">
        <f>AVERAGE(Range_4da1a834cc484911aca4026c780ba171)</f>
      </c>
      <c r="F41" s="11" t="e">
        <f>AVERAGE(Range_e52e872ff64d4f20b4ca4fa4a7297a86)</f>
      </c>
      <c r="G41" s="11" t="e">
        <f>AVERAGE(Range_f49732a16ae6426cb44339b6d5de17cd)</f>
      </c>
      <c r="H41" s="11" t="e">
        <f>AVERAGE(Range_5d9643d487314886ab9c7f53748b8632)</f>
      </c>
      <c r="I41" s="11" t="e">
        <f>AVERAGE(Range_2e8f66a9f6714f7b926ccc29ce1f8c55)</f>
      </c>
      <c r="J41" s="12"/>
      <c r="K41" s="13"/>
    </row>
    <row r="42" spans="2:11" x14ac:dyDescent="0.25">
      <c r="C42" s="14"/>
      <c r="D42" s="14"/>
      <c r="E42" s="14"/>
      <c r="F42" s="14"/>
      <c r="G42" s="14"/>
      <c r="H42" s="14"/>
      <c r="I42" s="14"/>
    </row>
    <row r="45" spans="2:11" x14ac:dyDescent="0.25">
      <c r="B45" s="1" t="s">
        <v>15</v>
      </c>
      <c r="C45" s="2" t="s">
        <v>2</v>
      </c>
      <c r="D45" s="2" t="s">
        <v>3</v>
      </c>
      <c r="E45" s="2" t="s">
        <v>4</v>
      </c>
      <c r="F45" s="2" t="s">
        <v>5</v>
      </c>
      <c r="G45" s="2" t="s">
        <v>6</v>
      </c>
      <c r="H45" s="2" t="s">
        <v>7</v>
      </c>
      <c r="I45" s="3" t="s">
        <v>8</v>
      </c>
    </row>
    <row r="46" spans="2:11" x14ac:dyDescent="0.25">
      <c r="B46" s="4" t="s">
        <v>11</v>
      </c>
      <c r="C46" s="5" t="e">
        <f>DEVSQ(Range_7e3b5df881554c78bc8147e3cd5342dd)</f>
      </c>
      <c r="D46" s="5" t="e">
        <f>DEVSQ(Range_f5d0c4373e724734a0fb1b4de18ec0a1)</f>
      </c>
      <c r="E46" s="5" t="e">
        <f>DEVSQ(Range_c8486cf8b96944c4bb865e74d308e4cb)</f>
      </c>
      <c r="F46" s="5" t="e">
        <f>DEVSQ(Range_6f78399bf3894834af65473abe3df9cb)</f>
      </c>
      <c r="G46" s="5" t="e">
        <f>DEVSQ(Range_f4206940df6a480894b14822eda249b9)</f>
      </c>
      <c r="H46" s="5" t="e">
        <f>DEVSQ(Range_984fa11ccde84ab481696d02df98f862)</f>
      </c>
      <c r="I46" s="6" t="e">
        <f>DEVSQ(Range_4d7d9b50cbb442bf94d0e40cb4a2b9d1)</f>
      </c>
    </row>
    <row r="47" spans="2:11" x14ac:dyDescent="0.25">
      <c r="B47" s="10" t="s">
        <v>13</v>
      </c>
      <c r="C47" s="12" t="e">
        <f>DEVSQ(Range_d334258f6ad44190acc8b1faaef381ae)</f>
      </c>
      <c r="D47" s="12" t="e">
        <f>DEVSQ(Range_6be3e3b87ff24f0daee69f95e3eb6911)</f>
      </c>
      <c r="E47" s="12" t="e">
        <f>DEVSQ(Range_428a25e30973490598e9f3ace6e4d0de)</f>
      </c>
      <c r="F47" s="12" t="e">
        <f>DEVSQ(Range_1205d350fc184fafb8da81404b6a4e31)</f>
      </c>
      <c r="G47" s="12" t="e">
        <f>DEVSQ(Range_010d27b8ca3d4677b53d11a5edf28d37)</f>
      </c>
      <c r="H47" s="12" t="e">
        <f>DEVSQ(Range_88f7c881255447a7baf88afc50e34816)</f>
      </c>
      <c r="I47" s="13" t="e">
        <f>DEVSQ(Range_ad887a382f1146e9aa7af2799d436345)</f>
      </c>
    </row>
    <row r="48" spans="2:11" x14ac:dyDescent="0.25">
      <c r="C48" s="14"/>
      <c r="D48" s="14"/>
      <c r="E48" s="14"/>
      <c r="F48" s="14"/>
      <c r="G48" s="14"/>
    </row>
    <row r="50" spans="2:15" x14ac:dyDescent="0.25">
      <c r="B50" s="15" t="s">
        <v>16</v>
      </c>
    </row>
    <row r="51" spans="2:15" x14ac:dyDescent="0.25">
      <c r="B51" s="1" t="s">
        <v>17</v>
      </c>
      <c r="C51" s="2" t="s">
        <v>18</v>
      </c>
      <c r="D51" s="2" t="s">
        <v>19</v>
      </c>
      <c r="E51" s="2" t="s">
        <v>20</v>
      </c>
      <c r="F51" s="2" t="s">
        <v>21</v>
      </c>
      <c r="G51" s="2" t="s">
        <v>22</v>
      </c>
      <c r="H51" s="2" t="s">
        <v>23</v>
      </c>
      <c r="I51" s="2" t="s">
        <v>24</v>
      </c>
      <c r="J51" s="2" t="s">
        <v>25</v>
      </c>
      <c r="K51" s="2" t="s">
        <v>26</v>
      </c>
      <c r="L51" s="2" t="s">
        <v>27</v>
      </c>
      <c r="M51" s="2" t="s">
        <v>28</v>
      </c>
      <c r="N51" s="2" t="s">
        <v>29</v>
      </c>
      <c r="O51" s="3" t="s">
        <v>30</v>
      </c>
    </row>
    <row r="52" spans="2:15" x14ac:dyDescent="0.25">
      <c r="B52" s="16">
        <v>156.0</v>
      </c>
      <c r="C52" s="17">
        <v>1787253.0</v>
      </c>
      <c r="D52" s="17">
        <v>38.0</v>
      </c>
      <c r="E52" s="17">
        <v>2249785.0</v>
      </c>
      <c r="F52" s="17">
        <v>37.0</v>
      </c>
      <c r="G52" s="17">
        <v>1802584.0</v>
      </c>
      <c r="H52" s="17">
        <v>218.0</v>
      </c>
      <c r="I52" s="17">
        <v>1763995.0</v>
      </c>
      <c r="J52" s="17">
        <v>78.0</v>
      </c>
      <c r="K52" s="17">
        <v>2209785.0</v>
      </c>
      <c r="L52" s="17">
        <v>78.0</v>
      </c>
      <c r="M52" s="17">
        <v>1762584.0</v>
      </c>
      <c r="N52" s="17">
        <v>79.0</v>
      </c>
      <c r="O52" s="18">
        <v>704000.0</v>
      </c>
    </row>
    <row r="53" spans="2:15" x14ac:dyDescent="0.25">
      <c r="B53" s="16">
        <v>158.0</v>
      </c>
      <c r="C53" s="17">
        <v>1787253.0</v>
      </c>
      <c r="D53" s="17">
        <v>38.0</v>
      </c>
      <c r="E53" s="17">
        <v>2249785.0</v>
      </c>
      <c r="F53" s="17">
        <v>37.0</v>
      </c>
      <c r="G53" s="17">
        <v>1802584.0</v>
      </c>
      <c r="H53" s="17">
        <v>250.0</v>
      </c>
      <c r="I53" s="17">
        <v>1763995.0</v>
      </c>
      <c r="J53" s="17">
        <v>78.0</v>
      </c>
      <c r="K53" s="17">
        <v>2189785.0</v>
      </c>
      <c r="L53" s="17">
        <v>78.0</v>
      </c>
      <c r="M53" s="17">
        <v>1762584.0</v>
      </c>
      <c r="N53" s="17">
        <v>79.0</v>
      </c>
      <c r="O53" s="18">
        <v>704000.0</v>
      </c>
    </row>
    <row r="54" spans="2:15" x14ac:dyDescent="0.25">
      <c r="B54" s="16">
        <v>156.0</v>
      </c>
      <c r="C54" s="17">
        <v>1787253.0</v>
      </c>
      <c r="D54" s="17">
        <v>37.0</v>
      </c>
      <c r="E54" s="17">
        <v>2249785.0</v>
      </c>
      <c r="F54" s="17">
        <v>37.0</v>
      </c>
      <c r="G54" s="17">
        <v>1802584.0</v>
      </c>
      <c r="H54" s="17">
        <v>219.0</v>
      </c>
      <c r="I54" s="17">
        <v>1763995.0</v>
      </c>
      <c r="J54" s="17">
        <v>78.0</v>
      </c>
      <c r="K54" s="17">
        <v>2209785.0</v>
      </c>
      <c r="L54" s="17">
        <v>93.0</v>
      </c>
      <c r="M54" s="17">
        <v>1762584.0</v>
      </c>
      <c r="N54" s="17">
        <v>79.0</v>
      </c>
      <c r="O54" s="18">
        <v>704000.0</v>
      </c>
    </row>
    <row r="55" spans="2:15" x14ac:dyDescent="0.25"/>
    <row r="56" spans="2:15" x14ac:dyDescent="0.25">
      <c r="B56" s="15" t="s">
        <v>45</v>
      </c>
      <c r="C56"/>
      <c r="D56"/>
      <c r="E56"/>
      <c r="F56"/>
      <c r="G56"/>
      <c r="H56"/>
      <c r="I56"/>
      <c r="J56"/>
      <c r="K56"/>
      <c r="L56"/>
      <c r="M56"/>
      <c r="N56"/>
      <c r="O56"/>
    </row>
    <row r="57" spans="2:15" x14ac:dyDescent="0.25">
      <c r="B57" s="1" t="s">
        <v>17</v>
      </c>
      <c r="C57" s="2" t="s">
        <v>19</v>
      </c>
      <c r="D57" s="2" t="s">
        <v>21</v>
      </c>
      <c r="E57" s="2" t="s">
        <v>23</v>
      </c>
      <c r="F57" s="2" t="s">
        <v>25</v>
      </c>
      <c r="G57" s="2" t="s">
        <v>27</v>
      </c>
      <c r="H57" s="2" t="s">
        <v>29</v>
      </c>
      <c r="I57" s="2" t="s">
        <v>9</v>
      </c>
      <c r="J57" s="3" t="s">
        <v>10</v>
      </c>
      <c r="K57"/>
      <c r="L57"/>
      <c r="M57"/>
      <c r="N57"/>
      <c r="O57"/>
    </row>
    <row r="58" spans="2:15" x14ac:dyDescent="0.25">
      <c r="B58" s="16">
        <v>299.0</v>
      </c>
      <c r="C58" s="17">
        <v>123.0</v>
      </c>
      <c r="D58" s="17">
        <v>87.0</v>
      </c>
      <c r="E58" s="17">
        <v>530.0</v>
      </c>
      <c r="F58" s="17">
        <v>141.0</v>
      </c>
      <c r="G58" s="17">
        <v>125.0</v>
      </c>
      <c r="H58" s="17">
        <v>109.0</v>
      </c>
      <c r="I58" s="17">
        <v>9.0</v>
      </c>
      <c r="J58" s="18">
        <v>31.0</v>
      </c>
    </row>
    <row r="59" spans="2:15" x14ac:dyDescent="0.25">
      <c r="B59" s="16">
        <v>309.0</v>
      </c>
      <c r="C59" s="17">
        <v>92.0</v>
      </c>
      <c r="D59" s="17">
        <v>87.0</v>
      </c>
      <c r="E59" s="17">
        <v>515.0</v>
      </c>
      <c r="F59" s="17">
        <v>172.0</v>
      </c>
      <c r="G59" s="17">
        <v>141.0</v>
      </c>
      <c r="H59" s="17">
        <v>109.0</v>
      </c>
      <c r="I59" s="17">
        <v>9.0</v>
      </c>
      <c r="J59" s="18">
        <v>31.0</v>
      </c>
    </row>
    <row r="60" spans="2:15" x14ac:dyDescent="0.25">
      <c r="B60" s="16">
        <v>316.0</v>
      </c>
      <c r="C60" s="17">
        <v>90.0</v>
      </c>
      <c r="D60" s="17">
        <v>86.0</v>
      </c>
      <c r="E60" s="17">
        <v>515.0</v>
      </c>
      <c r="F60" s="17">
        <v>141.0</v>
      </c>
      <c r="G60" s="17">
        <v>140.0</v>
      </c>
      <c r="H60" s="17">
        <v>111.0</v>
      </c>
      <c r="I60" s="17">
        <v>8.0</v>
      </c>
      <c r="J60" s="18">
        <v>15.0</v>
      </c>
    </row>
  </sheetData>
  <pageMargins bottom="0.75" footer="0.51180555555555496" header="0.51180555555555496" left="0.7" right="0.7" top="0.75"/>
  <pageSetup copies="0" firstPageNumber="0" horizontalDpi="0" orientation="portrait" paperSize="0" scale="0" usePrinterDefaults="0" verticalDpi="0"/>
  <drawing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B1:O56"/>
  <sheetViews>
    <sheetView workbookViewId="0" zoomScaleNormal="100">
      <selection activeCell="B1" sqref="B1"/>
    </sheetView>
  </sheetViews>
  <sheetFormatPr defaultRowHeight="15" x14ac:dyDescent="0.25"/>
  <cols>
    <col max="1" min="1" width="5"/>
    <col max="2" min="2" width="19.85546875"/>
    <col max="3" min="3" width="18.7109375"/>
    <col max="5" min="4" width="22.85546875"/>
    <col max="6" min="6" width="18.7109375"/>
    <col max="7" min="7" width="19.5703125"/>
    <col max="8" min="8" width="19"/>
    <col max="9" min="9" width="21.140625"/>
    <col max="10" min="10" width="24.42578125"/>
    <col max="11" min="11" width="22.5703125"/>
    <col max="12" min="12" width="30.28515625"/>
    <col max="13" min="13" width="25.85546875"/>
    <col max="14" min="14" width="24.5703125"/>
    <col max="15" min="15" width="22.140625"/>
    <col max="1025" min="16" width="8.7109375"/>
  </cols>
  <sheetData>
    <row r="1" spans="2:2" x14ac:dyDescent="0.25">
      <c r="B1" t="s">
        <v>67</v>
      </c>
    </row>
    <row r="37" spans="2:11" x14ac:dyDescent="0.25">
      <c r="B37" s="1" t="s">
        <v>1</v>
      </c>
      <c r="C37" s="2" t="s">
        <v>2</v>
      </c>
      <c r="D37" s="2" t="s">
        <v>3</v>
      </c>
      <c r="E37" s="2" t="s">
        <v>4</v>
      </c>
      <c r="F37" s="2" t="s">
        <v>5</v>
      </c>
      <c r="G37" s="2" t="s">
        <v>6</v>
      </c>
      <c r="H37" s="2" t="s">
        <v>7</v>
      </c>
      <c r="I37" s="2" t="s">
        <v>8</v>
      </c>
      <c r="J37" s="2" t="s">
        <v>9</v>
      </c>
      <c r="K37" s="3" t="s">
        <v>10</v>
      </c>
    </row>
    <row r="38" spans="2:11" x14ac:dyDescent="0.25">
      <c r="B38" s="4" t="s">
        <v>11</v>
      </c>
      <c r="C38" s="5" t="e">
        <f>AVERAGE(Range_0972bf783cf942108b5a1e4361e00bbd) - J38</f>
      </c>
      <c r="D38" s="5" t="e">
        <f>AVERAGE(Range_86888772be52442ca82beb70eed14b12) - J38</f>
      </c>
      <c r="E38" s="5" t="e">
        <f>AVERAGE(Range_f7b62d5b192e40a5a890b95de8fbe3c1) - J38</f>
      </c>
      <c r="F38" s="5" t="e">
        <f>AVERAGE(Range_8fcb46577598495e910cc143cbb91462) - J39</f>
      </c>
      <c r="G38" s="5" t="e">
        <f>AVERAGE(Range_15f39843cf1d4c78a30ed80c4940edc0) - J39</f>
      </c>
      <c r="H38" s="5" t="e">
        <f>AVERAGE(Range_567ffa15f84540c78c43ef8a7b8f623b) - J39</f>
      </c>
      <c r="I38" s="5" t="e">
        <f>AVERAGE(Range_2c40be51275147e19786bc7bf964b86d) - J38</f>
      </c>
      <c r="J38" s="5" t="e">
        <f>AVERAGE(Range_476b31e648354ee085b4a3e201aee0ae)</f>
      </c>
      <c r="K38" s="6" t="e">
        <f>AVERAGE(Range_c0db9af87a6a45aba7f7fb7352a8942a)</f>
      </c>
    </row>
    <row r="39" spans="2:11" x14ac:dyDescent="0.25">
      <c r="B39" s="7" t="s">
        <v>12</v>
      </c>
      <c r="C39" s="8" t="e">
        <f ref="C39:I39" si="0" t="shared">C40-C38</f>
      </c>
      <c r="D39" s="8" t="e">
        <f si="0" t="shared"/>
      </c>
      <c r="E39" s="8" t="e">
        <f si="0" t="shared"/>
      </c>
      <c r="F39" s="8" t="e">
        <f si="0" t="shared"/>
      </c>
      <c r="G39" s="8" t="e">
        <f si="0" t="shared"/>
      </c>
      <c r="H39" s="8" t="e">
        <f si="0" t="shared"/>
      </c>
      <c r="I39" s="8" t="e">
        <f si="0" t="shared"/>
      </c>
      <c r="J39" s="8"/>
      <c r="K39" s="9"/>
    </row>
    <row r="40" spans="2:11" x14ac:dyDescent="0.25">
      <c r="B40" s="4" t="s">
        <v>13</v>
      </c>
      <c r="C40" s="5" t="e">
        <f>AVERAGE(Range_d8e84a9b9adc46579c571a7f5ed65d31) - J38</f>
      </c>
      <c r="D40" s="5" t="e">
        <f>AVERAGE(Range_16564add02df4948a81d61df7fbcc8c2) - J38</f>
      </c>
      <c r="E40" s="5" t="e">
        <f>AVERAGE(Range_d77e44e73bcc41c2b3c729dadaaf0fe6) - J38</f>
      </c>
      <c r="F40" s="5" t="e">
        <f>AVERAGE(Range_47340d1863624f2d87d93efb952c21ce) - J39</f>
      </c>
      <c r="G40" s="5" t="e">
        <f>AVERAGE(Range_9184e9c841cf48c39890530c20d67533) - J39</f>
      </c>
      <c r="H40" s="5" t="e">
        <f>AVERAGE(Range_fbd6da3073304ce2a9b45e427b0ff94e) - J39</f>
      </c>
      <c r="I40" s="5" t="e">
        <f>AVERAGE(Range_264189a3d5734441b7b75e90bbad5241) - J38</f>
      </c>
      <c r="J40" s="5"/>
      <c r="K40" s="6"/>
    </row>
    <row r="41" spans="2:11" x14ac:dyDescent="0.25">
      <c r="B41" s="10" t="s">
        <v>14</v>
      </c>
      <c r="C41" s="11" t="e">
        <f>AVERAGE(Range_dbde025f1fe748bd9923e4ddf3a4aacd)</f>
      </c>
      <c r="D41" s="11" t="e">
        <f>AVERAGE(Range_7dab3b0e0a5c43819e348c36b2029145)</f>
      </c>
      <c r="E41" s="11" t="e">
        <f>AVERAGE(Range_d81bc8aa6286468282d9a8dcc4671cf7)</f>
      </c>
      <c r="F41" s="11" t="e">
        <f>AVERAGE(Range_25eeaa846b134b178940b7ef09e16dbd)</f>
      </c>
      <c r="G41" s="11" t="e">
        <f>AVERAGE(Range_bb3265c4b44a4034a7b4121a702f190f)</f>
      </c>
      <c r="H41" s="11" t="e">
        <f>AVERAGE(Range_bc4b490ec1424bf19b6d08a119d58a25)</f>
      </c>
      <c r="I41" s="11" t="e">
        <f>AVERAGE(Range_7d37c2df6e544471b1ffe25d74634641)</f>
      </c>
      <c r="J41" s="12"/>
      <c r="K41" s="13"/>
    </row>
    <row r="42" spans="2:11" x14ac:dyDescent="0.25">
      <c r="C42" s="14"/>
      <c r="D42" s="14"/>
      <c r="E42" s="14"/>
      <c r="F42" s="14"/>
      <c r="G42" s="14"/>
      <c r="H42" s="14"/>
      <c r="I42" s="14"/>
    </row>
    <row r="45" spans="2:11" x14ac:dyDescent="0.25">
      <c r="B45" s="1" t="s">
        <v>15</v>
      </c>
      <c r="C45" s="2" t="s">
        <v>2</v>
      </c>
      <c r="D45" s="2" t="s">
        <v>3</v>
      </c>
      <c r="E45" s="2" t="s">
        <v>4</v>
      </c>
      <c r="F45" s="2" t="s">
        <v>5</v>
      </c>
      <c r="G45" s="2" t="s">
        <v>6</v>
      </c>
      <c r="H45" s="2" t="s">
        <v>7</v>
      </c>
      <c r="I45" s="3" t="s">
        <v>8</v>
      </c>
    </row>
    <row r="46" spans="2:11" x14ac:dyDescent="0.25">
      <c r="B46" s="4" t="s">
        <v>11</v>
      </c>
      <c r="C46" s="5" t="e">
        <f>DEVSQ(Range_0972bf783cf942108b5a1e4361e00bbd)</f>
      </c>
      <c r="D46" s="5" t="e">
        <f>DEVSQ(Range_86888772be52442ca82beb70eed14b12)</f>
      </c>
      <c r="E46" s="5" t="e">
        <f>DEVSQ(Range_f7b62d5b192e40a5a890b95de8fbe3c1)</f>
      </c>
      <c r="F46" s="5" t="e">
        <f>DEVSQ(Range_8fcb46577598495e910cc143cbb91462)</f>
      </c>
      <c r="G46" s="5" t="e">
        <f>DEVSQ(Range_15f39843cf1d4c78a30ed80c4940edc0)</f>
      </c>
      <c r="H46" s="5" t="e">
        <f>DEVSQ(Range_567ffa15f84540c78c43ef8a7b8f623b)</f>
      </c>
      <c r="I46" s="6" t="e">
        <f>DEVSQ(Range_2c40be51275147e19786bc7bf964b86d)</f>
      </c>
    </row>
    <row r="47" spans="2:11" x14ac:dyDescent="0.25">
      <c r="B47" s="10" t="s">
        <v>13</v>
      </c>
      <c r="C47" s="12" t="e">
        <f>DEVSQ(Range_d8e84a9b9adc46579c571a7f5ed65d31)</f>
      </c>
      <c r="D47" s="12" t="e">
        <f>DEVSQ(Range_16564add02df4948a81d61df7fbcc8c2)</f>
      </c>
      <c r="E47" s="12" t="e">
        <f>DEVSQ(Range_d77e44e73bcc41c2b3c729dadaaf0fe6)</f>
      </c>
      <c r="F47" s="12" t="e">
        <f>DEVSQ(Range_47340d1863624f2d87d93efb952c21ce)</f>
      </c>
      <c r="G47" s="12" t="e">
        <f>DEVSQ(Range_9184e9c841cf48c39890530c20d67533)</f>
      </c>
      <c r="H47" s="12" t="e">
        <f>DEVSQ(Range_fbd6da3073304ce2a9b45e427b0ff94e)</f>
      </c>
      <c r="I47" s="13" t="e">
        <f>DEVSQ(Range_264189a3d5734441b7b75e90bbad5241)</f>
      </c>
    </row>
    <row r="48" spans="2:11" x14ac:dyDescent="0.25">
      <c r="C48" s="14"/>
      <c r="D48" s="14"/>
      <c r="E48" s="14"/>
      <c r="F48" s="14"/>
      <c r="G48" s="14"/>
    </row>
    <row r="50" spans="2:15" x14ac:dyDescent="0.25">
      <c r="B50" s="15" t="s">
        <v>16</v>
      </c>
    </row>
    <row r="51" spans="2:15" x14ac:dyDescent="0.25">
      <c r="B51" s="1" t="s">
        <v>17</v>
      </c>
      <c r="C51" s="2" t="s">
        <v>18</v>
      </c>
      <c r="D51" s="2" t="s">
        <v>19</v>
      </c>
      <c r="E51" s="2" t="s">
        <v>20</v>
      </c>
      <c r="F51" s="2" t="s">
        <v>21</v>
      </c>
      <c r="G51" s="2" t="s">
        <v>22</v>
      </c>
      <c r="H51" s="2" t="s">
        <v>23</v>
      </c>
      <c r="I51" s="2" t="s">
        <v>24</v>
      </c>
      <c r="J51" s="2" t="s">
        <v>25</v>
      </c>
      <c r="K51" s="2" t="s">
        <v>26</v>
      </c>
      <c r="L51" s="2" t="s">
        <v>27</v>
      </c>
      <c r="M51" s="2" t="s">
        <v>28</v>
      </c>
      <c r="N51" s="2" t="s">
        <v>29</v>
      </c>
      <c r="O51" s="3" t="s">
        <v>30</v>
      </c>
    </row>
    <row r="52" spans="2:15" x14ac:dyDescent="0.25">
      <c r="B52" s="16">
        <v>728.0</v>
      </c>
      <c r="C52" s="17">
        <v>1.8786512E7</v>
      </c>
      <c r="D52" s="17">
        <v>294.0</v>
      </c>
      <c r="E52" s="17">
        <v>2.3399332E7</v>
      </c>
      <c r="F52" s="17">
        <v>278.0</v>
      </c>
      <c r="G52" s="17">
        <v>1.8939843E7</v>
      </c>
      <c r="H52" s="17">
        <v>499.0</v>
      </c>
      <c r="I52" s="17">
        <v>1.8541254E7</v>
      </c>
      <c r="J52" s="17">
        <v>218.0</v>
      </c>
      <c r="K52" s="17">
        <v>2.2999332E7</v>
      </c>
      <c r="L52" s="17">
        <v>218.0</v>
      </c>
      <c r="M52" s="17">
        <v>1.8539843E7</v>
      </c>
      <c r="N52" s="17">
        <v>227.0</v>
      </c>
      <c r="O52" s="18">
        <v>7506385.0</v>
      </c>
    </row>
    <row r="53" spans="2:15" x14ac:dyDescent="0.25">
      <c r="B53" s="16">
        <v>703.0</v>
      </c>
      <c r="C53" s="17">
        <v>1.8786512E7</v>
      </c>
      <c r="D53" s="17">
        <v>294.0</v>
      </c>
      <c r="E53" s="17">
        <v>2.3399332E7</v>
      </c>
      <c r="F53" s="17">
        <v>278.0</v>
      </c>
      <c r="G53" s="17">
        <v>1.8939843E7</v>
      </c>
      <c r="H53" s="17">
        <v>500.0</v>
      </c>
      <c r="I53" s="17">
        <v>1.8541254E7</v>
      </c>
      <c r="J53" s="17">
        <v>250.0</v>
      </c>
      <c r="K53" s="17">
        <v>2.2999332E7</v>
      </c>
      <c r="L53" s="17">
        <v>218.0</v>
      </c>
      <c r="M53" s="17">
        <v>1.8539843E7</v>
      </c>
      <c r="N53" s="17">
        <v>229.0</v>
      </c>
      <c r="O53" s="18">
        <v>7506385.0</v>
      </c>
    </row>
    <row r="54" spans="2:15" x14ac:dyDescent="0.25">
      <c r="B54" s="16">
        <v>718.0</v>
      </c>
      <c r="C54" s="17">
        <v>1.8786512E7</v>
      </c>
      <c r="D54" s="17">
        <v>289.0</v>
      </c>
      <c r="E54" s="17">
        <v>2.3399332E7</v>
      </c>
      <c r="F54" s="17">
        <v>281.0</v>
      </c>
      <c r="G54" s="17">
        <v>1.8939843E7</v>
      </c>
      <c r="H54" s="17">
        <v>515.0</v>
      </c>
      <c r="I54" s="17">
        <v>1.8541254E7</v>
      </c>
      <c r="J54" s="17">
        <v>203.0</v>
      </c>
      <c r="K54" s="17">
        <v>2.2999332E7</v>
      </c>
      <c r="L54" s="17">
        <v>203.0</v>
      </c>
      <c r="M54" s="17">
        <v>1.8539843E7</v>
      </c>
      <c r="N54" s="17">
        <v>227.0</v>
      </c>
      <c r="O54" s="18">
        <v>7506385.0</v>
      </c>
    </row>
    <row r="55" spans="2:15" x14ac:dyDescent="0.25"/>
    <row r="56" spans="2:15" x14ac:dyDescent="0.25">
      <c r="B56" s="15" t="s">
        <v>45</v>
      </c>
      <c r="C56"/>
      <c r="D56"/>
      <c r="E56"/>
      <c r="F56"/>
      <c r="G56"/>
      <c r="H56"/>
      <c r="I56"/>
      <c r="J56"/>
      <c r="K56"/>
      <c r="L56"/>
      <c r="M56"/>
      <c r="N56"/>
      <c r="O56"/>
    </row>
    <row r="57" spans="2:15" x14ac:dyDescent="0.25">
      <c r="B57" s="1" t="s">
        <v>17</v>
      </c>
      <c r="C57" s="2" t="s">
        <v>19</v>
      </c>
      <c r="D57" s="2" t="s">
        <v>21</v>
      </c>
      <c r="E57" s="2" t="s">
        <v>23</v>
      </c>
      <c r="F57" s="2" t="s">
        <v>25</v>
      </c>
      <c r="G57" s="2" t="s">
        <v>27</v>
      </c>
      <c r="H57" s="2" t="s">
        <v>29</v>
      </c>
      <c r="I57" s="2" t="s">
        <v>9</v>
      </c>
      <c r="J57" s="3" t="s">
        <v>10</v>
      </c>
      <c r="K57"/>
      <c r="L57"/>
      <c r="M57"/>
      <c r="N57"/>
      <c r="O57"/>
    </row>
    <row r="58" spans="2:15" x14ac:dyDescent="0.25">
      <c r="B58" s="16">
        <v>1877.0</v>
      </c>
      <c r="C58" s="17">
        <v>672.0</v>
      </c>
      <c r="D58" s="17">
        <v>636.0</v>
      </c>
      <c r="E58" s="17">
        <v>1358.0</v>
      </c>
      <c r="F58" s="17">
        <v>452.0</v>
      </c>
      <c r="G58" s="17">
        <v>437.0</v>
      </c>
      <c r="H58" s="17">
        <v>445.0</v>
      </c>
      <c r="I58" s="17">
        <v>73.0</v>
      </c>
      <c r="J58" s="18">
        <v>78.0</v>
      </c>
    </row>
    <row r="59" spans="2:15" x14ac:dyDescent="0.25">
      <c r="B59" s="16">
        <v>1916.0</v>
      </c>
      <c r="C59" s="17">
        <v>674.0</v>
      </c>
      <c r="D59" s="17">
        <v>639.0</v>
      </c>
      <c r="E59" s="17">
        <v>1233.0</v>
      </c>
      <c r="F59" s="17">
        <v>437.0</v>
      </c>
      <c r="G59" s="17">
        <v>421.0</v>
      </c>
      <c r="H59" s="17">
        <v>436.0</v>
      </c>
      <c r="I59" s="17">
        <v>73.0</v>
      </c>
      <c r="J59" s="18">
        <v>78.0</v>
      </c>
    </row>
    <row r="60" spans="2:15" x14ac:dyDescent="0.25">
      <c r="B60" s="16">
        <v>1702.0</v>
      </c>
      <c r="C60" s="17">
        <v>674.0</v>
      </c>
      <c r="D60" s="17">
        <v>729.0</v>
      </c>
      <c r="E60" s="17">
        <v>1294.0</v>
      </c>
      <c r="F60" s="17">
        <v>468.0</v>
      </c>
      <c r="G60" s="17">
        <v>437.0</v>
      </c>
      <c r="H60" s="17">
        <v>445.0</v>
      </c>
      <c r="I60" s="17">
        <v>74.0</v>
      </c>
      <c r="J60" s="18">
        <v>78.0</v>
      </c>
    </row>
  </sheetData>
  <pageMargins bottom="0.75" footer="0.51180555555555496" header="0.51180555555555496" left="0.7" right="0.7" top="0.75"/>
  <pageSetup copies="0" firstPageNumber="0" horizontalDpi="0" orientation="portrait" paperSize="0" scale="0" usePrinterDefaults="0" verticalDpi="0"/>
  <drawing r:id="rId1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B1:O56"/>
  <sheetViews>
    <sheetView workbookViewId="0" zoomScaleNormal="100">
      <selection activeCell="B1" sqref="B1"/>
    </sheetView>
  </sheetViews>
  <sheetFormatPr defaultRowHeight="15" x14ac:dyDescent="0.25"/>
  <cols>
    <col max="1" min="1" width="5"/>
    <col max="2" min="2" width="19.85546875"/>
    <col max="3" min="3" width="18.7109375"/>
    <col max="5" min="4" width="22.85546875"/>
    <col max="6" min="6" width="18.7109375"/>
    <col max="7" min="7" width="19.5703125"/>
    <col max="8" min="8" width="19"/>
    <col max="9" min="9" width="21.140625"/>
    <col max="10" min="10" width="24.42578125"/>
    <col max="11" min="11" width="22.5703125"/>
    <col max="12" min="12" width="30.28515625"/>
    <col max="13" min="13" width="25.85546875"/>
    <col max="14" min="14" width="24.5703125"/>
    <col max="15" min="15" width="22.140625"/>
    <col max="1025" min="16" width="8.7109375"/>
  </cols>
  <sheetData>
    <row r="1" spans="2:2" x14ac:dyDescent="0.25">
      <c r="B1" t="s">
        <v>68</v>
      </c>
    </row>
    <row r="37" spans="2:11" x14ac:dyDescent="0.25">
      <c r="B37" s="1" t="s">
        <v>1</v>
      </c>
      <c r="C37" s="2" t="s">
        <v>2</v>
      </c>
      <c r="D37" s="2" t="s">
        <v>3</v>
      </c>
      <c r="E37" s="2" t="s">
        <v>4</v>
      </c>
      <c r="F37" s="2" t="s">
        <v>5</v>
      </c>
      <c r="G37" s="2" t="s">
        <v>6</v>
      </c>
      <c r="H37" s="2" t="s">
        <v>7</v>
      </c>
      <c r="I37" s="2" t="s">
        <v>8</v>
      </c>
      <c r="J37" s="2" t="s">
        <v>9</v>
      </c>
      <c r="K37" s="3" t="s">
        <v>10</v>
      </c>
    </row>
    <row r="38" spans="2:11" x14ac:dyDescent="0.25">
      <c r="B38" s="4" t="s">
        <v>11</v>
      </c>
      <c r="C38" s="5" t="e">
        <f>AVERAGE(Range_d5a28c7b10fd4e4b89d835a2b9ad7dbe) - J38</f>
      </c>
      <c r="D38" s="5" t="e">
        <f>AVERAGE(Range_167b23707da547cbb692c6b000a10f1c) - J38</f>
      </c>
      <c r="E38" s="5" t="e">
        <f>AVERAGE(Range_68cbacb240d042a09397f6851c3fcc33) - J38</f>
      </c>
      <c r="F38" s="5" t="e">
        <f>AVERAGE(Range_f54b0311f61b4273a91ca4b3ebba957c) - J39</f>
      </c>
      <c r="G38" s="5" t="e">
        <f>AVERAGE(Range_77c74a135dab479cbbd2ad3d6244c2a0) - J39</f>
      </c>
      <c r="H38" s="5" t="e">
        <f>AVERAGE(Range_9f8d502c0282439fa4a208c17e961bb8) - J39</f>
      </c>
      <c r="I38" s="5" t="e">
        <f>AVERAGE(Range_c49b7e2009fa4a95b07748ea2f84eda3) - J38</f>
      </c>
      <c r="J38" s="5" t="e">
        <f>AVERAGE(Range_3679811d248646b88263fbcac25f82bb)</f>
      </c>
      <c r="K38" s="6" t="e">
        <f>AVERAGE(Range_27aa0cdccdde43c4920c412a232b117d)</f>
      </c>
    </row>
    <row r="39" spans="2:11" x14ac:dyDescent="0.25">
      <c r="B39" s="7" t="s">
        <v>12</v>
      </c>
      <c r="C39" s="8" t="e">
        <f ref="C39:I39" si="0" t="shared">C40-C38</f>
      </c>
      <c r="D39" s="8" t="e">
        <f si="0" t="shared"/>
      </c>
      <c r="E39" s="8" t="e">
        <f si="0" t="shared"/>
      </c>
      <c r="F39" s="8" t="e">
        <f si="0" t="shared"/>
      </c>
      <c r="G39" s="8" t="e">
        <f si="0" t="shared"/>
      </c>
      <c r="H39" s="8" t="e">
        <f si="0" t="shared"/>
      </c>
      <c r="I39" s="8" t="e">
        <f si="0" t="shared"/>
      </c>
      <c r="J39" s="8"/>
      <c r="K39" s="9"/>
    </row>
    <row r="40" spans="2:11" x14ac:dyDescent="0.25">
      <c r="B40" s="4" t="s">
        <v>13</v>
      </c>
      <c r="C40" s="5" t="e">
        <f>AVERAGE(Range_0116a9f9718a4479ac31dce51deb497f) - J38</f>
      </c>
      <c r="D40" s="5" t="e">
        <f>AVERAGE(Range_90a80a6b2aa445ea921f5c4ddc228594) - J38</f>
      </c>
      <c r="E40" s="5" t="e">
        <f>AVERAGE(Range_d468a3ba5a754cbe9fc791d4b2024273) - J38</f>
      </c>
      <c r="F40" s="5" t="e">
        <f>AVERAGE(Range_dfb79b8a07b1424a84688f7bdf7b3288) - J39</f>
      </c>
      <c r="G40" s="5" t="e">
        <f>AVERAGE(Range_757f396874564fe58f28fa81c8cd9e16) - J39</f>
      </c>
      <c r="H40" s="5" t="e">
        <f>AVERAGE(Range_f8211cbd54524567afb272f8f27d15bd) - J39</f>
      </c>
      <c r="I40" s="5" t="e">
        <f>AVERAGE(Range_3c133e517efc4eb3bd3760afe85b2dd7) - J38</f>
      </c>
      <c r="J40" s="5"/>
      <c r="K40" s="6"/>
    </row>
    <row r="41" spans="2:11" x14ac:dyDescent="0.25">
      <c r="B41" s="10" t="s">
        <v>14</v>
      </c>
      <c r="C41" s="11" t="e">
        <f>AVERAGE(Range_25b8630ef78a46ed991d794c90712038)</f>
      </c>
      <c r="D41" s="11" t="e">
        <f>AVERAGE(Range_7e28c9df2aef499092d3355099d2e01d)</f>
      </c>
      <c r="E41" s="11" t="e">
        <f>AVERAGE(Range_30ecd55d2e764db981538504633a72a5)</f>
      </c>
      <c r="F41" s="11" t="e">
        <f>AVERAGE(Range_6f9d424c4df14408acc64ca20b6a7e46)</f>
      </c>
      <c r="G41" s="11" t="e">
        <f>AVERAGE(Range_b9466a3567034528a2351e84b3821d13)</f>
      </c>
      <c r="H41" s="11" t="e">
        <f>AVERAGE(Range_aee7a73e0ef544f7a28da49ca00285c4)</f>
      </c>
      <c r="I41" s="11" t="e">
        <f>AVERAGE(Range_657c9a6739374afaaccf7fbebb4e8b0c)</f>
      </c>
      <c r="J41" s="12"/>
      <c r="K41" s="13"/>
    </row>
    <row r="42" spans="2:11" x14ac:dyDescent="0.25">
      <c r="C42" s="14"/>
      <c r="D42" s="14"/>
      <c r="E42" s="14"/>
      <c r="F42" s="14"/>
      <c r="G42" s="14"/>
      <c r="H42" s="14"/>
      <c r="I42" s="14"/>
    </row>
    <row r="45" spans="2:11" x14ac:dyDescent="0.25">
      <c r="B45" s="1" t="s">
        <v>15</v>
      </c>
      <c r="C45" s="2" t="s">
        <v>2</v>
      </c>
      <c r="D45" s="2" t="s">
        <v>3</v>
      </c>
      <c r="E45" s="2" t="s">
        <v>4</v>
      </c>
      <c r="F45" s="2" t="s">
        <v>5</v>
      </c>
      <c r="G45" s="2" t="s">
        <v>6</v>
      </c>
      <c r="H45" s="2" t="s">
        <v>7</v>
      </c>
      <c r="I45" s="3" t="s">
        <v>8</v>
      </c>
    </row>
    <row r="46" spans="2:11" x14ac:dyDescent="0.25">
      <c r="B46" s="4" t="s">
        <v>11</v>
      </c>
      <c r="C46" s="5" t="e">
        <f>DEVSQ(Range_d5a28c7b10fd4e4b89d835a2b9ad7dbe)</f>
      </c>
      <c r="D46" s="5" t="e">
        <f>DEVSQ(Range_167b23707da547cbb692c6b000a10f1c)</f>
      </c>
      <c r="E46" s="5" t="e">
        <f>DEVSQ(Range_68cbacb240d042a09397f6851c3fcc33)</f>
      </c>
      <c r="F46" s="5" t="e">
        <f>DEVSQ(Range_f54b0311f61b4273a91ca4b3ebba957c)</f>
      </c>
      <c r="G46" s="5" t="e">
        <f>DEVSQ(Range_77c74a135dab479cbbd2ad3d6244c2a0)</f>
      </c>
      <c r="H46" s="5" t="e">
        <f>DEVSQ(Range_9f8d502c0282439fa4a208c17e961bb8)</f>
      </c>
      <c r="I46" s="6" t="e">
        <f>DEVSQ(Range_c49b7e2009fa4a95b07748ea2f84eda3)</f>
      </c>
    </row>
    <row r="47" spans="2:11" x14ac:dyDescent="0.25">
      <c r="B47" s="10" t="s">
        <v>13</v>
      </c>
      <c r="C47" s="12" t="e">
        <f>DEVSQ(Range_0116a9f9718a4479ac31dce51deb497f)</f>
      </c>
      <c r="D47" s="12" t="e">
        <f>DEVSQ(Range_90a80a6b2aa445ea921f5c4ddc228594)</f>
      </c>
      <c r="E47" s="12" t="e">
        <f>DEVSQ(Range_d468a3ba5a754cbe9fc791d4b2024273)</f>
      </c>
      <c r="F47" s="12" t="e">
        <f>DEVSQ(Range_dfb79b8a07b1424a84688f7bdf7b3288)</f>
      </c>
      <c r="G47" s="12" t="e">
        <f>DEVSQ(Range_757f396874564fe58f28fa81c8cd9e16)</f>
      </c>
      <c r="H47" s="12" t="e">
        <f>DEVSQ(Range_f8211cbd54524567afb272f8f27d15bd)</f>
      </c>
      <c r="I47" s="13" t="e">
        <f>DEVSQ(Range_3c133e517efc4eb3bd3760afe85b2dd7)</f>
      </c>
    </row>
    <row r="48" spans="2:11" x14ac:dyDescent="0.25">
      <c r="C48" s="14"/>
      <c r="D48" s="14"/>
      <c r="E48" s="14"/>
      <c r="F48" s="14"/>
      <c r="G48" s="14"/>
    </row>
    <row r="50" spans="2:15" x14ac:dyDescent="0.25">
      <c r="B50" s="15" t="s">
        <v>16</v>
      </c>
    </row>
    <row r="51" spans="2:15" x14ac:dyDescent="0.25">
      <c r="B51" s="1" t="s">
        <v>17</v>
      </c>
      <c r="C51" s="2" t="s">
        <v>18</v>
      </c>
      <c r="D51" s="2" t="s">
        <v>19</v>
      </c>
      <c r="E51" s="2" t="s">
        <v>20</v>
      </c>
      <c r="F51" s="2" t="s">
        <v>21</v>
      </c>
      <c r="G51" s="2" t="s">
        <v>22</v>
      </c>
      <c r="H51" s="2" t="s">
        <v>23</v>
      </c>
      <c r="I51" s="2" t="s">
        <v>24</v>
      </c>
      <c r="J51" s="2" t="s">
        <v>25</v>
      </c>
      <c r="K51" s="2" t="s">
        <v>26</v>
      </c>
      <c r="L51" s="2" t="s">
        <v>27</v>
      </c>
      <c r="M51" s="2" t="s">
        <v>28</v>
      </c>
      <c r="N51" s="2" t="s">
        <v>29</v>
      </c>
      <c r="O51" s="3" t="s">
        <v>30</v>
      </c>
    </row>
    <row r="52" spans="2:15" x14ac:dyDescent="0.25">
      <c r="B52" s="16">
        <v>6234.0</v>
      </c>
      <c r="C52" s="17">
        <v>1.96941225E8</v>
      </c>
      <c r="D52" s="17">
        <v>2824.0</v>
      </c>
      <c r="E52" s="17">
        <v>2.43056893E8</v>
      </c>
      <c r="F52" s="17">
        <v>2713.0</v>
      </c>
      <c r="G52" s="17">
        <v>1.98474556E8</v>
      </c>
      <c r="H52" s="17">
        <v>1997.0</v>
      </c>
      <c r="I52" s="17">
        <v>1.94475967E8</v>
      </c>
      <c r="J52" s="17">
        <v>998.0</v>
      </c>
      <c r="K52" s="17">
        <v>2.39056893E8</v>
      </c>
      <c r="L52" s="17">
        <v>967.0</v>
      </c>
      <c r="M52" s="17">
        <v>1.94474556E8</v>
      </c>
      <c r="N52" s="17">
        <v>1694.0</v>
      </c>
      <c r="O52" s="18">
        <v>7.924472E7</v>
      </c>
    </row>
    <row r="53" spans="2:15" x14ac:dyDescent="0.25">
      <c r="B53" s="16">
        <v>6632.0</v>
      </c>
      <c r="C53" s="17">
        <v>1.96941225E8</v>
      </c>
      <c r="D53" s="17">
        <v>2827.0</v>
      </c>
      <c r="E53" s="17">
        <v>2.43056893E8</v>
      </c>
      <c r="F53" s="17">
        <v>2715.0</v>
      </c>
      <c r="G53" s="17">
        <v>1.98474556E8</v>
      </c>
      <c r="H53" s="17">
        <v>2028.0</v>
      </c>
      <c r="I53" s="17">
        <v>1.94475967E8</v>
      </c>
      <c r="J53" s="17">
        <v>998.0</v>
      </c>
      <c r="K53" s="17">
        <v>2.39056893E8</v>
      </c>
      <c r="L53" s="17">
        <v>967.0</v>
      </c>
      <c r="M53" s="17">
        <v>1.94474556E8</v>
      </c>
      <c r="N53" s="17">
        <v>1703.0</v>
      </c>
      <c r="O53" s="18">
        <v>7.924472E7</v>
      </c>
    </row>
    <row r="54" spans="2:15" x14ac:dyDescent="0.25">
      <c r="B54" s="16">
        <v>6564.0</v>
      </c>
      <c r="C54" s="17">
        <v>1.96941225E8</v>
      </c>
      <c r="D54" s="17">
        <v>2826.0</v>
      </c>
      <c r="E54" s="17">
        <v>2.43056893E8</v>
      </c>
      <c r="F54" s="17">
        <v>3331.0</v>
      </c>
      <c r="G54" s="17">
        <v>1.98474556E8</v>
      </c>
      <c r="H54" s="17">
        <v>1950.0</v>
      </c>
      <c r="I54" s="17">
        <v>1.94475967E8</v>
      </c>
      <c r="J54" s="17">
        <v>998.0</v>
      </c>
      <c r="K54" s="17">
        <v>2.39056893E8</v>
      </c>
      <c r="L54" s="17">
        <v>967.0</v>
      </c>
      <c r="M54" s="17">
        <v>1.94474556E8</v>
      </c>
      <c r="N54" s="17">
        <v>2188.0</v>
      </c>
      <c r="O54" s="18">
        <v>7.924472E7</v>
      </c>
    </row>
    <row r="55" spans="2:15" x14ac:dyDescent="0.25"/>
    <row r="56" spans="2:15" x14ac:dyDescent="0.25">
      <c r="B56" s="15" t="s">
        <v>45</v>
      </c>
      <c r="C56"/>
      <c r="D56"/>
      <c r="E56"/>
      <c r="F56"/>
      <c r="G56"/>
      <c r="H56"/>
      <c r="I56"/>
      <c r="J56"/>
      <c r="K56"/>
      <c r="L56"/>
      <c r="M56"/>
      <c r="N56"/>
      <c r="O56"/>
    </row>
    <row r="57" spans="2:15" x14ac:dyDescent="0.25">
      <c r="B57" s="1" t="s">
        <v>17</v>
      </c>
      <c r="C57" s="2" t="s">
        <v>19</v>
      </c>
      <c r="D57" s="2" t="s">
        <v>21</v>
      </c>
      <c r="E57" s="2" t="s">
        <v>23</v>
      </c>
      <c r="F57" s="2" t="s">
        <v>25</v>
      </c>
      <c r="G57" s="2" t="s">
        <v>27</v>
      </c>
      <c r="H57" s="2" t="s">
        <v>29</v>
      </c>
      <c r="I57" s="2" t="s">
        <v>9</v>
      </c>
      <c r="J57" s="3" t="s">
        <v>10</v>
      </c>
      <c r="K57"/>
      <c r="L57"/>
      <c r="M57"/>
      <c r="N57"/>
      <c r="O57"/>
    </row>
    <row r="58" spans="2:15" x14ac:dyDescent="0.25">
      <c r="B58" s="16">
        <v>17129.0</v>
      </c>
      <c r="C58" s="17">
        <v>6635.0</v>
      </c>
      <c r="D58" s="17">
        <v>6289.0</v>
      </c>
      <c r="E58" s="17">
        <v>7223.0</v>
      </c>
      <c r="F58" s="17">
        <v>2043.0</v>
      </c>
      <c r="G58" s="17">
        <v>1919.0</v>
      </c>
      <c r="H58" s="17">
        <v>3727.0</v>
      </c>
      <c r="I58" s="17">
        <v>705.0</v>
      </c>
      <c r="J58" s="18">
        <v>249.0</v>
      </c>
    </row>
    <row r="59" spans="2:15" x14ac:dyDescent="0.25">
      <c r="B59" s="16">
        <v>15821.0</v>
      </c>
      <c r="C59" s="17">
        <v>6559.0</v>
      </c>
      <c r="D59" s="17">
        <v>6207.0</v>
      </c>
      <c r="E59" s="17">
        <v>7301.0</v>
      </c>
      <c r="F59" s="17">
        <v>2090.0</v>
      </c>
      <c r="G59" s="17">
        <v>2012.0</v>
      </c>
      <c r="H59" s="17">
        <v>3811.0</v>
      </c>
      <c r="I59" s="17">
        <v>708.0</v>
      </c>
      <c r="J59" s="18">
        <v>234.0</v>
      </c>
    </row>
    <row r="60" spans="2:15" x14ac:dyDescent="0.25">
      <c r="B60" s="16">
        <v>16815.0</v>
      </c>
      <c r="C60" s="17">
        <v>6713.0</v>
      </c>
      <c r="D60" s="17">
        <v>6206.0</v>
      </c>
      <c r="E60" s="17">
        <v>7270.0</v>
      </c>
      <c r="F60" s="17">
        <v>2028.0</v>
      </c>
      <c r="G60" s="17">
        <v>1903.0</v>
      </c>
      <c r="H60" s="17">
        <v>3735.0</v>
      </c>
      <c r="I60" s="17">
        <v>705.0</v>
      </c>
      <c r="J60" s="18">
        <v>250.0</v>
      </c>
    </row>
  </sheetData>
  <pageMargins bottom="0.75" footer="0.51180555555555496" header="0.51180555555555496" left="0.7" right="0.7" top="0.75"/>
  <pageSetup copies="0" firstPageNumber="0" horizontalDpi="0" orientation="portrait" paperSize="0" scale="0" usePrinterDefaults="0" verticalDpi="0"/>
  <drawing r:id="rId1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B1:O56"/>
  <sheetViews>
    <sheetView workbookViewId="0" zoomScaleNormal="100">
      <selection activeCell="B1" sqref="B1"/>
    </sheetView>
  </sheetViews>
  <sheetFormatPr defaultRowHeight="15" x14ac:dyDescent="0.25"/>
  <cols>
    <col max="1" min="1" width="5"/>
    <col max="2" min="2" width="19.85546875"/>
    <col max="3" min="3" width="18.7109375"/>
    <col max="5" min="4" width="22.85546875"/>
    <col max="6" min="6" width="18.7109375"/>
    <col max="7" min="7" width="19.5703125"/>
    <col max="8" min="8" width="19"/>
    <col max="9" min="9" width="21.140625"/>
    <col max="10" min="10" width="24.42578125"/>
    <col max="11" min="11" width="22.5703125"/>
    <col max="12" min="12" width="30.28515625"/>
    <col max="13" min="13" width="25.85546875"/>
    <col max="14" min="14" width="24.5703125"/>
    <col max="15" min="15" width="22.140625"/>
    <col max="1025" min="16" width="8.7109375"/>
  </cols>
  <sheetData>
    <row r="1" spans="2:2" x14ac:dyDescent="0.25">
      <c r="B1" t="s">
        <v>69</v>
      </c>
    </row>
    <row r="37" spans="2:11" x14ac:dyDescent="0.25">
      <c r="B37" s="1" t="s">
        <v>1</v>
      </c>
      <c r="C37" s="2" t="s">
        <v>2</v>
      </c>
      <c r="D37" s="2" t="s">
        <v>3</v>
      </c>
      <c r="E37" s="2" t="s">
        <v>4</v>
      </c>
      <c r="F37" s="2" t="s">
        <v>5</v>
      </c>
      <c r="G37" s="2" t="s">
        <v>6</v>
      </c>
      <c r="H37" s="2" t="s">
        <v>7</v>
      </c>
      <c r="I37" s="2" t="s">
        <v>8</v>
      </c>
      <c r="J37" s="2" t="s">
        <v>9</v>
      </c>
      <c r="K37" s="3" t="s">
        <v>10</v>
      </c>
    </row>
    <row r="38" spans="2:11" x14ac:dyDescent="0.25">
      <c r="B38" s="4" t="s">
        <v>11</v>
      </c>
      <c r="C38" s="5" t="e">
        <f>AVERAGE(Range_7c7e85b44afd497982ca63ce02113657) - J38</f>
      </c>
      <c r="D38" s="5" t="e">
        <f>AVERAGE(Range_539981fabab144189601bdf1ff9c8911) - J38</f>
      </c>
      <c r="E38" s="5" t="e">
        <f>AVERAGE(Range_9a42d5e2ab0a400492b7a06c15ed72ea) - J38</f>
      </c>
      <c r="F38" s="5" t="e">
        <f>AVERAGE(Range_a9a35c5393314bc3bbd1bc972ede1995) - J39</f>
      </c>
      <c r="G38" s="5" t="e">
        <f>AVERAGE(Range_685ec9c140014ad59fa50a788f1da2f1) - J39</f>
      </c>
      <c r="H38" s="5" t="e">
        <f>AVERAGE(Range_3b0dec97b7304709913a80f465569567) - J39</f>
      </c>
      <c r="I38" s="5" t="e">
        <f>AVERAGE(Range_061b6e7d26664a51aca49380f6dc41ce) - J38</f>
      </c>
      <c r="J38" s="5" t="e">
        <f>AVERAGE(Range_0851aebde4a44dd7adf054d5a962378c)</f>
      </c>
      <c r="K38" s="6" t="e">
        <f>AVERAGE(Range_e69176ba0bde4969b0d71502e1ab6c91)</f>
      </c>
    </row>
    <row r="39" spans="2:11" x14ac:dyDescent="0.25">
      <c r="B39" s="7" t="s">
        <v>12</v>
      </c>
      <c r="C39" s="8" t="e">
        <f ref="C39:I39" si="0" t="shared">C40-C38</f>
      </c>
      <c r="D39" s="8" t="e">
        <f si="0" t="shared"/>
      </c>
      <c r="E39" s="8" t="e">
        <f si="0" t="shared"/>
      </c>
      <c r="F39" s="8" t="e">
        <f si="0" t="shared"/>
      </c>
      <c r="G39" s="8" t="e">
        <f si="0" t="shared"/>
      </c>
      <c r="H39" s="8" t="e">
        <f si="0" t="shared"/>
      </c>
      <c r="I39" s="8" t="e">
        <f si="0" t="shared"/>
      </c>
      <c r="J39" s="8"/>
      <c r="K39" s="9"/>
    </row>
    <row r="40" spans="2:11" x14ac:dyDescent="0.25">
      <c r="B40" s="4" t="s">
        <v>13</v>
      </c>
      <c r="C40" s="5" t="e">
        <f>AVERAGE(Range_608e6ee75cd949a29e95e9f91dee5768) - J38</f>
      </c>
      <c r="D40" s="5" t="e">
        <f>AVERAGE(Range_4d7a8dfe6bc04e37b0e06a566a572993) - J38</f>
      </c>
      <c r="E40" s="5" t="e">
        <f>AVERAGE(Range_2a73710bf2884ea9bfe0e53bfa91d10b) - J38</f>
      </c>
      <c r="F40" s="5" t="e">
        <f>AVERAGE(Range_71622a382c82440eb6d538c4c4dd8866) - J39</f>
      </c>
      <c r="G40" s="5" t="e">
        <f>AVERAGE(Range_6ba1b8cd87824637a7e28de704117385) - J39</f>
      </c>
      <c r="H40" s="5" t="e">
        <f>AVERAGE(Range_f90adedb5cfe45a2bfeaff95a5cfe61c) - J39</f>
      </c>
      <c r="I40" s="5" t="e">
        <f>AVERAGE(Range_8ae93d9d4fea4f06a6c7a020a0ba00d4) - J38</f>
      </c>
      <c r="J40" s="5"/>
      <c r="K40" s="6"/>
    </row>
    <row r="41" spans="2:11" x14ac:dyDescent="0.25">
      <c r="B41" s="10" t="s">
        <v>14</v>
      </c>
      <c r="C41" s="11" t="e">
        <f>AVERAGE(Range_24bc4de67d4440f49c0235112749f723)</f>
      </c>
      <c r="D41" s="11" t="e">
        <f>AVERAGE(Range_670ec74893ff48c6b02aca0785fb473c)</f>
      </c>
      <c r="E41" s="11" t="e">
        <f>AVERAGE(Range_80a6c50c94734eca8ba9b4fe927d5423)</f>
      </c>
      <c r="F41" s="11" t="e">
        <f>AVERAGE(Range_37a3cbde5cd04459aa843fbe9461db9d)</f>
      </c>
      <c r="G41" s="11" t="e">
        <f>AVERAGE(Range_5b14bc0680aa46d8a3995309d6d6c609)</f>
      </c>
      <c r="H41" s="11" t="e">
        <f>AVERAGE(Range_9e3902743d1b46ae859f9860c63cf759)</f>
      </c>
      <c r="I41" s="11" t="e">
        <f>AVERAGE(Range_88b6b6f8d8964487baf7926b885af673)</f>
      </c>
      <c r="J41" s="12"/>
      <c r="K41" s="13"/>
    </row>
    <row r="42" spans="2:11" x14ac:dyDescent="0.25">
      <c r="C42" s="14"/>
      <c r="D42" s="14"/>
      <c r="E42" s="14"/>
      <c r="F42" s="14"/>
      <c r="G42" s="14"/>
      <c r="H42" s="14"/>
      <c r="I42" s="14"/>
    </row>
    <row r="45" spans="2:11" x14ac:dyDescent="0.25">
      <c r="B45" s="1" t="s">
        <v>15</v>
      </c>
      <c r="C45" s="2" t="s">
        <v>2</v>
      </c>
      <c r="D45" s="2" t="s">
        <v>3</v>
      </c>
      <c r="E45" s="2" t="s">
        <v>4</v>
      </c>
      <c r="F45" s="2" t="s">
        <v>5</v>
      </c>
      <c r="G45" s="2" t="s">
        <v>6</v>
      </c>
      <c r="H45" s="2" t="s">
        <v>7</v>
      </c>
      <c r="I45" s="3" t="s">
        <v>8</v>
      </c>
    </row>
    <row r="46" spans="2:11" x14ac:dyDescent="0.25">
      <c r="B46" s="4" t="s">
        <v>11</v>
      </c>
      <c r="C46" s="5" t="e">
        <f>DEVSQ(Range_7c7e85b44afd497982ca63ce02113657)</f>
      </c>
      <c r="D46" s="5" t="e">
        <f>DEVSQ(Range_539981fabab144189601bdf1ff9c8911)</f>
      </c>
      <c r="E46" s="5" t="e">
        <f>DEVSQ(Range_9a42d5e2ab0a400492b7a06c15ed72ea)</f>
      </c>
      <c r="F46" s="5" t="e">
        <f>DEVSQ(Range_a9a35c5393314bc3bbd1bc972ede1995)</f>
      </c>
      <c r="G46" s="5" t="e">
        <f>DEVSQ(Range_685ec9c140014ad59fa50a788f1da2f1)</f>
      </c>
      <c r="H46" s="5" t="e">
        <f>DEVSQ(Range_3b0dec97b7304709913a80f465569567)</f>
      </c>
      <c r="I46" s="6" t="e">
        <f>DEVSQ(Range_061b6e7d26664a51aca49380f6dc41ce)</f>
      </c>
    </row>
    <row r="47" spans="2:11" x14ac:dyDescent="0.25">
      <c r="B47" s="10" t="s">
        <v>13</v>
      </c>
      <c r="C47" s="12" t="e">
        <f>DEVSQ(Range_608e6ee75cd949a29e95e9f91dee5768)</f>
      </c>
      <c r="D47" s="12" t="e">
        <f>DEVSQ(Range_4d7a8dfe6bc04e37b0e06a566a572993)</f>
      </c>
      <c r="E47" s="12" t="e">
        <f>DEVSQ(Range_2a73710bf2884ea9bfe0e53bfa91d10b)</f>
      </c>
      <c r="F47" s="12" t="e">
        <f>DEVSQ(Range_71622a382c82440eb6d538c4c4dd8866)</f>
      </c>
      <c r="G47" s="12" t="e">
        <f>DEVSQ(Range_6ba1b8cd87824637a7e28de704117385)</f>
      </c>
      <c r="H47" s="12" t="e">
        <f>DEVSQ(Range_f90adedb5cfe45a2bfeaff95a5cfe61c)</f>
      </c>
      <c r="I47" s="13" t="e">
        <f>DEVSQ(Range_8ae93d9d4fea4f06a6c7a020a0ba00d4)</f>
      </c>
    </row>
    <row r="48" spans="2:11" x14ac:dyDescent="0.25">
      <c r="C48" s="14"/>
      <c r="D48" s="14"/>
      <c r="E48" s="14"/>
      <c r="F48" s="14"/>
      <c r="G48" s="14"/>
    </row>
    <row r="50" spans="2:15" x14ac:dyDescent="0.25">
      <c r="B50" s="15" t="s">
        <v>16</v>
      </c>
    </row>
    <row r="51" spans="2:15" x14ac:dyDescent="0.25">
      <c r="B51" s="1" t="s">
        <v>17</v>
      </c>
      <c r="C51" s="2" t="s">
        <v>18</v>
      </c>
      <c r="D51" s="2" t="s">
        <v>19</v>
      </c>
      <c r="E51" s="2" t="s">
        <v>20</v>
      </c>
      <c r="F51" s="2" t="s">
        <v>21</v>
      </c>
      <c r="G51" s="2" t="s">
        <v>22</v>
      </c>
      <c r="H51" s="2" t="s">
        <v>23</v>
      </c>
      <c r="I51" s="2" t="s">
        <v>24</v>
      </c>
      <c r="J51" s="2" t="s">
        <v>25</v>
      </c>
      <c r="K51" s="2" t="s">
        <v>26</v>
      </c>
      <c r="L51" s="2" t="s">
        <v>27</v>
      </c>
      <c r="M51" s="2" t="s">
        <v>28</v>
      </c>
      <c r="N51" s="2" t="s">
        <v>29</v>
      </c>
      <c r="O51" s="3" t="s">
        <v>30</v>
      </c>
    </row>
    <row r="52" spans="2:15" x14ac:dyDescent="0.25">
      <c r="B52" s="16">
        <v>2759.0</v>
      </c>
      <c r="C52" s="17">
        <v>1.02068216E8</v>
      </c>
      <c r="D52" s="17">
        <v>1369.0</v>
      </c>
      <c r="E52" s="17">
        <v>1.00367182E8</v>
      </c>
      <c r="F52" s="17">
        <v>1367.0</v>
      </c>
      <c r="G52" s="17">
        <v>9.4448479E7</v>
      </c>
      <c r="H52" s="17">
        <v>796.0</v>
      </c>
      <c r="I52" s="17">
        <v>9.3002714E7</v>
      </c>
      <c r="J52" s="17">
        <v>499.0</v>
      </c>
      <c r="K52" s="17">
        <v>9.8536025E7</v>
      </c>
      <c r="L52" s="17">
        <v>453.0</v>
      </c>
      <c r="M52" s="17">
        <v>8.7101222E7</v>
      </c>
      <c r="N52" s="17">
        <v>942.0</v>
      </c>
      <c r="O52" s="18">
        <v>4.6379642E7</v>
      </c>
    </row>
    <row r="53" spans="2:15" x14ac:dyDescent="0.25">
      <c r="B53" s="16">
        <v>2822.0</v>
      </c>
      <c r="C53" s="17">
        <v>1.02068216E8</v>
      </c>
      <c r="D53" s="17">
        <v>1368.0</v>
      </c>
      <c r="E53" s="17">
        <v>1.00367182E8</v>
      </c>
      <c r="F53" s="17">
        <v>1361.0</v>
      </c>
      <c r="G53" s="17">
        <v>9.4448479E7</v>
      </c>
      <c r="H53" s="17">
        <v>842.0</v>
      </c>
      <c r="I53" s="17">
        <v>9.3002711E7</v>
      </c>
      <c r="J53" s="17">
        <v>499.0</v>
      </c>
      <c r="K53" s="17">
        <v>9.8541305E7</v>
      </c>
      <c r="L53" s="17">
        <v>530.0</v>
      </c>
      <c r="M53" s="17">
        <v>8.7106502E7</v>
      </c>
      <c r="N53" s="17">
        <v>953.0</v>
      </c>
      <c r="O53" s="18">
        <v>4.6379642E7</v>
      </c>
    </row>
    <row r="54" spans="2:15" x14ac:dyDescent="0.25">
      <c r="B54" s="16">
        <v>2797.0</v>
      </c>
      <c r="C54" s="17">
        <v>1.02068216E8</v>
      </c>
      <c r="D54" s="17">
        <v>1376.0</v>
      </c>
      <c r="E54" s="17">
        <v>1.00367182E8</v>
      </c>
      <c r="F54" s="17">
        <v>1360.0</v>
      </c>
      <c r="G54" s="17">
        <v>9.4448479E7</v>
      </c>
      <c r="H54" s="17">
        <v>811.0</v>
      </c>
      <c r="I54" s="17">
        <v>9.3002711E7</v>
      </c>
      <c r="J54" s="17">
        <v>483.0</v>
      </c>
      <c r="K54" s="17">
        <v>9.8534265E7</v>
      </c>
      <c r="L54" s="17">
        <v>484.0</v>
      </c>
      <c r="M54" s="17">
        <v>8.7101222E7</v>
      </c>
      <c r="N54" s="17">
        <v>946.0</v>
      </c>
      <c r="O54" s="18">
        <v>4.6379642E7</v>
      </c>
    </row>
    <row r="55" spans="2:15" x14ac:dyDescent="0.25"/>
    <row r="56" spans="2:15" x14ac:dyDescent="0.25">
      <c r="B56" s="15" t="s">
        <v>45</v>
      </c>
      <c r="C56"/>
      <c r="D56"/>
      <c r="E56"/>
      <c r="F56"/>
      <c r="G56"/>
      <c r="H56"/>
      <c r="I56"/>
      <c r="J56"/>
      <c r="K56"/>
      <c r="L56"/>
      <c r="M56"/>
      <c r="N56"/>
      <c r="O56"/>
    </row>
    <row r="57" spans="2:15" x14ac:dyDescent="0.25">
      <c r="B57" s="1" t="s">
        <v>17</v>
      </c>
      <c r="C57" s="2" t="s">
        <v>19</v>
      </c>
      <c r="D57" s="2" t="s">
        <v>21</v>
      </c>
      <c r="E57" s="2" t="s">
        <v>23</v>
      </c>
      <c r="F57" s="2" t="s">
        <v>25</v>
      </c>
      <c r="G57" s="2" t="s">
        <v>27</v>
      </c>
      <c r="H57" s="2" t="s">
        <v>29</v>
      </c>
      <c r="I57" s="2" t="s">
        <v>9</v>
      </c>
      <c r="J57" s="3" t="s">
        <v>10</v>
      </c>
      <c r="K57"/>
      <c r="L57"/>
      <c r="M57"/>
      <c r="N57"/>
      <c r="O57"/>
    </row>
    <row r="58" spans="2:15" x14ac:dyDescent="0.25">
      <c r="B58" s="16">
        <v>6839.0</v>
      </c>
      <c r="C58" s="17">
        <v>2261.0</v>
      </c>
      <c r="D58" s="17">
        <v>2213.0</v>
      </c>
      <c r="E58" s="17">
        <v>2949.0</v>
      </c>
      <c r="F58" s="17">
        <v>920.0</v>
      </c>
      <c r="G58" s="17">
        <v>858.0</v>
      </c>
      <c r="H58" s="17">
        <v>1873.0</v>
      </c>
      <c r="I58" s="17">
        <v>628.0</v>
      </c>
      <c r="J58" s="18">
        <v>203.0</v>
      </c>
    </row>
    <row r="59" spans="2:15" x14ac:dyDescent="0.25">
      <c r="B59" s="16">
        <v>7249.0</v>
      </c>
      <c r="C59" s="17">
        <v>2270.0</v>
      </c>
      <c r="D59" s="17">
        <v>2211.0</v>
      </c>
      <c r="E59" s="17">
        <v>2995.0</v>
      </c>
      <c r="F59" s="17">
        <v>827.0</v>
      </c>
      <c r="G59" s="17">
        <v>826.0</v>
      </c>
      <c r="H59" s="17">
        <v>1866.0</v>
      </c>
      <c r="I59" s="17">
        <v>639.0</v>
      </c>
      <c r="J59" s="18">
        <v>234.0</v>
      </c>
    </row>
    <row r="60" spans="2:15" x14ac:dyDescent="0.25">
      <c r="B60" s="16">
        <v>7628.0</v>
      </c>
      <c r="C60" s="17">
        <v>2255.0</v>
      </c>
      <c r="D60" s="17">
        <v>2210.0</v>
      </c>
      <c r="E60" s="17">
        <v>2964.0</v>
      </c>
      <c r="F60" s="17">
        <v>936.0</v>
      </c>
      <c r="G60" s="17">
        <v>780.0</v>
      </c>
      <c r="H60" s="17">
        <v>1867.0</v>
      </c>
      <c r="I60" s="17">
        <v>624.0</v>
      </c>
      <c r="J60" s="18">
        <v>234.0</v>
      </c>
    </row>
  </sheetData>
  <pageMargins bottom="0.75" footer="0.51180555555555496" header="0.51180555555555496" left="0.7" right="0.7" top="0.75"/>
  <pageSetup copies="0" firstPageNumber="0" horizontalDpi="0" orientation="portrait" paperSize="0" scale="0" usePrinterDefaults="0" verticalDpi="0"/>
  <drawing r:id="rId1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B1:O56"/>
  <sheetViews>
    <sheetView workbookViewId="0" zoomScaleNormal="100">
      <selection activeCell="B1" sqref="B1"/>
    </sheetView>
  </sheetViews>
  <sheetFormatPr defaultRowHeight="15" x14ac:dyDescent="0.25"/>
  <cols>
    <col max="1" min="1" width="5"/>
    <col max="2" min="2" width="19.85546875"/>
    <col max="3" min="3" width="18.7109375"/>
    <col max="5" min="4" width="22.85546875"/>
    <col max="6" min="6" width="18.7109375"/>
    <col max="7" min="7" width="19.5703125"/>
    <col max="8" min="8" width="19"/>
    <col max="9" min="9" width="21.140625"/>
    <col max="10" min="10" width="24.42578125"/>
    <col max="11" min="11" width="22.5703125"/>
    <col max="12" min="12" width="30.28515625"/>
    <col max="13" min="13" width="25.85546875"/>
    <col max="14" min="14" width="24.5703125"/>
    <col max="15" min="15" width="22.140625"/>
    <col max="1025" min="16" width="8.7109375"/>
  </cols>
  <sheetData>
    <row r="1" spans="2:2" x14ac:dyDescent="0.25">
      <c r="B1" t="s">
        <v>70</v>
      </c>
    </row>
    <row r="37" spans="2:11" x14ac:dyDescent="0.25">
      <c r="B37" s="1" t="s">
        <v>1</v>
      </c>
      <c r="C37" s="2" t="s">
        <v>2</v>
      </c>
      <c r="D37" s="2" t="s">
        <v>3</v>
      </c>
      <c r="E37" s="2" t="s">
        <v>4</v>
      </c>
      <c r="F37" s="2" t="s">
        <v>5</v>
      </c>
      <c r="G37" s="2" t="s">
        <v>6</v>
      </c>
      <c r="H37" s="2" t="s">
        <v>7</v>
      </c>
      <c r="I37" s="2" t="s">
        <v>8</v>
      </c>
      <c r="J37" s="2" t="s">
        <v>9</v>
      </c>
      <c r="K37" s="3" t="s">
        <v>10</v>
      </c>
    </row>
    <row r="38" spans="2:11" x14ac:dyDescent="0.25">
      <c r="B38" s="4" t="s">
        <v>11</v>
      </c>
      <c r="C38" s="5" t="e">
        <f>AVERAGE(Range_6aea0cb3d8d94ab89b2ddf4ff961dd0d) - J38</f>
      </c>
      <c r="D38" s="5" t="e">
        <f>AVERAGE(Range_5ae4777d359b4f00841c562fee991dd7) - J38</f>
      </c>
      <c r="E38" s="5" t="e">
        <f>AVERAGE(Range_7d83c0b5b5ad43d4a0c9ba6d72afe81e) - J38</f>
      </c>
      <c r="F38" s="5" t="e">
        <f>AVERAGE(Range_fb698d240f124f90ae9c7b2524f3b650) - J39</f>
      </c>
      <c r="G38" s="5" t="e">
        <f>AVERAGE(Range_38e085061e0e4daca986d5940011d182) - J39</f>
      </c>
      <c r="H38" s="5" t="e">
        <f>AVERAGE(Range_bab33a914f54434ab7bd320db925a868) - J39</f>
      </c>
      <c r="I38" s="5" t="e">
        <f>AVERAGE(Range_3a3c3accc0ad445089e82b76fea66294) - J38</f>
      </c>
      <c r="J38" s="5" t="e">
        <f>AVERAGE(Range_5d0367620a9b4bcb91b7a63e6d7066e3)</f>
      </c>
      <c r="K38" s="6" t="e">
        <f>AVERAGE(Range_6b08efb4acdb4a8b9a43adf5bcd28f39)</f>
      </c>
    </row>
    <row r="39" spans="2:11" x14ac:dyDescent="0.25">
      <c r="B39" s="7" t="s">
        <v>12</v>
      </c>
      <c r="C39" s="8" t="e">
        <f ref="C39:I39" si="0" t="shared">C40-C38</f>
      </c>
      <c r="D39" s="8" t="e">
        <f si="0" t="shared"/>
      </c>
      <c r="E39" s="8" t="e">
        <f si="0" t="shared"/>
      </c>
      <c r="F39" s="8" t="e">
        <f si="0" t="shared"/>
      </c>
      <c r="G39" s="8" t="e">
        <f si="0" t="shared"/>
      </c>
      <c r="H39" s="8" t="e">
        <f si="0" t="shared"/>
      </c>
      <c r="I39" s="8" t="e">
        <f si="0" t="shared"/>
      </c>
      <c r="J39" s="8"/>
      <c r="K39" s="9"/>
    </row>
    <row r="40" spans="2:11" x14ac:dyDescent="0.25">
      <c r="B40" s="4" t="s">
        <v>13</v>
      </c>
      <c r="C40" s="5" t="e">
        <f>AVERAGE(Range_3d814d011a6647ec9d347179f9b0ecd7) - J38</f>
      </c>
      <c r="D40" s="5" t="e">
        <f>AVERAGE(Range_47fa0ef77463453e81e917585530538a) - J38</f>
      </c>
      <c r="E40" s="5" t="e">
        <f>AVERAGE(Range_7c2b708137034bc7ab34faf3828c898b) - J38</f>
      </c>
      <c r="F40" s="5" t="e">
        <f>AVERAGE(Range_3ed707164bc34a67a0f9ab0c0ec2360a) - J39</f>
      </c>
      <c r="G40" s="5" t="e">
        <f>AVERAGE(Range_034bbd9b23c1472ebe0b8cf870f1bde9) - J39</f>
      </c>
      <c r="H40" s="5" t="e">
        <f>AVERAGE(Range_634a9998fcfd4671a1cd205a8af23fd1) - J39</f>
      </c>
      <c r="I40" s="5" t="e">
        <f>AVERAGE(Range_1ea9afad0f744e75a32acc22c7c06a9b) - J38</f>
      </c>
      <c r="J40" s="5"/>
      <c r="K40" s="6"/>
    </row>
    <row r="41" spans="2:11" x14ac:dyDescent="0.25">
      <c r="B41" s="10" t="s">
        <v>14</v>
      </c>
      <c r="C41" s="11" t="e">
        <f>AVERAGE(Range_c38ce2ae201140328c72d2821056b089)</f>
      </c>
      <c r="D41" s="11" t="e">
        <f>AVERAGE(Range_621df3e61c234c689db8c377f5f7774d)</f>
      </c>
      <c r="E41" s="11" t="e">
        <f>AVERAGE(Range_a5bb69b897264466a02dd40236a813ea)</f>
      </c>
      <c r="F41" s="11" t="e">
        <f>AVERAGE(Range_e3ac1a1d39e44ff58ae0567fa299101a)</f>
      </c>
      <c r="G41" s="11" t="e">
        <f>AVERAGE(Range_498e1cf781754f63beb6730792fb6532)</f>
      </c>
      <c r="H41" s="11" t="e">
        <f>AVERAGE(Range_a81142c03f394a9a89285c9801f054f3)</f>
      </c>
      <c r="I41" s="11" t="e">
        <f>AVERAGE(Range_8c31b53e7e1f45bda8897b26c8e7388a)</f>
      </c>
      <c r="J41" s="12"/>
      <c r="K41" s="13"/>
    </row>
    <row r="42" spans="2:11" x14ac:dyDescent="0.25">
      <c r="C42" s="14"/>
      <c r="D42" s="14"/>
      <c r="E42" s="14"/>
      <c r="F42" s="14"/>
      <c r="G42" s="14"/>
      <c r="H42" s="14"/>
      <c r="I42" s="14"/>
    </row>
    <row r="45" spans="2:11" x14ac:dyDescent="0.25">
      <c r="B45" s="1" t="s">
        <v>15</v>
      </c>
      <c r="C45" s="2" t="s">
        <v>2</v>
      </c>
      <c r="D45" s="2" t="s">
        <v>3</v>
      </c>
      <c r="E45" s="2" t="s">
        <v>4</v>
      </c>
      <c r="F45" s="2" t="s">
        <v>5</v>
      </c>
      <c r="G45" s="2" t="s">
        <v>6</v>
      </c>
      <c r="H45" s="2" t="s">
        <v>7</v>
      </c>
      <c r="I45" s="3" t="s">
        <v>8</v>
      </c>
    </row>
    <row r="46" spans="2:11" x14ac:dyDescent="0.25">
      <c r="B46" s="4" t="s">
        <v>11</v>
      </c>
      <c r="C46" s="5" t="e">
        <f>DEVSQ(Range_6aea0cb3d8d94ab89b2ddf4ff961dd0d)</f>
      </c>
      <c r="D46" s="5" t="e">
        <f>DEVSQ(Range_5ae4777d359b4f00841c562fee991dd7)</f>
      </c>
      <c r="E46" s="5" t="e">
        <f>DEVSQ(Range_7d83c0b5b5ad43d4a0c9ba6d72afe81e)</f>
      </c>
      <c r="F46" s="5" t="e">
        <f>DEVSQ(Range_fb698d240f124f90ae9c7b2524f3b650)</f>
      </c>
      <c r="G46" s="5" t="e">
        <f>DEVSQ(Range_38e085061e0e4daca986d5940011d182)</f>
      </c>
      <c r="H46" s="5" t="e">
        <f>DEVSQ(Range_bab33a914f54434ab7bd320db925a868)</f>
      </c>
      <c r="I46" s="6" t="e">
        <f>DEVSQ(Range_3a3c3accc0ad445089e82b76fea66294)</f>
      </c>
    </row>
    <row r="47" spans="2:11" x14ac:dyDescent="0.25">
      <c r="B47" s="10" t="s">
        <v>13</v>
      </c>
      <c r="C47" s="12" t="e">
        <f>DEVSQ(Range_3d814d011a6647ec9d347179f9b0ecd7)</f>
      </c>
      <c r="D47" s="12" t="e">
        <f>DEVSQ(Range_47fa0ef77463453e81e917585530538a)</f>
      </c>
      <c r="E47" s="12" t="e">
        <f>DEVSQ(Range_7c2b708137034bc7ab34faf3828c898b)</f>
      </c>
      <c r="F47" s="12" t="e">
        <f>DEVSQ(Range_3ed707164bc34a67a0f9ab0c0ec2360a)</f>
      </c>
      <c r="G47" s="12" t="e">
        <f>DEVSQ(Range_034bbd9b23c1472ebe0b8cf870f1bde9)</f>
      </c>
      <c r="H47" s="12" t="e">
        <f>DEVSQ(Range_634a9998fcfd4671a1cd205a8af23fd1)</f>
      </c>
      <c r="I47" s="13" t="e">
        <f>DEVSQ(Range_1ea9afad0f744e75a32acc22c7c06a9b)</f>
      </c>
    </row>
    <row r="48" spans="2:11" x14ac:dyDescent="0.25">
      <c r="C48" s="14"/>
      <c r="D48" s="14"/>
      <c r="E48" s="14"/>
      <c r="F48" s="14"/>
      <c r="G48" s="14"/>
    </row>
    <row r="50" spans="2:15" x14ac:dyDescent="0.25">
      <c r="B50" s="15" t="s">
        <v>16</v>
      </c>
    </row>
    <row r="51" spans="2:15" x14ac:dyDescent="0.25">
      <c r="B51" s="1" t="s">
        <v>17</v>
      </c>
      <c r="C51" s="2" t="s">
        <v>18</v>
      </c>
      <c r="D51" s="2" t="s">
        <v>19</v>
      </c>
      <c r="E51" s="2" t="s">
        <v>20</v>
      </c>
      <c r="F51" s="2" t="s">
        <v>21</v>
      </c>
      <c r="G51" s="2" t="s">
        <v>22</v>
      </c>
      <c r="H51" s="2" t="s">
        <v>23</v>
      </c>
      <c r="I51" s="2" t="s">
        <v>24</v>
      </c>
      <c r="J51" s="2" t="s">
        <v>25</v>
      </c>
      <c r="K51" s="2" t="s">
        <v>26</v>
      </c>
      <c r="L51" s="2" t="s">
        <v>27</v>
      </c>
      <c r="M51" s="2" t="s">
        <v>28</v>
      </c>
      <c r="N51" s="2" t="s">
        <v>29</v>
      </c>
      <c r="O51" s="3" t="s">
        <v>30</v>
      </c>
    </row>
    <row r="52" spans="2:15" x14ac:dyDescent="0.25">
      <c r="B52" s="16">
        <v>27467.0</v>
      </c>
      <c r="C52" s="17">
        <v>1.036016757E9</v>
      </c>
      <c r="D52" s="17">
        <v>14055.0</v>
      </c>
      <c r="E52" s="17">
        <v>1.01900581E9</v>
      </c>
      <c r="F52" s="17">
        <v>13753.0</v>
      </c>
      <c r="G52" s="17">
        <v>9.59819407E8</v>
      </c>
      <c r="H52" s="17">
        <v>6739.0</v>
      </c>
      <c r="I52" s="17">
        <v>9.40324279E8</v>
      </c>
      <c r="J52" s="17">
        <v>3370.0</v>
      </c>
      <c r="K52" s="17">
        <v>9.95639873E8</v>
      </c>
      <c r="L52" s="17">
        <v>3323.0</v>
      </c>
      <c r="M52" s="17">
        <v>8.8134087E8</v>
      </c>
      <c r="N52" s="17">
        <v>9420.0</v>
      </c>
      <c r="O52" s="18">
        <v>4.74011652E8</v>
      </c>
    </row>
    <row r="53" spans="2:15" x14ac:dyDescent="0.25">
      <c r="B53" s="16">
        <v>27466.0</v>
      </c>
      <c r="C53" s="17">
        <v>1.036016757E9</v>
      </c>
      <c r="D53" s="17">
        <v>13944.0</v>
      </c>
      <c r="E53" s="17">
        <v>1.01900581E9</v>
      </c>
      <c r="F53" s="17">
        <v>13765.0</v>
      </c>
      <c r="G53" s="17">
        <v>9.59819407E8</v>
      </c>
      <c r="H53" s="17">
        <v>7160.0</v>
      </c>
      <c r="I53" s="17">
        <v>9.40324279E8</v>
      </c>
      <c r="J53" s="17">
        <v>3338.0</v>
      </c>
      <c r="K53" s="17">
        <v>9.95646473E8</v>
      </c>
      <c r="L53" s="17">
        <v>3338.0</v>
      </c>
      <c r="M53" s="17">
        <v>8.8132107E8</v>
      </c>
      <c r="N53" s="17">
        <v>9432.0</v>
      </c>
      <c r="O53" s="18">
        <v>4.74011652E8</v>
      </c>
    </row>
    <row r="54" spans="2:15" x14ac:dyDescent="0.25">
      <c r="B54" s="16">
        <v>27549.0</v>
      </c>
      <c r="C54" s="17">
        <v>1.036016757E9</v>
      </c>
      <c r="D54" s="17">
        <v>13827.0</v>
      </c>
      <c r="E54" s="17">
        <v>1.01900581E9</v>
      </c>
      <c r="F54" s="17">
        <v>13773.0</v>
      </c>
      <c r="G54" s="17">
        <v>9.59819407E8</v>
      </c>
      <c r="H54" s="17">
        <v>7223.0</v>
      </c>
      <c r="I54" s="17">
        <v>9.40324279E8</v>
      </c>
      <c r="J54" s="17">
        <v>3369.0</v>
      </c>
      <c r="K54" s="17">
        <v>9.95661873E8</v>
      </c>
      <c r="L54" s="17">
        <v>3369.0</v>
      </c>
      <c r="M54" s="17">
        <v>8.8132547E8</v>
      </c>
      <c r="N54" s="17">
        <v>9431.0</v>
      </c>
      <c r="O54" s="18">
        <v>4.74011652E8</v>
      </c>
    </row>
    <row r="55" spans="2:15" x14ac:dyDescent="0.25"/>
    <row r="56" spans="2:15" x14ac:dyDescent="0.25">
      <c r="B56" s="15" t="s">
        <v>45</v>
      </c>
      <c r="C56"/>
      <c r="D56"/>
      <c r="E56"/>
      <c r="F56"/>
      <c r="G56"/>
      <c r="H56"/>
      <c r="I56"/>
      <c r="J56"/>
      <c r="K56"/>
      <c r="L56"/>
      <c r="M56"/>
      <c r="N56"/>
      <c r="O56"/>
    </row>
    <row r="57" spans="2:15" x14ac:dyDescent="0.25">
      <c r="B57" s="1" t="s">
        <v>17</v>
      </c>
      <c r="C57" s="2" t="s">
        <v>19</v>
      </c>
      <c r="D57" s="2" t="s">
        <v>21</v>
      </c>
      <c r="E57" s="2" t="s">
        <v>23</v>
      </c>
      <c r="F57" s="2" t="s">
        <v>25</v>
      </c>
      <c r="G57" s="2" t="s">
        <v>27</v>
      </c>
      <c r="H57" s="2" t="s">
        <v>29</v>
      </c>
      <c r="I57" s="2" t="s">
        <v>9</v>
      </c>
      <c r="J57" s="3" t="s">
        <v>10</v>
      </c>
      <c r="K57"/>
      <c r="L57"/>
      <c r="M57"/>
      <c r="N57"/>
      <c r="O57"/>
    </row>
    <row r="58" spans="2:15" x14ac:dyDescent="0.25">
      <c r="B58" s="16">
        <v>73911.0</v>
      </c>
      <c r="C58" s="17">
        <v>22694.0</v>
      </c>
      <c r="D58" s="17">
        <v>22880.0</v>
      </c>
      <c r="E58" s="17">
        <v>26629.0</v>
      </c>
      <c r="F58" s="17">
        <v>5913.0</v>
      </c>
      <c r="G58" s="17">
        <v>5616.0</v>
      </c>
      <c r="H58" s="17">
        <v>18986.0</v>
      </c>
      <c r="I58" s="17">
        <v>6365.0</v>
      </c>
      <c r="J58" s="18">
        <v>1233.0</v>
      </c>
    </row>
    <row r="59" spans="2:15" x14ac:dyDescent="0.25">
      <c r="B59" s="16">
        <v>72516.0</v>
      </c>
      <c r="C59" s="17">
        <v>22705.0</v>
      </c>
      <c r="D59" s="17">
        <v>22182.0</v>
      </c>
      <c r="E59" s="17">
        <v>26317.0</v>
      </c>
      <c r="F59" s="17">
        <v>5943.0</v>
      </c>
      <c r="G59" s="17">
        <v>5460.0</v>
      </c>
      <c r="H59" s="17">
        <v>18692.0</v>
      </c>
      <c r="I59" s="17">
        <v>6341.0</v>
      </c>
      <c r="J59" s="18">
        <v>1747.0</v>
      </c>
    </row>
    <row r="60" spans="2:15" x14ac:dyDescent="0.25">
      <c r="B60" s="16">
        <v>67853.0</v>
      </c>
      <c r="C60" s="17">
        <v>22740.0</v>
      </c>
      <c r="D60" s="17">
        <v>22380.0</v>
      </c>
      <c r="E60" s="17">
        <v>25740.0</v>
      </c>
      <c r="F60" s="17">
        <v>5975.0</v>
      </c>
      <c r="G60" s="17">
        <v>5491.0</v>
      </c>
      <c r="H60" s="17">
        <v>18976.0</v>
      </c>
      <c r="I60" s="17">
        <v>6452.0</v>
      </c>
      <c r="J60" s="18">
        <v>1264.0</v>
      </c>
    </row>
  </sheetData>
  <pageMargins bottom="0.75" footer="0.51180555555555496" header="0.51180555555555496" left="0.7" right="0.7" top="0.75"/>
  <pageSetup copies="0" firstPageNumber="0" horizontalDpi="0" orientation="portrait" paperSize="0" scale="0" usePrinterDefaults="0" verticalDpi="0"/>
  <drawing r:id="rId1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B1:O56"/>
  <sheetViews>
    <sheetView workbookViewId="0" zoomScaleNormal="100">
      <selection activeCell="B1" sqref="B1"/>
    </sheetView>
  </sheetViews>
  <sheetFormatPr defaultRowHeight="15" x14ac:dyDescent="0.25"/>
  <cols>
    <col max="1" min="1" width="5"/>
    <col max="2" min="2" width="19.85546875"/>
    <col max="3" min="3" width="18.7109375"/>
    <col max="5" min="4" width="22.85546875"/>
    <col max="6" min="6" width="18.7109375"/>
    <col max="7" min="7" width="19.5703125"/>
    <col max="8" min="8" width="19"/>
    <col max="9" min="9" width="21.140625"/>
    <col max="10" min="10" width="24.42578125"/>
    <col max="11" min="11" width="22.5703125"/>
    <col max="12" min="12" width="30.28515625"/>
    <col max="13" min="13" width="25.85546875"/>
    <col max="14" min="14" width="24.5703125"/>
    <col max="15" min="15" width="22.140625"/>
    <col max="1025" min="16" width="8.7109375"/>
  </cols>
  <sheetData>
    <row r="1" spans="2:2" x14ac:dyDescent="0.25">
      <c r="B1" t="s">
        <v>71</v>
      </c>
    </row>
    <row r="37" spans="2:11" x14ac:dyDescent="0.25">
      <c r="B37" s="1" t="s">
        <v>1</v>
      </c>
      <c r="C37" s="2" t="s">
        <v>2</v>
      </c>
      <c r="D37" s="2" t="s">
        <v>3</v>
      </c>
      <c r="E37" s="2" t="s">
        <v>4</v>
      </c>
      <c r="F37" s="2" t="s">
        <v>5</v>
      </c>
      <c r="G37" s="2" t="s">
        <v>6</v>
      </c>
      <c r="H37" s="2" t="s">
        <v>7</v>
      </c>
      <c r="I37" s="2" t="s">
        <v>8</v>
      </c>
      <c r="J37" s="2" t="s">
        <v>9</v>
      </c>
      <c r="K37" s="3" t="s">
        <v>10</v>
      </c>
    </row>
    <row r="38" spans="2:11" x14ac:dyDescent="0.25">
      <c r="B38" s="4" t="s">
        <v>11</v>
      </c>
      <c r="C38" s="5" t="e">
        <f>AVERAGE(Range_1bb58ec1eb7946bd8c29c6b8b4e843a1) - J38</f>
      </c>
      <c r="D38" s="5" t="e">
        <f>AVERAGE(Range_2207a6b00a044987aafc20051114ff62) - J38</f>
      </c>
      <c r="E38" s="5" t="e">
        <f>AVERAGE(Range_5c50353522c44369b1d35805b6181264) - J38</f>
      </c>
      <c r="F38" s="5" t="e">
        <f>AVERAGE(Range_96ae556b5ea24ab880f862dcce3dff85) - J39</f>
      </c>
      <c r="G38" s="5" t="e">
        <f>AVERAGE(Range_d927c1cd8a3e43fb9430ed66e0f6aaf7) - J39</f>
      </c>
      <c r="H38" s="5" t="e">
        <f>AVERAGE(Range_43180d6c8e274da8ad2c6ead5c0dbf2d) - J39</f>
      </c>
      <c r="I38" s="5" t="e">
        <f>AVERAGE(Range_11b45528cd924758a9902f3ecdd69ebc) - J38</f>
      </c>
      <c r="J38" s="5" t="e">
        <f>AVERAGE(Range_7c43249bf8284d68b7f8168374ad44c5)</f>
      </c>
      <c r="K38" s="6" t="e">
        <f>AVERAGE(Range_8fbee1b34b1a4a6a9112bfeb6848e259)</f>
      </c>
    </row>
    <row r="39" spans="2:11" x14ac:dyDescent="0.25">
      <c r="B39" s="7" t="s">
        <v>12</v>
      </c>
      <c r="C39" s="8" t="e">
        <f ref="C39:I39" si="0" t="shared">C40-C38</f>
      </c>
      <c r="D39" s="8" t="e">
        <f si="0" t="shared"/>
      </c>
      <c r="E39" s="8" t="e">
        <f si="0" t="shared"/>
      </c>
      <c r="F39" s="8" t="e">
        <f si="0" t="shared"/>
      </c>
      <c r="G39" s="8" t="e">
        <f si="0" t="shared"/>
      </c>
      <c r="H39" s="8" t="e">
        <f si="0" t="shared"/>
      </c>
      <c r="I39" s="8" t="e">
        <f si="0" t="shared"/>
      </c>
      <c r="J39" s="8"/>
      <c r="K39" s="9"/>
    </row>
    <row r="40" spans="2:11" x14ac:dyDescent="0.25">
      <c r="B40" s="4" t="s">
        <v>13</v>
      </c>
      <c r="C40" s="5" t="e">
        <f>AVERAGE(Range_ecc049aefb82457cad26b6117521d769) - J38</f>
      </c>
      <c r="D40" s="5" t="e">
        <f>AVERAGE(Range_3e8c250abad642218a2d184630de29b7) - J38</f>
      </c>
      <c r="E40" s="5" t="e">
        <f>AVERAGE(Range_bdd3fe20fbc94806833c23ec4568cb3e) - J38</f>
      </c>
      <c r="F40" s="5" t="e">
        <f>AVERAGE(Range_9ff101b37ee243d6a0515d3d20fa864b) - J39</f>
      </c>
      <c r="G40" s="5" t="e">
        <f>AVERAGE(Range_e8bc5c1f23e34691b92764c7d8c7fc8a) - J39</f>
      </c>
      <c r="H40" s="5" t="e">
        <f>AVERAGE(Range_4e5ef70316ad4f968c2213216ffbe657) - J39</f>
      </c>
      <c r="I40" s="5" t="e">
        <f>AVERAGE(Range_dcbdf4f9f0f94eb1a3b9cbae76215379) - J38</f>
      </c>
      <c r="J40" s="5"/>
      <c r="K40" s="6"/>
    </row>
    <row r="41" spans="2:11" x14ac:dyDescent="0.25">
      <c r="B41" s="10" t="s">
        <v>14</v>
      </c>
      <c r="C41" s="11" t="e">
        <f>AVERAGE(Range_06c93cb5229144e9b19b618c8a2c6485)</f>
      </c>
      <c r="D41" s="11" t="e">
        <f>AVERAGE(Range_17f110abb42042978802cdccad56fffa)</f>
      </c>
      <c r="E41" s="11" t="e">
        <f>AVERAGE(Range_bdda6946d94e4da18aa67bae109c9e35)</f>
      </c>
      <c r="F41" s="11" t="e">
        <f>AVERAGE(Range_16674d29660f4063b13a19cb22155baf)</f>
      </c>
      <c r="G41" s="11" t="e">
        <f>AVERAGE(Range_3637c3c6900343d9a87ca8c8e90b8350)</f>
      </c>
      <c r="H41" s="11" t="e">
        <f>AVERAGE(Range_ff6ccc32d2504b8bb70267efac1ec4e0)</f>
      </c>
      <c r="I41" s="11" t="e">
        <f>AVERAGE(Range_f125832509b84832bc6b29bb96b1b7d3)</f>
      </c>
      <c r="J41" s="12"/>
      <c r="K41" s="13"/>
    </row>
    <row r="42" spans="2:11" x14ac:dyDescent="0.25">
      <c r="C42" s="14"/>
      <c r="D42" s="14"/>
      <c r="E42" s="14"/>
      <c r="F42" s="14"/>
      <c r="G42" s="14"/>
      <c r="H42" s="14"/>
      <c r="I42" s="14"/>
    </row>
    <row r="45" spans="2:11" x14ac:dyDescent="0.25">
      <c r="B45" s="1" t="s">
        <v>15</v>
      </c>
      <c r="C45" s="2" t="s">
        <v>2</v>
      </c>
      <c r="D45" s="2" t="s">
        <v>3</v>
      </c>
      <c r="E45" s="2" t="s">
        <v>4</v>
      </c>
      <c r="F45" s="2" t="s">
        <v>5</v>
      </c>
      <c r="G45" s="2" t="s">
        <v>6</v>
      </c>
      <c r="H45" s="2" t="s">
        <v>7</v>
      </c>
      <c r="I45" s="3" t="s">
        <v>8</v>
      </c>
    </row>
    <row r="46" spans="2:11" x14ac:dyDescent="0.25">
      <c r="B46" s="4" t="s">
        <v>11</v>
      </c>
      <c r="C46" s="5" t="e">
        <f>DEVSQ(Range_1bb58ec1eb7946bd8c29c6b8b4e843a1)</f>
      </c>
      <c r="D46" s="5" t="e">
        <f>DEVSQ(Range_2207a6b00a044987aafc20051114ff62)</f>
      </c>
      <c r="E46" s="5" t="e">
        <f>DEVSQ(Range_5c50353522c44369b1d35805b6181264)</f>
      </c>
      <c r="F46" s="5" t="e">
        <f>DEVSQ(Range_96ae556b5ea24ab880f862dcce3dff85)</f>
      </c>
      <c r="G46" s="5" t="e">
        <f>DEVSQ(Range_d927c1cd8a3e43fb9430ed66e0f6aaf7)</f>
      </c>
      <c r="H46" s="5" t="e">
        <f>DEVSQ(Range_43180d6c8e274da8ad2c6ead5c0dbf2d)</f>
      </c>
      <c r="I46" s="6" t="e">
        <f>DEVSQ(Range_11b45528cd924758a9902f3ecdd69ebc)</f>
      </c>
    </row>
    <row r="47" spans="2:11" x14ac:dyDescent="0.25">
      <c r="B47" s="10" t="s">
        <v>13</v>
      </c>
      <c r="C47" s="12" t="e">
        <f>DEVSQ(Range_ecc049aefb82457cad26b6117521d769)</f>
      </c>
      <c r="D47" s="12" t="e">
        <f>DEVSQ(Range_3e8c250abad642218a2d184630de29b7)</f>
      </c>
      <c r="E47" s="12" t="e">
        <f>DEVSQ(Range_bdd3fe20fbc94806833c23ec4568cb3e)</f>
      </c>
      <c r="F47" s="12" t="e">
        <f>DEVSQ(Range_9ff101b37ee243d6a0515d3d20fa864b)</f>
      </c>
      <c r="G47" s="12" t="e">
        <f>DEVSQ(Range_e8bc5c1f23e34691b92764c7d8c7fc8a)</f>
      </c>
      <c r="H47" s="12" t="e">
        <f>DEVSQ(Range_4e5ef70316ad4f968c2213216ffbe657)</f>
      </c>
      <c r="I47" s="13" t="e">
        <f>DEVSQ(Range_dcbdf4f9f0f94eb1a3b9cbae76215379)</f>
      </c>
    </row>
    <row r="48" spans="2:11" x14ac:dyDescent="0.25">
      <c r="C48" s="14"/>
      <c r="D48" s="14"/>
      <c r="E48" s="14"/>
      <c r="F48" s="14"/>
      <c r="G48" s="14"/>
    </row>
    <row r="50" spans="2:15" x14ac:dyDescent="0.25">
      <c r="B50" s="15" t="s">
        <v>16</v>
      </c>
    </row>
    <row r="51" spans="2:15" x14ac:dyDescent="0.25">
      <c r="B51" s="1" t="s">
        <v>17</v>
      </c>
      <c r="C51" s="2" t="s">
        <v>18</v>
      </c>
      <c r="D51" s="2" t="s">
        <v>19</v>
      </c>
      <c r="E51" s="2" t="s">
        <v>20</v>
      </c>
      <c r="F51" s="2" t="s">
        <v>21</v>
      </c>
      <c r="G51" s="2" t="s">
        <v>22</v>
      </c>
      <c r="H51" s="2" t="s">
        <v>23</v>
      </c>
      <c r="I51" s="2" t="s">
        <v>24</v>
      </c>
      <c r="J51" s="2" t="s">
        <v>25</v>
      </c>
      <c r="K51" s="2" t="s">
        <v>26</v>
      </c>
      <c r="L51" s="2" t="s">
        <v>27</v>
      </c>
      <c r="M51" s="2" t="s">
        <v>28</v>
      </c>
      <c r="N51" s="2" t="s">
        <v>29</v>
      </c>
      <c r="O51" s="3" t="s">
        <v>30</v>
      </c>
    </row>
    <row r="52" spans="2:15" x14ac:dyDescent="0.25">
      <c r="B52" s="16">
        <v>275721.0</v>
      </c>
      <c r="C52" s="17">
        <v>1.0513667762E10</v>
      </c>
      <c r="D52" s="17">
        <v>138238.0</v>
      </c>
      <c r="E52" s="17">
        <v>1.0343557825E10</v>
      </c>
      <c r="F52" s="17">
        <v>137802.0</v>
      </c>
      <c r="G52" s="17">
        <v>9.751694422E9</v>
      </c>
      <c r="H52" s="17">
        <v>68125.0</v>
      </c>
      <c r="I52" s="17">
        <v>9.506224114E9</v>
      </c>
      <c r="J52" s="17">
        <v>32558.0</v>
      </c>
      <c r="K52" s="17">
        <v>1.0059666102E10</v>
      </c>
      <c r="L52" s="17">
        <v>32760.0</v>
      </c>
      <c r="M52" s="17">
        <v>8.916280699E9</v>
      </c>
      <c r="N52" s="17">
        <v>93387.0</v>
      </c>
      <c r="O52" s="18">
        <v>4.841867567E9</v>
      </c>
    </row>
    <row r="53" spans="2:15" x14ac:dyDescent="0.25">
      <c r="B53" s="16">
        <v>275197.0</v>
      </c>
      <c r="C53" s="17">
        <v>1.0513667762E10</v>
      </c>
      <c r="D53" s="17">
        <v>137675.0</v>
      </c>
      <c r="E53" s="17">
        <v>1.0343557825E10</v>
      </c>
      <c r="F53" s="17">
        <v>136581.0</v>
      </c>
      <c r="G53" s="17">
        <v>9.751694422E9</v>
      </c>
      <c r="H53" s="17">
        <v>69233.0</v>
      </c>
      <c r="I53" s="17">
        <v>9.506224114E9</v>
      </c>
      <c r="J53" s="17">
        <v>33072.0</v>
      </c>
      <c r="K53" s="17">
        <v>1.0059622102E10</v>
      </c>
      <c r="L53" s="17">
        <v>32667.0</v>
      </c>
      <c r="M53" s="17">
        <v>8.916456699E9</v>
      </c>
      <c r="N53" s="17">
        <v>93599.0</v>
      </c>
      <c r="O53" s="18">
        <v>4.841867567E9</v>
      </c>
    </row>
    <row r="54" spans="2:15" x14ac:dyDescent="0.25">
      <c r="B54" s="16">
        <v>276774.0</v>
      </c>
      <c r="C54" s="17">
        <v>1.0513667762E10</v>
      </c>
      <c r="D54" s="17">
        <v>138247.0</v>
      </c>
      <c r="E54" s="17">
        <v>1.0343557825E10</v>
      </c>
      <c r="F54" s="17">
        <v>137587.0</v>
      </c>
      <c r="G54" s="17">
        <v>9.751694422E9</v>
      </c>
      <c r="H54" s="17">
        <v>66457.0</v>
      </c>
      <c r="I54" s="17">
        <v>9.506224114E9</v>
      </c>
      <c r="J54" s="17">
        <v>33197.0</v>
      </c>
      <c r="K54" s="17">
        <v>1.0059842102E10</v>
      </c>
      <c r="L54" s="17">
        <v>32822.0</v>
      </c>
      <c r="M54" s="17">
        <v>8.916016699E9</v>
      </c>
      <c r="N54" s="17">
        <v>94736.0</v>
      </c>
      <c r="O54" s="18">
        <v>4.841867567E9</v>
      </c>
    </row>
    <row r="55" spans="2:15" x14ac:dyDescent="0.25"/>
    <row r="56" spans="2:15" x14ac:dyDescent="0.25">
      <c r="B56" s="15" t="s">
        <v>45</v>
      </c>
      <c r="C56"/>
      <c r="D56"/>
      <c r="E56"/>
      <c r="F56"/>
      <c r="G56"/>
      <c r="H56"/>
      <c r="I56"/>
      <c r="J56"/>
      <c r="K56"/>
      <c r="L56"/>
      <c r="M56"/>
      <c r="N56"/>
      <c r="O56"/>
    </row>
    <row r="57" spans="2:15" x14ac:dyDescent="0.25">
      <c r="B57" s="1" t="s">
        <v>17</v>
      </c>
      <c r="C57" s="2" t="s">
        <v>19</v>
      </c>
      <c r="D57" s="2" t="s">
        <v>21</v>
      </c>
      <c r="E57" s="2" t="s">
        <v>23</v>
      </c>
      <c r="F57" s="2" t="s">
        <v>25</v>
      </c>
      <c r="G57" s="2" t="s">
        <v>27</v>
      </c>
      <c r="H57" s="2" t="s">
        <v>29</v>
      </c>
      <c r="I57" s="2" t="s">
        <v>9</v>
      </c>
      <c r="J57" s="3" t="s">
        <v>10</v>
      </c>
      <c r="K57"/>
      <c r="L57"/>
      <c r="M57"/>
      <c r="N57"/>
      <c r="O57"/>
    </row>
    <row r="58" spans="2:15" x14ac:dyDescent="0.25">
      <c r="B58" s="16">
        <v>727147.0</v>
      </c>
      <c r="C58" s="17">
        <v>227220.0</v>
      </c>
      <c r="D58" s="17">
        <v>222140.0</v>
      </c>
      <c r="E58" s="17">
        <v>258212.0</v>
      </c>
      <c r="F58" s="17">
        <v>57580.0</v>
      </c>
      <c r="G58" s="17">
        <v>54709.0</v>
      </c>
      <c r="H58" s="17">
        <v>186629.0</v>
      </c>
      <c r="I58" s="17">
        <v>62444.0</v>
      </c>
      <c r="J58" s="18">
        <v>12075.0</v>
      </c>
    </row>
    <row r="59" spans="2:15" x14ac:dyDescent="0.25">
      <c r="B59" s="16">
        <v>680688.0</v>
      </c>
      <c r="C59" s="17">
        <v>226790.0</v>
      </c>
      <c r="D59" s="17">
        <v>221610.0</v>
      </c>
      <c r="E59" s="17">
        <v>259210.0</v>
      </c>
      <c r="F59" s="17">
        <v>57268.0</v>
      </c>
      <c r="G59" s="17">
        <v>54865.0</v>
      </c>
      <c r="H59" s="17">
        <v>185981.0</v>
      </c>
      <c r="I59" s="17">
        <v>62486.0</v>
      </c>
      <c r="J59" s="18">
        <v>11434.0</v>
      </c>
    </row>
    <row r="60" spans="2:15" x14ac:dyDescent="0.25">
      <c r="B60" s="16">
        <v>702642.0</v>
      </c>
      <c r="C60" s="17">
        <v>228051.0</v>
      </c>
      <c r="D60" s="17">
        <v>221641.0</v>
      </c>
      <c r="E60" s="17">
        <v>255497.0</v>
      </c>
      <c r="F60" s="17">
        <v>57221.0</v>
      </c>
      <c r="G60" s="17">
        <v>55396.0</v>
      </c>
      <c r="H60" s="17">
        <v>186085.0</v>
      </c>
      <c r="I60" s="17">
        <v>62470.0</v>
      </c>
      <c r="J60" s="18">
        <v>11357.0</v>
      </c>
    </row>
  </sheetData>
  <pageMargins bottom="0.75" footer="0.51180555555555496" header="0.51180555555555496" left="0.7" right="0.7" top="0.75"/>
  <pageSetup copies="0" firstPageNumber="0" horizontalDpi="0" orientation="portrait" paperSize="0" scale="0" usePrinterDefaults="0" verticalDpi="0"/>
  <drawing r:id="rId1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B1:O56"/>
  <sheetViews>
    <sheetView workbookViewId="0" zoomScaleNormal="100">
      <selection activeCell="B1" sqref="B1"/>
    </sheetView>
  </sheetViews>
  <sheetFormatPr defaultRowHeight="15" x14ac:dyDescent="0.25"/>
  <cols>
    <col max="1" min="1" width="5"/>
    <col max="2" min="2" width="19.85546875"/>
    <col max="3" min="3" width="18.7109375"/>
    <col max="5" min="4" width="22.85546875"/>
    <col max="6" min="6" width="18.7109375"/>
    <col max="7" min="7" width="19.5703125"/>
    <col max="8" min="8" width="19"/>
    <col max="9" min="9" width="21.140625"/>
    <col max="10" min="10" width="24.42578125"/>
    <col max="11" min="11" width="22.5703125"/>
    <col max="12" min="12" width="30.28515625"/>
    <col max="13" min="13" width="25.85546875"/>
    <col max="14" min="14" width="24.5703125"/>
    <col max="15" min="15" width="22.140625"/>
    <col max="1025" min="16" width="8.7109375"/>
  </cols>
  <sheetData>
    <row r="1" spans="2:2" x14ac:dyDescent="0.25">
      <c r="B1" t="s">
        <v>72</v>
      </c>
    </row>
    <row r="37" spans="2:11" x14ac:dyDescent="0.25">
      <c r="B37" s="1" t="s">
        <v>1</v>
      </c>
      <c r="C37" s="2" t="s">
        <v>2</v>
      </c>
      <c r="D37" s="2" t="s">
        <v>3</v>
      </c>
      <c r="E37" s="2" t="s">
        <v>4</v>
      </c>
      <c r="F37" s="2" t="s">
        <v>5</v>
      </c>
      <c r="G37" s="2" t="s">
        <v>6</v>
      </c>
      <c r="H37" s="2" t="s">
        <v>7</v>
      </c>
      <c r="I37" s="2" t="s">
        <v>8</v>
      </c>
      <c r="J37" s="2" t="s">
        <v>9</v>
      </c>
      <c r="K37" s="3" t="s">
        <v>10</v>
      </c>
    </row>
    <row r="38" spans="2:11" x14ac:dyDescent="0.25">
      <c r="B38" s="4" t="s">
        <v>11</v>
      </c>
      <c r="C38" s="5" t="e">
        <f>AVERAGE(Range_35524d36846246e4adc180038aa8c252) - J38</f>
      </c>
      <c r="D38" s="5" t="e">
        <f>AVERAGE(Range_14401ec04684432e8b927959e7322b29) - J38</f>
      </c>
      <c r="E38" s="5" t="e">
        <f>AVERAGE(Range_d9d791b0a13b4f0f88507fd2e77dd8de) - J38</f>
      </c>
      <c r="F38" s="5" t="e">
        <f>AVERAGE(Range_7d6916c37e27463e8c673bfee4953134) - J39</f>
      </c>
      <c r="G38" s="5" t="e">
        <f>AVERAGE(Range_aefa15aab6aa4453b932a1b14679d3d2) - J39</f>
      </c>
      <c r="H38" s="5" t="e">
        <f>AVERAGE(Range_de8bc8fec35e41d397163371899387be) - J39</f>
      </c>
      <c r="I38" s="5" t="e">
        <f>AVERAGE(Range_7cb8d3cef61c436394ccb5aff8864f5d) - J38</f>
      </c>
      <c r="J38" s="5" t="e">
        <f>AVERAGE(Range_117c9909325d4d6c8e7526deafeeb237)</f>
      </c>
      <c r="K38" s="6" t="e">
        <f>AVERAGE(Range_5c248e2c12ad42a88eb8746581914f5a)</f>
      </c>
    </row>
    <row r="39" spans="2:11" x14ac:dyDescent="0.25">
      <c r="B39" s="7" t="s">
        <v>12</v>
      </c>
      <c r="C39" s="8" t="e">
        <f ref="C39:I39" si="0" t="shared">C40-C38</f>
      </c>
      <c r="D39" s="8" t="e">
        <f si="0" t="shared"/>
      </c>
      <c r="E39" s="8" t="e">
        <f si="0" t="shared"/>
      </c>
      <c r="F39" s="8" t="e">
        <f si="0" t="shared"/>
      </c>
      <c r="G39" s="8" t="e">
        <f si="0" t="shared"/>
      </c>
      <c r="H39" s="8" t="e">
        <f si="0" t="shared"/>
      </c>
      <c r="I39" s="8" t="e">
        <f si="0" t="shared"/>
      </c>
      <c r="J39" s="8"/>
      <c r="K39" s="9"/>
    </row>
    <row r="40" spans="2:11" x14ac:dyDescent="0.25">
      <c r="B40" s="4" t="s">
        <v>13</v>
      </c>
      <c r="C40" s="5" t="e">
        <f>AVERAGE(Range_06ec216e756f42abba2f9e1f829895a0) - J38</f>
      </c>
      <c r="D40" s="5" t="e">
        <f>AVERAGE(Range_ab0e7caeb0fa4b8d889b03418bd94c9c) - J38</f>
      </c>
      <c r="E40" s="5" t="e">
        <f>AVERAGE(Range_7f69eb03d6814e4c899914e9fc3eacea) - J38</f>
      </c>
      <c r="F40" s="5" t="e">
        <f>AVERAGE(Range_0ee3cdefeb074ed19b4ff8c120781c0c) - J39</f>
      </c>
      <c r="G40" s="5" t="e">
        <f>AVERAGE(Range_f976f1e1d4ee47c29a4d05de6c644132) - J39</f>
      </c>
      <c r="H40" s="5" t="e">
        <f>AVERAGE(Range_91a988cd44cb4249af7fe18a1ddba398) - J39</f>
      </c>
      <c r="I40" s="5" t="e">
        <f>AVERAGE(Range_e0bd7761b33f431e8c9524a887b3e6d8) - J38</f>
      </c>
      <c r="J40" s="5"/>
      <c r="K40" s="6"/>
    </row>
    <row r="41" spans="2:11" x14ac:dyDescent="0.25">
      <c r="B41" s="10" t="s">
        <v>14</v>
      </c>
      <c r="C41" s="11" t="e">
        <f>AVERAGE(Range_126aa5d614c8484296e75a784275b69e)</f>
      </c>
      <c r="D41" s="11" t="e">
        <f>AVERAGE(Range_1d5734fb59b842da9bd085b1b86ddf50)</f>
      </c>
      <c r="E41" s="11" t="e">
        <f>AVERAGE(Range_543f130a91ab40caa93845da2317a02f)</f>
      </c>
      <c r="F41" s="11" t="e">
        <f>AVERAGE(Range_a16fca45124442a7988f7491d9594303)</f>
      </c>
      <c r="G41" s="11" t="e">
        <f>AVERAGE(Range_62604e0882b14cc1b964e9ba5e4188d7)</f>
      </c>
      <c r="H41" s="11" t="e">
        <f>AVERAGE(Range_bd763d17308347a0b95e5484e45fc9c1)</f>
      </c>
      <c r="I41" s="11" t="e">
        <f>AVERAGE(Range_0dfaa287af784ec586ee855fa1765317)</f>
      </c>
      <c r="J41" s="12"/>
      <c r="K41" s="13"/>
    </row>
    <row r="42" spans="2:11" x14ac:dyDescent="0.25">
      <c r="C42" s="14"/>
      <c r="D42" s="14"/>
      <c r="E42" s="14"/>
      <c r="F42" s="14"/>
      <c r="G42" s="14"/>
      <c r="H42" s="14"/>
      <c r="I42" s="14"/>
    </row>
    <row r="45" spans="2:11" x14ac:dyDescent="0.25">
      <c r="B45" s="1" t="s">
        <v>15</v>
      </c>
      <c r="C45" s="2" t="s">
        <v>2</v>
      </c>
      <c r="D45" s="2" t="s">
        <v>3</v>
      </c>
      <c r="E45" s="2" t="s">
        <v>4</v>
      </c>
      <c r="F45" s="2" t="s">
        <v>5</v>
      </c>
      <c r="G45" s="2" t="s">
        <v>6</v>
      </c>
      <c r="H45" s="2" t="s">
        <v>7</v>
      </c>
      <c r="I45" s="3" t="s">
        <v>8</v>
      </c>
    </row>
    <row r="46" spans="2:11" x14ac:dyDescent="0.25">
      <c r="B46" s="4" t="s">
        <v>11</v>
      </c>
      <c r="C46" s="5" t="e">
        <f>DEVSQ(Range_35524d36846246e4adc180038aa8c252)</f>
      </c>
      <c r="D46" s="5" t="e">
        <f>DEVSQ(Range_14401ec04684432e8b927959e7322b29)</f>
      </c>
      <c r="E46" s="5" t="e">
        <f>DEVSQ(Range_d9d791b0a13b4f0f88507fd2e77dd8de)</f>
      </c>
      <c r="F46" s="5" t="e">
        <f>DEVSQ(Range_7d6916c37e27463e8c673bfee4953134)</f>
      </c>
      <c r="G46" s="5" t="e">
        <f>DEVSQ(Range_aefa15aab6aa4453b932a1b14679d3d2)</f>
      </c>
      <c r="H46" s="5" t="e">
        <f>DEVSQ(Range_de8bc8fec35e41d397163371899387be)</f>
      </c>
      <c r="I46" s="6" t="e">
        <f>DEVSQ(Range_7cb8d3cef61c436394ccb5aff8864f5d)</f>
      </c>
    </row>
    <row r="47" spans="2:11" x14ac:dyDescent="0.25">
      <c r="B47" s="10" t="s">
        <v>13</v>
      </c>
      <c r="C47" s="12" t="e">
        <f>DEVSQ(Range_06ec216e756f42abba2f9e1f829895a0)</f>
      </c>
      <c r="D47" s="12" t="e">
        <f>DEVSQ(Range_ab0e7caeb0fa4b8d889b03418bd94c9c)</f>
      </c>
      <c r="E47" s="12" t="e">
        <f>DEVSQ(Range_7f69eb03d6814e4c899914e9fc3eacea)</f>
      </c>
      <c r="F47" s="12" t="e">
        <f>DEVSQ(Range_0ee3cdefeb074ed19b4ff8c120781c0c)</f>
      </c>
      <c r="G47" s="12" t="e">
        <f>DEVSQ(Range_f976f1e1d4ee47c29a4d05de6c644132)</f>
      </c>
      <c r="H47" s="12" t="e">
        <f>DEVSQ(Range_91a988cd44cb4249af7fe18a1ddba398)</f>
      </c>
      <c r="I47" s="13" t="e">
        <f>DEVSQ(Range_e0bd7761b33f431e8c9524a887b3e6d8)</f>
      </c>
    </row>
    <row r="48" spans="2:11" x14ac:dyDescent="0.25">
      <c r="C48" s="14"/>
      <c r="D48" s="14"/>
      <c r="E48" s="14"/>
      <c r="F48" s="14"/>
      <c r="G48" s="14"/>
    </row>
    <row r="50" spans="2:15" x14ac:dyDescent="0.25">
      <c r="B50" s="15" t="s">
        <v>16</v>
      </c>
    </row>
    <row r="51" spans="2:15" x14ac:dyDescent="0.25">
      <c r="B51" s="1" t="s">
        <v>17</v>
      </c>
      <c r="C51" s="2" t="s">
        <v>18</v>
      </c>
      <c r="D51" s="2" t="s">
        <v>19</v>
      </c>
      <c r="E51" s="2" t="s">
        <v>20</v>
      </c>
      <c r="F51" s="2" t="s">
        <v>21</v>
      </c>
      <c r="G51" s="2" t="s">
        <v>22</v>
      </c>
      <c r="H51" s="2" t="s">
        <v>23</v>
      </c>
      <c r="I51" s="2" t="s">
        <v>24</v>
      </c>
      <c r="J51" s="2" t="s">
        <v>25</v>
      </c>
      <c r="K51" s="2" t="s">
        <v>26</v>
      </c>
      <c r="L51" s="2" t="s">
        <v>27</v>
      </c>
      <c r="M51" s="2" t="s">
        <v>28</v>
      </c>
      <c r="N51" s="2" t="s">
        <v>29</v>
      </c>
      <c r="O51" s="3" t="s">
        <v>30</v>
      </c>
    </row>
    <row r="52" spans="2:15" x14ac:dyDescent="0.25">
      <c r="B52" s="16">
        <v>1344.0</v>
      </c>
      <c r="C52" s="17">
        <v>5.3958047E7</v>
      </c>
      <c r="D52" s="17">
        <v>698.0</v>
      </c>
      <c r="E52" s="17">
        <v>5.3385449E7</v>
      </c>
      <c r="F52" s="17">
        <v>675.0</v>
      </c>
      <c r="G52" s="17">
        <v>4.9687553E7</v>
      </c>
      <c r="H52" s="17">
        <v>812.0</v>
      </c>
      <c r="I52" s="17">
        <v>4.8374616E7</v>
      </c>
      <c r="J52" s="17">
        <v>437.0</v>
      </c>
      <c r="K52" s="17">
        <v>5.2070235E7</v>
      </c>
      <c r="L52" s="17">
        <v>452.0</v>
      </c>
      <c r="M52" s="17">
        <v>4.8317161E7</v>
      </c>
      <c r="N52" s="17">
        <v>593.0</v>
      </c>
      <c r="O52" s="18">
        <v>2.3140661E7</v>
      </c>
    </row>
    <row r="53" spans="2:15" x14ac:dyDescent="0.25">
      <c r="B53" s="16">
        <v>1290.0</v>
      </c>
      <c r="C53" s="17">
        <v>5.3958047E7</v>
      </c>
      <c r="D53" s="17">
        <v>679.0</v>
      </c>
      <c r="E53" s="17">
        <v>5.3385449E7</v>
      </c>
      <c r="F53" s="17">
        <v>676.0</v>
      </c>
      <c r="G53" s="17">
        <v>4.9687553E7</v>
      </c>
      <c r="H53" s="17">
        <v>795.0</v>
      </c>
      <c r="I53" s="17">
        <v>4.8374616E7</v>
      </c>
      <c r="J53" s="17">
        <v>468.0</v>
      </c>
      <c r="K53" s="17">
        <v>5.2070235E7</v>
      </c>
      <c r="L53" s="17">
        <v>452.0</v>
      </c>
      <c r="M53" s="17">
        <v>4.8317161E7</v>
      </c>
      <c r="N53" s="17">
        <v>589.0</v>
      </c>
      <c r="O53" s="18">
        <v>2.3140661E7</v>
      </c>
    </row>
    <row r="54" spans="2:15" x14ac:dyDescent="0.25">
      <c r="B54" s="16">
        <v>1311.0</v>
      </c>
      <c r="C54" s="17">
        <v>5.3958047E7</v>
      </c>
      <c r="D54" s="17">
        <v>683.0</v>
      </c>
      <c r="E54" s="17">
        <v>5.3385449E7</v>
      </c>
      <c r="F54" s="17">
        <v>675.0</v>
      </c>
      <c r="G54" s="17">
        <v>4.9687553E7</v>
      </c>
      <c r="H54" s="17">
        <v>826.0</v>
      </c>
      <c r="I54" s="17">
        <v>4.8374616E7</v>
      </c>
      <c r="J54" s="17">
        <v>468.0</v>
      </c>
      <c r="K54" s="17">
        <v>5.2070235E7</v>
      </c>
      <c r="L54" s="17">
        <v>437.0</v>
      </c>
      <c r="M54" s="17">
        <v>4.8317161E7</v>
      </c>
      <c r="N54" s="17">
        <v>589.0</v>
      </c>
      <c r="O54" s="18">
        <v>2.3140661E7</v>
      </c>
    </row>
    <row r="55" spans="2:15" x14ac:dyDescent="0.25"/>
    <row r="56" spans="2:15" x14ac:dyDescent="0.25">
      <c r="B56" s="15" t="s">
        <v>45</v>
      </c>
      <c r="C56"/>
      <c r="D56"/>
      <c r="E56"/>
      <c r="F56"/>
      <c r="G56"/>
      <c r="H56"/>
      <c r="I56"/>
      <c r="J56"/>
      <c r="K56"/>
      <c r="L56"/>
      <c r="M56"/>
      <c r="N56"/>
      <c r="O56"/>
    </row>
    <row r="57" spans="2:15" x14ac:dyDescent="0.25">
      <c r="B57" s="1" t="s">
        <v>17</v>
      </c>
      <c r="C57" s="2" t="s">
        <v>19</v>
      </c>
      <c r="D57" s="2" t="s">
        <v>21</v>
      </c>
      <c r="E57" s="2" t="s">
        <v>23</v>
      </c>
      <c r="F57" s="2" t="s">
        <v>25</v>
      </c>
      <c r="G57" s="2" t="s">
        <v>27</v>
      </c>
      <c r="H57" s="2" t="s">
        <v>29</v>
      </c>
      <c r="I57" s="2" t="s">
        <v>9</v>
      </c>
      <c r="J57" s="3" t="s">
        <v>10</v>
      </c>
      <c r="K57"/>
      <c r="L57"/>
      <c r="M57"/>
      <c r="N57"/>
      <c r="O57"/>
    </row>
    <row r="58" spans="2:15" x14ac:dyDescent="0.25">
      <c r="B58" s="16">
        <v>3104.0</v>
      </c>
      <c r="C58" s="17">
        <v>1368.0</v>
      </c>
      <c r="D58" s="17">
        <v>1336.0</v>
      </c>
      <c r="E58" s="17">
        <v>1950.0</v>
      </c>
      <c r="F58" s="17">
        <v>655.0</v>
      </c>
      <c r="G58" s="17">
        <v>593.0</v>
      </c>
      <c r="H58" s="17">
        <v>1156.0</v>
      </c>
      <c r="I58" s="17">
        <v>320.0</v>
      </c>
      <c r="J58" s="18">
        <v>265.0</v>
      </c>
    </row>
    <row r="59" spans="2:15" x14ac:dyDescent="0.25">
      <c r="B59" s="16">
        <v>2934.0</v>
      </c>
      <c r="C59" s="17">
        <v>1370.0</v>
      </c>
      <c r="D59" s="17">
        <v>1336.0</v>
      </c>
      <c r="E59" s="17">
        <v>2012.0</v>
      </c>
      <c r="F59" s="17">
        <v>671.0</v>
      </c>
      <c r="G59" s="17">
        <v>624.0</v>
      </c>
      <c r="H59" s="17">
        <v>1155.0</v>
      </c>
      <c r="I59" s="17">
        <v>321.0</v>
      </c>
      <c r="J59" s="18">
        <v>234.0</v>
      </c>
    </row>
    <row r="60" spans="2:15" x14ac:dyDescent="0.25">
      <c r="B60" s="16">
        <v>3097.0</v>
      </c>
      <c r="C60" s="17">
        <v>1368.0</v>
      </c>
      <c r="D60" s="17">
        <v>1339.0</v>
      </c>
      <c r="E60" s="17">
        <v>1965.0</v>
      </c>
      <c r="F60" s="17">
        <v>624.0</v>
      </c>
      <c r="G60" s="17">
        <v>639.0</v>
      </c>
      <c r="H60" s="17">
        <v>1156.0</v>
      </c>
      <c r="I60" s="17">
        <v>320.0</v>
      </c>
      <c r="J60" s="18">
        <v>250.0</v>
      </c>
    </row>
  </sheetData>
  <pageMargins bottom="0.75" footer="0.51180555555555496" header="0.51180555555555496" left="0.7" right="0.7" top="0.75"/>
  <pageSetup copies="0" firstPageNumber="0" horizontalDpi="0" orientation="portrait" paperSize="0" scale="0" usePrinterDefaults="0" verticalDpi="0"/>
  <drawing r:id="rId1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B1:O56"/>
  <sheetViews>
    <sheetView workbookViewId="0" zoomScaleNormal="100">
      <selection activeCell="B1" sqref="B1"/>
    </sheetView>
  </sheetViews>
  <sheetFormatPr defaultRowHeight="15" x14ac:dyDescent="0.25"/>
  <cols>
    <col max="1" min="1" width="5"/>
    <col max="2" min="2" width="19.85546875"/>
    <col max="3" min="3" width="18.7109375"/>
    <col max="5" min="4" width="22.85546875"/>
    <col max="6" min="6" width="18.7109375"/>
    <col max="7" min="7" width="19.5703125"/>
    <col max="8" min="8" width="19"/>
    <col max="9" min="9" width="21.140625"/>
    <col max="10" min="10" width="24.42578125"/>
    <col max="11" min="11" width="22.5703125"/>
    <col max="12" min="12" width="30.28515625"/>
    <col max="13" min="13" width="25.85546875"/>
    <col max="14" min="14" width="24.5703125"/>
    <col max="15" min="15" width="22.140625"/>
    <col max="1025" min="16" width="8.7109375"/>
  </cols>
  <sheetData>
    <row r="1" spans="2:2" x14ac:dyDescent="0.25">
      <c r="B1" t="s">
        <v>73</v>
      </c>
    </row>
    <row r="37" spans="2:11" x14ac:dyDescent="0.25">
      <c r="B37" s="1" t="s">
        <v>1</v>
      </c>
      <c r="C37" s="2" t="s">
        <v>2</v>
      </c>
      <c r="D37" s="2" t="s">
        <v>3</v>
      </c>
      <c r="E37" s="2" t="s">
        <v>4</v>
      </c>
      <c r="F37" s="2" t="s">
        <v>5</v>
      </c>
      <c r="G37" s="2" t="s">
        <v>6</v>
      </c>
      <c r="H37" s="2" t="s">
        <v>7</v>
      </c>
      <c r="I37" s="2" t="s">
        <v>8</v>
      </c>
      <c r="J37" s="2" t="s">
        <v>9</v>
      </c>
      <c r="K37" s="3" t="s">
        <v>10</v>
      </c>
    </row>
    <row r="38" spans="2:11" x14ac:dyDescent="0.25">
      <c r="B38" s="4" t="s">
        <v>11</v>
      </c>
      <c r="C38" s="5" t="e">
        <f>AVERAGE(Range_6574901e8bd1430c8303e6fb21883d0a) - J38</f>
      </c>
      <c r="D38" s="5" t="e">
        <f>AVERAGE(Range_64a79e2ae1ab45c99ffa8b36c1a82106) - J38</f>
      </c>
      <c r="E38" s="5" t="e">
        <f>AVERAGE(Range_fc5fa657e21f4b54baac30b8ef1d4668) - J38</f>
      </c>
      <c r="F38" s="5" t="e">
        <f>AVERAGE(Range_43d1b9aada4b480c8ec156cbb2bf433a) - J39</f>
      </c>
      <c r="G38" s="5" t="e">
        <f>AVERAGE(Range_f409d7dd543e4c6c84d6ebded2c2fb4a) - J39</f>
      </c>
      <c r="H38" s="5" t="e">
        <f>AVERAGE(Range_18c5b6b555f647b3ac9690fee9db5de1) - J39</f>
      </c>
      <c r="I38" s="5" t="e">
        <f>AVERAGE(Range_6efc41cae2e54ccbab0712de87424a9d) - J38</f>
      </c>
      <c r="J38" s="5" t="e">
        <f>AVERAGE(Range_f02d4088fff74641ac5622d15b3deb2a)</f>
      </c>
      <c r="K38" s="6" t="e">
        <f>AVERAGE(Range_4fab092345024f5d981637cb1b1a39f1)</f>
      </c>
    </row>
    <row r="39" spans="2:11" x14ac:dyDescent="0.25">
      <c r="B39" s="7" t="s">
        <v>12</v>
      </c>
      <c r="C39" s="8" t="e">
        <f ref="C39:I39" si="0" t="shared">C40-C38</f>
      </c>
      <c r="D39" s="8" t="e">
        <f si="0" t="shared"/>
      </c>
      <c r="E39" s="8" t="e">
        <f si="0" t="shared"/>
      </c>
      <c r="F39" s="8" t="e">
        <f si="0" t="shared"/>
      </c>
      <c r="G39" s="8" t="e">
        <f si="0" t="shared"/>
      </c>
      <c r="H39" s="8" t="e">
        <f si="0" t="shared"/>
      </c>
      <c r="I39" s="8" t="e">
        <f si="0" t="shared"/>
      </c>
      <c r="J39" s="8"/>
      <c r="K39" s="9"/>
    </row>
    <row r="40" spans="2:11" x14ac:dyDescent="0.25">
      <c r="B40" s="4" t="s">
        <v>13</v>
      </c>
      <c r="C40" s="5" t="e">
        <f>AVERAGE(Range_49b54515a9a44b389ccd989651c216b2) - J38</f>
      </c>
      <c r="D40" s="5" t="e">
        <f>AVERAGE(Range_ca256e62577b4dc09438322ea192c58a) - J38</f>
      </c>
      <c r="E40" s="5" t="e">
        <f>AVERAGE(Range_831eab3428874986b031df111f11c06e) - J38</f>
      </c>
      <c r="F40" s="5" t="e">
        <f>AVERAGE(Range_47f59eb90d4e4b7ab241841513ece8cb) - J39</f>
      </c>
      <c r="G40" s="5" t="e">
        <f>AVERAGE(Range_e42531a90ffa4b20b394e4b509fe1c4f) - J39</f>
      </c>
      <c r="H40" s="5" t="e">
        <f>AVERAGE(Range_6b90c7eb731a41f2a93f9e16c6361cfa) - J39</f>
      </c>
      <c r="I40" s="5" t="e">
        <f>AVERAGE(Range_76f909a803d5491a9719729d91b75ae0) - J38</f>
      </c>
      <c r="J40" s="5"/>
      <c r="K40" s="6"/>
    </row>
    <row r="41" spans="2:11" x14ac:dyDescent="0.25">
      <c r="B41" s="10" t="s">
        <v>14</v>
      </c>
      <c r="C41" s="11" t="e">
        <f>AVERAGE(Range_6b3be87ff9fd43a9823903b7eacf05b2)</f>
      </c>
      <c r="D41" s="11" t="e">
        <f>AVERAGE(Range_419001d66e2a476dbdad207d4ece096e)</f>
      </c>
      <c r="E41" s="11" t="e">
        <f>AVERAGE(Range_0371438e0474429880d3fb7dbc03428b)</f>
      </c>
      <c r="F41" s="11" t="e">
        <f>AVERAGE(Range_d165d055a8df485dba79d8741900994e)</f>
      </c>
      <c r="G41" s="11" t="e">
        <f>AVERAGE(Range_4f16766ca0d3437fa4ab9f0d5fbf8e6c)</f>
      </c>
      <c r="H41" s="11" t="e">
        <f>AVERAGE(Range_7cda7f3f7c25431d9705d88e2a15a910)</f>
      </c>
      <c r="I41" s="11" t="e">
        <f>AVERAGE(Range_3c1a1e869bca4342ac795b7a27fbecea)</f>
      </c>
      <c r="J41" s="12"/>
      <c r="K41" s="13"/>
    </row>
    <row r="42" spans="2:11" x14ac:dyDescent="0.25">
      <c r="C42" s="14"/>
      <c r="D42" s="14"/>
      <c r="E42" s="14"/>
      <c r="F42" s="14"/>
      <c r="G42" s="14"/>
      <c r="H42" s="14"/>
      <c r="I42" s="14"/>
    </row>
    <row r="45" spans="2:11" x14ac:dyDescent="0.25">
      <c r="B45" s="1" t="s">
        <v>15</v>
      </c>
      <c r="C45" s="2" t="s">
        <v>2</v>
      </c>
      <c r="D45" s="2" t="s">
        <v>3</v>
      </c>
      <c r="E45" s="2" t="s">
        <v>4</v>
      </c>
      <c r="F45" s="2" t="s">
        <v>5</v>
      </c>
      <c r="G45" s="2" t="s">
        <v>6</v>
      </c>
      <c r="H45" s="2" t="s">
        <v>7</v>
      </c>
      <c r="I45" s="3" t="s">
        <v>8</v>
      </c>
    </row>
    <row r="46" spans="2:11" x14ac:dyDescent="0.25">
      <c r="B46" s="4" t="s">
        <v>11</v>
      </c>
      <c r="C46" s="5" t="e">
        <f>DEVSQ(Range_6574901e8bd1430c8303e6fb21883d0a)</f>
      </c>
      <c r="D46" s="5" t="e">
        <f>DEVSQ(Range_64a79e2ae1ab45c99ffa8b36c1a82106)</f>
      </c>
      <c r="E46" s="5" t="e">
        <f>DEVSQ(Range_fc5fa657e21f4b54baac30b8ef1d4668)</f>
      </c>
      <c r="F46" s="5" t="e">
        <f>DEVSQ(Range_43d1b9aada4b480c8ec156cbb2bf433a)</f>
      </c>
      <c r="G46" s="5" t="e">
        <f>DEVSQ(Range_f409d7dd543e4c6c84d6ebded2c2fb4a)</f>
      </c>
      <c r="H46" s="5" t="e">
        <f>DEVSQ(Range_18c5b6b555f647b3ac9690fee9db5de1)</f>
      </c>
      <c r="I46" s="6" t="e">
        <f>DEVSQ(Range_6efc41cae2e54ccbab0712de87424a9d)</f>
      </c>
    </row>
    <row r="47" spans="2:11" x14ac:dyDescent="0.25">
      <c r="B47" s="10" t="s">
        <v>13</v>
      </c>
      <c r="C47" s="12" t="e">
        <f>DEVSQ(Range_49b54515a9a44b389ccd989651c216b2)</f>
      </c>
      <c r="D47" s="12" t="e">
        <f>DEVSQ(Range_ca256e62577b4dc09438322ea192c58a)</f>
      </c>
      <c r="E47" s="12" t="e">
        <f>DEVSQ(Range_831eab3428874986b031df111f11c06e)</f>
      </c>
      <c r="F47" s="12" t="e">
        <f>DEVSQ(Range_47f59eb90d4e4b7ab241841513ece8cb)</f>
      </c>
      <c r="G47" s="12" t="e">
        <f>DEVSQ(Range_e42531a90ffa4b20b394e4b509fe1c4f)</f>
      </c>
      <c r="H47" s="12" t="e">
        <f>DEVSQ(Range_6b90c7eb731a41f2a93f9e16c6361cfa)</f>
      </c>
      <c r="I47" s="13" t="e">
        <f>DEVSQ(Range_76f909a803d5491a9719729d91b75ae0)</f>
      </c>
    </row>
    <row r="48" spans="2:11" x14ac:dyDescent="0.25">
      <c r="C48" s="14"/>
      <c r="D48" s="14"/>
      <c r="E48" s="14"/>
      <c r="F48" s="14"/>
      <c r="G48" s="14"/>
    </row>
    <row r="50" spans="2:15" x14ac:dyDescent="0.25">
      <c r="B50" s="15" t="s">
        <v>16</v>
      </c>
    </row>
    <row r="51" spans="2:15" x14ac:dyDescent="0.25">
      <c r="B51" s="1" t="s">
        <v>17</v>
      </c>
      <c r="C51" s="2" t="s">
        <v>18</v>
      </c>
      <c r="D51" s="2" t="s">
        <v>19</v>
      </c>
      <c r="E51" s="2" t="s">
        <v>20</v>
      </c>
      <c r="F51" s="2" t="s">
        <v>21</v>
      </c>
      <c r="G51" s="2" t="s">
        <v>22</v>
      </c>
      <c r="H51" s="2" t="s">
        <v>23</v>
      </c>
      <c r="I51" s="2" t="s">
        <v>24</v>
      </c>
      <c r="J51" s="2" t="s">
        <v>25</v>
      </c>
      <c r="K51" s="2" t="s">
        <v>26</v>
      </c>
      <c r="L51" s="2" t="s">
        <v>27</v>
      </c>
      <c r="M51" s="2" t="s">
        <v>28</v>
      </c>
      <c r="N51" s="2" t="s">
        <v>29</v>
      </c>
      <c r="O51" s="3" t="s">
        <v>30</v>
      </c>
    </row>
    <row r="52" spans="2:15" x14ac:dyDescent="0.25">
      <c r="B52" s="16">
        <v>125944.0</v>
      </c>
      <c r="C52" s="17">
        <v>9.84416814E9</v>
      </c>
      <c r="D52" s="17">
        <v>95634.0</v>
      </c>
      <c r="E52" s="17">
        <v>9.798781115E9</v>
      </c>
      <c r="F52" s="17">
        <v>94818.0</v>
      </c>
      <c r="G52" s="17">
        <v>9.511838823E9</v>
      </c>
      <c r="H52" s="17">
        <v>37736.0</v>
      </c>
      <c r="I52" s="17">
        <v>9.408942918E9</v>
      </c>
      <c r="J52" s="17">
        <v>34835.0</v>
      </c>
      <c r="K52" s="17">
        <v>9.695874191E9</v>
      </c>
      <c r="L52" s="17">
        <v>34492.0</v>
      </c>
      <c r="M52" s="17">
        <v>9.403430119E9</v>
      </c>
      <c r="N52" s="17">
        <v>71654.0</v>
      </c>
      <c r="O52" s="18">
        <v>7.495178217E9</v>
      </c>
    </row>
    <row r="53" spans="2:15" x14ac:dyDescent="0.25">
      <c r="B53" s="16">
        <v>127451.0</v>
      </c>
      <c r="C53" s="17">
        <v>9.84416814E9</v>
      </c>
      <c r="D53" s="17">
        <v>97397.0</v>
      </c>
      <c r="E53" s="17">
        <v>9.798781115E9</v>
      </c>
      <c r="F53" s="17">
        <v>95279.0</v>
      </c>
      <c r="G53" s="17">
        <v>9.511838823E9</v>
      </c>
      <c r="H53" s="17">
        <v>37518.0</v>
      </c>
      <c r="I53" s="17">
        <v>9.408942918E9</v>
      </c>
      <c r="J53" s="17">
        <v>34788.0</v>
      </c>
      <c r="K53" s="17">
        <v>9.695874191E9</v>
      </c>
      <c r="L53" s="17">
        <v>34492.0</v>
      </c>
      <c r="M53" s="17">
        <v>9.403430119E9</v>
      </c>
      <c r="N53" s="17">
        <v>72187.0</v>
      </c>
      <c r="O53" s="18">
        <v>7.495178217E9</v>
      </c>
    </row>
    <row r="54" spans="2:15" x14ac:dyDescent="0.25">
      <c r="B54" s="16">
        <v>126900.0</v>
      </c>
      <c r="C54" s="17">
        <v>9.84416814E9</v>
      </c>
      <c r="D54" s="17">
        <v>95181.0</v>
      </c>
      <c r="E54" s="17">
        <v>9.798781115E9</v>
      </c>
      <c r="F54" s="17">
        <v>95237.0</v>
      </c>
      <c r="G54" s="17">
        <v>9.511838823E9</v>
      </c>
      <c r="H54" s="17">
        <v>39499.0</v>
      </c>
      <c r="I54" s="17">
        <v>9.408942918E9</v>
      </c>
      <c r="J54" s="17">
        <v>34679.0</v>
      </c>
      <c r="K54" s="17">
        <v>9.695874191E9</v>
      </c>
      <c r="L54" s="17">
        <v>34819.0</v>
      </c>
      <c r="M54" s="17">
        <v>9.403430119E9</v>
      </c>
      <c r="N54" s="17">
        <v>71268.0</v>
      </c>
      <c r="O54" s="18">
        <v>7.495178217E9</v>
      </c>
    </row>
    <row r="55" spans="2:15" x14ac:dyDescent="0.25"/>
    <row r="56" spans="2:15" x14ac:dyDescent="0.25">
      <c r="B56" s="15" t="s">
        <v>45</v>
      </c>
      <c r="C56"/>
      <c r="D56"/>
      <c r="E56"/>
      <c r="F56"/>
      <c r="G56"/>
      <c r="H56"/>
      <c r="I56"/>
      <c r="J56"/>
      <c r="K56"/>
      <c r="L56"/>
      <c r="M56"/>
      <c r="N56"/>
      <c r="O56"/>
    </row>
    <row r="57" spans="2:15" x14ac:dyDescent="0.25">
      <c r="B57" s="1" t="s">
        <v>17</v>
      </c>
      <c r="C57" s="2" t="s">
        <v>19</v>
      </c>
      <c r="D57" s="2" t="s">
        <v>21</v>
      </c>
      <c r="E57" s="2" t="s">
        <v>23</v>
      </c>
      <c r="F57" s="2" t="s">
        <v>25</v>
      </c>
      <c r="G57" s="2" t="s">
        <v>27</v>
      </c>
      <c r="H57" s="2" t="s">
        <v>29</v>
      </c>
      <c r="I57" s="2" t="s">
        <v>9</v>
      </c>
      <c r="J57" s="3" t="s">
        <v>10</v>
      </c>
      <c r="K57"/>
      <c r="L57"/>
      <c r="M57"/>
      <c r="N57"/>
      <c r="O57"/>
    </row>
    <row r="58" spans="2:15" x14ac:dyDescent="0.25">
      <c r="B58" s="16">
        <v>290894.0</v>
      </c>
      <c r="C58" s="17">
        <v>189798.0</v>
      </c>
      <c r="D58" s="17">
        <v>188173.0</v>
      </c>
      <c r="E58" s="17">
        <v>114145.0</v>
      </c>
      <c r="F58" s="17">
        <v>48033.0</v>
      </c>
      <c r="G58" s="17">
        <v>47845.0</v>
      </c>
      <c r="H58" s="17">
        <v>147758.0</v>
      </c>
      <c r="I58" s="17">
        <v>44923.0</v>
      </c>
      <c r="J58" s="18">
        <v>6006.0</v>
      </c>
    </row>
    <row r="59" spans="2:15" x14ac:dyDescent="0.25">
      <c r="B59" s="16">
        <v>295565.0</v>
      </c>
      <c r="C59" s="17">
        <v>191931.0</v>
      </c>
      <c r="D59" s="17">
        <v>188681.0</v>
      </c>
      <c r="E59" s="17">
        <v>114317.0</v>
      </c>
      <c r="F59" s="17">
        <v>47955.0</v>
      </c>
      <c r="G59" s="17">
        <v>47487.0</v>
      </c>
      <c r="H59" s="17">
        <v>147524.0</v>
      </c>
      <c r="I59" s="17">
        <v>45320.0</v>
      </c>
      <c r="J59" s="18">
        <v>6068.0</v>
      </c>
    </row>
    <row r="60" spans="2:15" x14ac:dyDescent="0.25">
      <c r="B60" s="16">
        <v>290348.0</v>
      </c>
      <c r="C60" s="17">
        <v>190864.0</v>
      </c>
      <c r="D60" s="17">
        <v>187900.0</v>
      </c>
      <c r="E60" s="17">
        <v>115035.0</v>
      </c>
      <c r="F60" s="17">
        <v>47954.0</v>
      </c>
      <c r="G60" s="17">
        <v>47299.0</v>
      </c>
      <c r="H60" s="17">
        <v>148454.0</v>
      </c>
      <c r="I60" s="17">
        <v>45288.0</v>
      </c>
      <c r="J60" s="18">
        <v>6100.0</v>
      </c>
    </row>
  </sheetData>
  <pageMargins bottom="0.75" footer="0.51180555555555496" header="0.51180555555555496" left="0.7" right="0.7" top="0.75"/>
  <pageSetup copies="0" firstPageNumber="0" horizontalDpi="0" orientation="portrait" paperSize="0" scale="0" usePrinterDefaults="0" verticalDpi="0"/>
  <drawing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B1:O56"/>
  <sheetViews>
    <sheetView workbookViewId="0" zoomScaleNormal="100">
      <selection activeCell="B1" sqref="B1"/>
    </sheetView>
  </sheetViews>
  <sheetFormatPr defaultRowHeight="15" x14ac:dyDescent="0.25"/>
  <cols>
    <col max="1" min="1" width="5"/>
    <col max="2" min="2" width="19.85546875"/>
    <col max="3" min="3" width="18.7109375"/>
    <col max="5" min="4" width="22.85546875"/>
    <col max="6" min="6" width="18.7109375"/>
    <col max="7" min="7" width="19.5703125"/>
    <col max="8" min="8" width="19"/>
    <col max="9" min="9" width="21.140625"/>
    <col max="10" min="10" width="24.42578125"/>
    <col max="11" min="11" width="22.5703125"/>
    <col max="12" min="12" width="30.28515625"/>
    <col max="13" min="13" width="25.85546875"/>
    <col max="14" min="14" width="24.5703125"/>
    <col max="15" min="15" width="22.140625"/>
    <col max="1025" min="16" width="8.7109375"/>
  </cols>
  <sheetData>
    <row r="1" spans="2:2" x14ac:dyDescent="0.25">
      <c r="B1" t="s">
        <v>56</v>
      </c>
    </row>
    <row r="37" spans="2:11" x14ac:dyDescent="0.25">
      <c r="B37" s="1" t="s">
        <v>1</v>
      </c>
      <c r="C37" s="2" t="s">
        <v>2</v>
      </c>
      <c r="D37" s="2" t="s">
        <v>3</v>
      </c>
      <c r="E37" s="2" t="s">
        <v>4</v>
      </c>
      <c r="F37" s="2" t="s">
        <v>5</v>
      </c>
      <c r="G37" s="2" t="s">
        <v>6</v>
      </c>
      <c r="H37" s="2" t="s">
        <v>7</v>
      </c>
      <c r="I37" s="2" t="s">
        <v>8</v>
      </c>
      <c r="J37" s="2" t="s">
        <v>9</v>
      </c>
      <c r="K37" s="3" t="s">
        <v>10</v>
      </c>
    </row>
    <row r="38" spans="2:11" x14ac:dyDescent="0.25">
      <c r="B38" s="4" t="s">
        <v>11</v>
      </c>
      <c r="C38" s="5" t="e">
        <f>AVERAGE(Range_39f2d0c7792d44aaa5cfa94a0950455d) - J38</f>
      </c>
      <c r="D38" s="5" t="e">
        <f>AVERAGE(Range_d4ea57b68313484da01fd73cd0d08d45) - J38</f>
      </c>
      <c r="E38" s="5" t="e">
        <f>AVERAGE(Range_e9d6b111e15f4f8c808e803998b02152) - J38</f>
      </c>
      <c r="F38" s="5" t="e">
        <f>AVERAGE(Range_c2e4ce20feae4361bcee721d5e5144f8) - J39</f>
      </c>
      <c r="G38" s="5" t="e">
        <f>AVERAGE(Range_535c32e16edf4927b81dca0f60a80860) - J39</f>
      </c>
      <c r="H38" s="5" t="e">
        <f>AVERAGE(Range_bac5bb0bdcf64a57832b3fae154413a4) - J39</f>
      </c>
      <c r="I38" s="5" t="e">
        <f>AVERAGE(Range_05f35c3ad7a04e6985e9ba112016ffbc) - J38</f>
      </c>
      <c r="J38" s="5" t="e">
        <f>AVERAGE(Range_2aa632902bea45d295b50f4c12500053)</f>
      </c>
      <c r="K38" s="6" t="e">
        <f>AVERAGE(Range_63409225b25b4f36b0dab80197193353)</f>
      </c>
    </row>
    <row r="39" spans="2:11" x14ac:dyDescent="0.25">
      <c r="B39" s="7" t="s">
        <v>12</v>
      </c>
      <c r="C39" s="8" t="e">
        <f ref="C39:I39" si="0" t="shared">C40-C38</f>
      </c>
      <c r="D39" s="8" t="e">
        <f si="0" t="shared"/>
      </c>
      <c r="E39" s="8" t="e">
        <f si="0" t="shared"/>
      </c>
      <c r="F39" s="8" t="e">
        <f si="0" t="shared"/>
      </c>
      <c r="G39" s="8" t="e">
        <f si="0" t="shared"/>
      </c>
      <c r="H39" s="8" t="e">
        <f si="0" t="shared"/>
      </c>
      <c r="I39" s="8" t="e">
        <f si="0" t="shared"/>
      </c>
      <c r="J39" s="8"/>
      <c r="K39" s="9"/>
    </row>
    <row r="40" spans="2:11" x14ac:dyDescent="0.25">
      <c r="B40" s="4" t="s">
        <v>13</v>
      </c>
      <c r="C40" s="5" t="e">
        <f>AVERAGE(Range_6b445750e1c34940bb8ea2990e4733c2) - J38</f>
      </c>
      <c r="D40" s="5" t="e">
        <f>AVERAGE(Range_65c4b3862ce74f95a1762d5e62df2798) - J38</f>
      </c>
      <c r="E40" s="5" t="e">
        <f>AVERAGE(Range_515fdeb5c96e4d6aa0aaae1967bcd898) - J38</f>
      </c>
      <c r="F40" s="5" t="e">
        <f>AVERAGE(Range_79245d64bddf434bb26c224106bb6387) - J39</f>
      </c>
      <c r="G40" s="5" t="e">
        <f>AVERAGE(Range_4d9a52133728471080e884981c103292) - J39</f>
      </c>
      <c r="H40" s="5" t="e">
        <f>AVERAGE(Range_856bdaa54ecb49d58200c4b2ab61a02a) - J39</f>
      </c>
      <c r="I40" s="5" t="e">
        <f>AVERAGE(Range_bac9b2f2a5f34c2f9a3d321c9bc33f15) - J38</f>
      </c>
      <c r="J40" s="5"/>
      <c r="K40" s="6"/>
    </row>
    <row r="41" spans="2:11" x14ac:dyDescent="0.25">
      <c r="B41" s="10" t="s">
        <v>14</v>
      </c>
      <c r="C41" s="11" t="e">
        <f>AVERAGE(Range_084d844ac336466cacb04c5777b6fa04)</f>
      </c>
      <c r="D41" s="11" t="e">
        <f>AVERAGE(Range_fa4bd4607d2049859804d1a7fb143ca7)</f>
      </c>
      <c r="E41" s="11" t="e">
        <f>AVERAGE(Range_8bcf96228adf4591a37f440bd422f8e4)</f>
      </c>
      <c r="F41" s="11" t="e">
        <f>AVERAGE(Range_71c4c2050b74484ba58c6d4354a53707)</f>
      </c>
      <c r="G41" s="11" t="e">
        <f>AVERAGE(Range_ea1177f92ecb469ebcc252fbae2e12f5)</f>
      </c>
      <c r="H41" s="11" t="e">
        <f>AVERAGE(Range_49ca6ce7a7954c5e9bdc2268d64ef63e)</f>
      </c>
      <c r="I41" s="11" t="e">
        <f>AVERAGE(Range_ab016d3af63b4340a4429ab2c363dfc6)</f>
      </c>
      <c r="J41" s="12"/>
      <c r="K41" s="13"/>
    </row>
    <row r="42" spans="2:11" x14ac:dyDescent="0.25">
      <c r="C42" s="14"/>
      <c r="D42" s="14"/>
      <c r="E42" s="14"/>
      <c r="F42" s="14"/>
      <c r="G42" s="14"/>
      <c r="H42" s="14"/>
      <c r="I42" s="14"/>
    </row>
    <row r="45" spans="2:11" x14ac:dyDescent="0.25">
      <c r="B45" s="1" t="s">
        <v>15</v>
      </c>
      <c r="C45" s="2" t="s">
        <v>2</v>
      </c>
      <c r="D45" s="2" t="s">
        <v>3</v>
      </c>
      <c r="E45" s="2" t="s">
        <v>4</v>
      </c>
      <c r="F45" s="2" t="s">
        <v>5</v>
      </c>
      <c r="G45" s="2" t="s">
        <v>6</v>
      </c>
      <c r="H45" s="2" t="s">
        <v>7</v>
      </c>
      <c r="I45" s="3" t="s">
        <v>8</v>
      </c>
    </row>
    <row r="46" spans="2:11" x14ac:dyDescent="0.25">
      <c r="B46" s="4" t="s">
        <v>11</v>
      </c>
      <c r="C46" s="5" t="e">
        <f>DEVSQ(Range_39f2d0c7792d44aaa5cfa94a0950455d)</f>
      </c>
      <c r="D46" s="5" t="e">
        <f>DEVSQ(Range_d4ea57b68313484da01fd73cd0d08d45)</f>
      </c>
      <c r="E46" s="5" t="e">
        <f>DEVSQ(Range_e9d6b111e15f4f8c808e803998b02152)</f>
      </c>
      <c r="F46" s="5" t="e">
        <f>DEVSQ(Range_c2e4ce20feae4361bcee721d5e5144f8)</f>
      </c>
      <c r="G46" s="5" t="e">
        <f>DEVSQ(Range_535c32e16edf4927b81dca0f60a80860)</f>
      </c>
      <c r="H46" s="5" t="e">
        <f>DEVSQ(Range_bac5bb0bdcf64a57832b3fae154413a4)</f>
      </c>
      <c r="I46" s="6" t="e">
        <f>DEVSQ(Range_05f35c3ad7a04e6985e9ba112016ffbc)</f>
      </c>
    </row>
    <row r="47" spans="2:11" x14ac:dyDescent="0.25">
      <c r="B47" s="10" t="s">
        <v>13</v>
      </c>
      <c r="C47" s="12" t="e">
        <f>DEVSQ(Range_6b445750e1c34940bb8ea2990e4733c2)</f>
      </c>
      <c r="D47" s="12" t="e">
        <f>DEVSQ(Range_65c4b3862ce74f95a1762d5e62df2798)</f>
      </c>
      <c r="E47" s="12" t="e">
        <f>DEVSQ(Range_515fdeb5c96e4d6aa0aaae1967bcd898)</f>
      </c>
      <c r="F47" s="12" t="e">
        <f>DEVSQ(Range_79245d64bddf434bb26c224106bb6387)</f>
      </c>
      <c r="G47" s="12" t="e">
        <f>DEVSQ(Range_4d9a52133728471080e884981c103292)</f>
      </c>
      <c r="H47" s="12" t="e">
        <f>DEVSQ(Range_856bdaa54ecb49d58200c4b2ab61a02a)</f>
      </c>
      <c r="I47" s="13" t="e">
        <f>DEVSQ(Range_bac9b2f2a5f34c2f9a3d321c9bc33f15)</f>
      </c>
    </row>
    <row r="48" spans="2:11" x14ac:dyDescent="0.25">
      <c r="C48" s="14"/>
      <c r="D48" s="14"/>
      <c r="E48" s="14"/>
      <c r="F48" s="14"/>
      <c r="G48" s="14"/>
    </row>
    <row r="50" spans="2:15" x14ac:dyDescent="0.25">
      <c r="B50" s="15" t="s">
        <v>16</v>
      </c>
    </row>
    <row r="51" spans="2:15" x14ac:dyDescent="0.25">
      <c r="B51" s="1" t="s">
        <v>17</v>
      </c>
      <c r="C51" s="2" t="s">
        <v>18</v>
      </c>
      <c r="D51" s="2" t="s">
        <v>19</v>
      </c>
      <c r="E51" s="2" t="s">
        <v>20</v>
      </c>
      <c r="F51" s="2" t="s">
        <v>21</v>
      </c>
      <c r="G51" s="2" t="s">
        <v>22</v>
      </c>
      <c r="H51" s="2" t="s">
        <v>23</v>
      </c>
      <c r="I51" s="2" t="s">
        <v>24</v>
      </c>
      <c r="J51" s="2" t="s">
        <v>25</v>
      </c>
      <c r="K51" s="2" t="s">
        <v>26</v>
      </c>
      <c r="L51" s="2" t="s">
        <v>27</v>
      </c>
      <c r="M51" s="2" t="s">
        <v>28</v>
      </c>
      <c r="N51" s="2" t="s">
        <v>29</v>
      </c>
      <c r="O51" s="3" t="s">
        <v>30</v>
      </c>
    </row>
    <row r="52" spans="2:15" x14ac:dyDescent="0.25">
      <c r="B52" s="16">
        <v>97.0</v>
      </c>
      <c r="C52" s="17">
        <v>110.0</v>
      </c>
      <c r="D52" s="17">
        <v>9.0</v>
      </c>
      <c r="E52" s="17">
        <v>140.0</v>
      </c>
      <c r="F52" s="17">
        <v>9.0</v>
      </c>
      <c r="G52" s="17">
        <v>74.0</v>
      </c>
      <c r="H52" s="17">
        <v>78.0</v>
      </c>
      <c r="I52" s="17">
        <v>73.0</v>
      </c>
      <c r="J52" s="17">
        <v>16.0</v>
      </c>
      <c r="K52" s="17">
        <v>140.0</v>
      </c>
      <c r="L52" s="17">
        <v>0.0</v>
      </c>
      <c r="M52" s="17">
        <v>53.0</v>
      </c>
      <c r="N52" s="17">
        <v>62.0</v>
      </c>
      <c r="O52" s="18">
        <v>37.0</v>
      </c>
    </row>
    <row r="53" spans="2:15" x14ac:dyDescent="0.25">
      <c r="B53" s="16">
        <v>97.0</v>
      </c>
      <c r="C53" s="17">
        <v>110.0</v>
      </c>
      <c r="D53" s="17">
        <v>9.0</v>
      </c>
      <c r="E53" s="17">
        <v>140.0</v>
      </c>
      <c r="F53" s="17">
        <v>9.0</v>
      </c>
      <c r="G53" s="17">
        <v>74.0</v>
      </c>
      <c r="H53" s="17">
        <v>78.0</v>
      </c>
      <c r="I53" s="17">
        <v>73.0</v>
      </c>
      <c r="J53" s="17">
        <v>0.0</v>
      </c>
      <c r="K53" s="17">
        <v>140.0</v>
      </c>
      <c r="L53" s="17">
        <v>0.0</v>
      </c>
      <c r="M53" s="17">
        <v>53.0</v>
      </c>
      <c r="N53" s="17">
        <v>62.0</v>
      </c>
      <c r="O53" s="18">
        <v>37.0</v>
      </c>
    </row>
    <row r="54" spans="2:15" x14ac:dyDescent="0.25">
      <c r="B54" s="16">
        <v>99.0</v>
      </c>
      <c r="C54" s="17">
        <v>110.0</v>
      </c>
      <c r="D54" s="17">
        <v>9.0</v>
      </c>
      <c r="E54" s="17">
        <v>140.0</v>
      </c>
      <c r="F54" s="17">
        <v>9.0</v>
      </c>
      <c r="G54" s="17">
        <v>74.0</v>
      </c>
      <c r="H54" s="17">
        <v>78.0</v>
      </c>
      <c r="I54" s="17">
        <v>73.0</v>
      </c>
      <c r="J54" s="17">
        <v>16.0</v>
      </c>
      <c r="K54" s="17">
        <v>140.0</v>
      </c>
      <c r="L54" s="17">
        <v>0.0</v>
      </c>
      <c r="M54" s="17">
        <v>53.0</v>
      </c>
      <c r="N54" s="17">
        <v>62.0</v>
      </c>
      <c r="O54" s="18">
        <v>37.0</v>
      </c>
    </row>
    <row r="55" spans="2:15" x14ac:dyDescent="0.25"/>
    <row r="56" spans="2:15" x14ac:dyDescent="0.25">
      <c r="B56" s="15" t="s">
        <v>45</v>
      </c>
      <c r="C56"/>
      <c r="D56"/>
      <c r="E56"/>
      <c r="F56"/>
      <c r="G56"/>
      <c r="H56"/>
      <c r="I56"/>
      <c r="J56"/>
      <c r="K56"/>
      <c r="L56"/>
      <c r="M56"/>
      <c r="N56"/>
      <c r="O56"/>
    </row>
    <row r="57" spans="2:15" x14ac:dyDescent="0.25">
      <c r="B57" s="1" t="s">
        <v>17</v>
      </c>
      <c r="C57" s="2" t="s">
        <v>19</v>
      </c>
      <c r="D57" s="2" t="s">
        <v>21</v>
      </c>
      <c r="E57" s="2" t="s">
        <v>23</v>
      </c>
      <c r="F57" s="2" t="s">
        <v>25</v>
      </c>
      <c r="G57" s="2" t="s">
        <v>27</v>
      </c>
      <c r="H57" s="2" t="s">
        <v>29</v>
      </c>
      <c r="I57" s="2" t="s">
        <v>9</v>
      </c>
      <c r="J57" s="3" t="s">
        <v>10</v>
      </c>
      <c r="K57"/>
      <c r="L57"/>
      <c r="M57"/>
      <c r="N57"/>
      <c r="O57"/>
    </row>
    <row r="58" spans="2:15" x14ac:dyDescent="0.25">
      <c r="B58" s="16">
        <v>142.0</v>
      </c>
      <c r="C58" s="17">
        <v>25.0</v>
      </c>
      <c r="D58" s="17">
        <v>26.0</v>
      </c>
      <c r="E58" s="17">
        <v>140.0</v>
      </c>
      <c r="F58" s="17">
        <v>0.0</v>
      </c>
      <c r="G58" s="17">
        <v>0.0</v>
      </c>
      <c r="H58" s="17">
        <v>69.0</v>
      </c>
      <c r="I58" s="17">
        <v>1.0</v>
      </c>
      <c r="J58" s="18">
        <v>0.0</v>
      </c>
    </row>
    <row r="59" spans="2:15" x14ac:dyDescent="0.25">
      <c r="B59" s="16">
        <v>141.0</v>
      </c>
      <c r="C59" s="17">
        <v>25.0</v>
      </c>
      <c r="D59" s="17">
        <v>25.0</v>
      </c>
      <c r="E59" s="17">
        <v>141.0</v>
      </c>
      <c r="F59" s="17">
        <v>0.0</v>
      </c>
      <c r="G59" s="17">
        <v>0.0</v>
      </c>
      <c r="H59" s="17">
        <v>69.0</v>
      </c>
      <c r="I59" s="17">
        <v>1.0</v>
      </c>
      <c r="J59" s="18">
        <v>0.0</v>
      </c>
    </row>
    <row r="60" spans="2:15" x14ac:dyDescent="0.25">
      <c r="B60" s="16">
        <v>141.0</v>
      </c>
      <c r="C60" s="17">
        <v>25.0</v>
      </c>
      <c r="D60" s="17">
        <v>25.0</v>
      </c>
      <c r="E60" s="17">
        <v>125.0</v>
      </c>
      <c r="F60" s="17">
        <v>0.0</v>
      </c>
      <c r="G60" s="17">
        <v>0.0</v>
      </c>
      <c r="H60" s="17">
        <v>69.0</v>
      </c>
      <c r="I60" s="17">
        <v>1.0</v>
      </c>
      <c r="J60" s="18">
        <v>0.0</v>
      </c>
    </row>
  </sheetData>
  <pageMargins bottom="0.75" footer="0.51180555555555496" header="0.51180555555555496" left="0.7" right="0.7" top="0.75"/>
  <pageSetup copies="0" firstPageNumber="0" horizontalDpi="0" orientation="portrait" paperSize="0" scale="0" usePrinterDefaults="0" verticalDpi="0"/>
  <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B1:O56"/>
  <sheetViews>
    <sheetView workbookViewId="0" zoomScaleNormal="100">
      <selection activeCell="B1" sqref="B1"/>
    </sheetView>
  </sheetViews>
  <sheetFormatPr defaultRowHeight="15" x14ac:dyDescent="0.25"/>
  <cols>
    <col max="1" min="1" width="5"/>
    <col max="2" min="2" width="19.85546875"/>
    <col max="3" min="3" width="18.7109375"/>
    <col max="5" min="4" width="22.85546875"/>
    <col max="6" min="6" width="18.7109375"/>
    <col max="7" min="7" width="19.5703125"/>
    <col max="8" min="8" width="19"/>
    <col max="9" min="9" width="21.140625"/>
    <col max="10" min="10" width="24.42578125"/>
    <col max="11" min="11" width="22.5703125"/>
    <col max="12" min="12" width="30.28515625"/>
    <col max="13" min="13" width="25.85546875"/>
    <col max="14" min="14" width="24.5703125"/>
    <col max="15" min="15" width="22.140625"/>
    <col max="1025" min="16" width="8.7109375"/>
  </cols>
  <sheetData>
    <row r="1" spans="2:2" x14ac:dyDescent="0.25">
      <c r="B1" t="s">
        <v>57</v>
      </c>
    </row>
    <row r="37" spans="2:11" x14ac:dyDescent="0.25">
      <c r="B37" s="1" t="s">
        <v>1</v>
      </c>
      <c r="C37" s="2" t="s">
        <v>2</v>
      </c>
      <c r="D37" s="2" t="s">
        <v>3</v>
      </c>
      <c r="E37" s="2" t="s">
        <v>4</v>
      </c>
      <c r="F37" s="2" t="s">
        <v>5</v>
      </c>
      <c r="G37" s="2" t="s">
        <v>6</v>
      </c>
      <c r="H37" s="2" t="s">
        <v>7</v>
      </c>
      <c r="I37" s="2" t="s">
        <v>8</v>
      </c>
      <c r="J37" s="2" t="s">
        <v>9</v>
      </c>
      <c r="K37" s="3" t="s">
        <v>10</v>
      </c>
    </row>
    <row r="38" spans="2:11" x14ac:dyDescent="0.25">
      <c r="B38" s="4" t="s">
        <v>11</v>
      </c>
      <c r="C38" s="5" t="e">
        <f>AVERAGE(Range_08a2936d57dc472e886a0cd359d84ad8) - J38</f>
      </c>
      <c r="D38" s="5" t="e">
        <f>AVERAGE(Range_6c34f528bf9141c9a78c9ed3dbcb9643) - J38</f>
      </c>
      <c r="E38" s="5" t="e">
        <f>AVERAGE(Range_a8701d7510b44b94b185f1b4648d027e) - J38</f>
      </c>
      <c r="F38" s="5" t="e">
        <f>AVERAGE(Range_30d0d4c782724daea81f4dbea1b577c8) - J39</f>
      </c>
      <c r="G38" s="5" t="e">
        <f>AVERAGE(Range_0eefb3a4d2664b70bcd974dbedd3686d) - J39</f>
      </c>
      <c r="H38" s="5" t="e">
        <f>AVERAGE(Range_16b04d9c0795452fa651c287e2899fa8) - J39</f>
      </c>
      <c r="I38" s="5" t="e">
        <f>AVERAGE(Range_aaf7d70ec26e496ca6f3db9d98ccd76e) - J38</f>
      </c>
      <c r="J38" s="5" t="e">
        <f>AVERAGE(Range_1f5b64b10b22479f95ce90f8d8feaac8)</f>
      </c>
      <c r="K38" s="6" t="e">
        <f>AVERAGE(Range_ad3e34e6d1064259965d5e4cca6ff520)</f>
      </c>
    </row>
    <row r="39" spans="2:11" x14ac:dyDescent="0.25">
      <c r="B39" s="7" t="s">
        <v>12</v>
      </c>
      <c r="C39" s="8" t="e">
        <f ref="C39:I39" si="0" t="shared">C40-C38</f>
      </c>
      <c r="D39" s="8" t="e">
        <f si="0" t="shared"/>
      </c>
      <c r="E39" s="8" t="e">
        <f si="0" t="shared"/>
      </c>
      <c r="F39" s="8" t="e">
        <f si="0" t="shared"/>
      </c>
      <c r="G39" s="8" t="e">
        <f si="0" t="shared"/>
      </c>
      <c r="H39" s="8" t="e">
        <f si="0" t="shared"/>
      </c>
      <c r="I39" s="8" t="e">
        <f si="0" t="shared"/>
      </c>
      <c r="J39" s="8"/>
      <c r="K39" s="9"/>
    </row>
    <row r="40" spans="2:11" x14ac:dyDescent="0.25">
      <c r="B40" s="4" t="s">
        <v>13</v>
      </c>
      <c r="C40" s="5" t="e">
        <f>AVERAGE(Range_32bbc9cf2e7f4a83884ca128e37bf058) - J38</f>
      </c>
      <c r="D40" s="5" t="e">
        <f>AVERAGE(Range_71bd7e550aa443538db8184c73221eb6) - J38</f>
      </c>
      <c r="E40" s="5" t="e">
        <f>AVERAGE(Range_b6443d9308694b7b8cfab31f4dd60099) - J38</f>
      </c>
      <c r="F40" s="5" t="e">
        <f>AVERAGE(Range_373f38d173f54f85ad73cad26a133994) - J39</f>
      </c>
      <c r="G40" s="5" t="e">
        <f>AVERAGE(Range_b3cd81fce41e4eba9c68011797b7d289) - J39</f>
      </c>
      <c r="H40" s="5" t="e">
        <f>AVERAGE(Range_2575238dec6e45508ebc9eef72b85cd4) - J39</f>
      </c>
      <c r="I40" s="5" t="e">
        <f>AVERAGE(Range_6fa4e507d366412ea9b6dba1d239548b) - J38</f>
      </c>
      <c r="J40" s="5"/>
      <c r="K40" s="6"/>
    </row>
    <row r="41" spans="2:11" x14ac:dyDescent="0.25">
      <c r="B41" s="10" t="s">
        <v>14</v>
      </c>
      <c r="C41" s="11" t="e">
        <f>AVERAGE(Range_906ce463634c4cf2bda4e523c4f12a9c)</f>
      </c>
      <c r="D41" s="11" t="e">
        <f>AVERAGE(Range_9386e87b57004377916a8e40b7004a15)</f>
      </c>
      <c r="E41" s="11" t="e">
        <f>AVERAGE(Range_c5193f0d032f4d35854de1eed9b2f5d9)</f>
      </c>
      <c r="F41" s="11" t="e">
        <f>AVERAGE(Range_9ce2c7c974a049d5b5ab7ead6f3674a5)</f>
      </c>
      <c r="G41" s="11" t="e">
        <f>AVERAGE(Range_4d6e1527fcc7473aba051a860500515c)</f>
      </c>
      <c r="H41" s="11" t="e">
        <f>AVERAGE(Range_7606c128722e46619c00973d510fb150)</f>
      </c>
      <c r="I41" s="11" t="e">
        <f>AVERAGE(Range_768e35a116334ad4ba3ff4db2c5e01ab)</f>
      </c>
      <c r="J41" s="12"/>
      <c r="K41" s="13"/>
    </row>
    <row r="42" spans="2:11" x14ac:dyDescent="0.25">
      <c r="C42" s="14"/>
      <c r="D42" s="14"/>
      <c r="E42" s="14"/>
      <c r="F42" s="14"/>
      <c r="G42" s="14"/>
      <c r="H42" s="14"/>
      <c r="I42" s="14"/>
    </row>
    <row r="45" spans="2:11" x14ac:dyDescent="0.25">
      <c r="B45" s="1" t="s">
        <v>15</v>
      </c>
      <c r="C45" s="2" t="s">
        <v>2</v>
      </c>
      <c r="D45" s="2" t="s">
        <v>3</v>
      </c>
      <c r="E45" s="2" t="s">
        <v>4</v>
      </c>
      <c r="F45" s="2" t="s">
        <v>5</v>
      </c>
      <c r="G45" s="2" t="s">
        <v>6</v>
      </c>
      <c r="H45" s="2" t="s">
        <v>7</v>
      </c>
      <c r="I45" s="3" t="s">
        <v>8</v>
      </c>
    </row>
    <row r="46" spans="2:11" x14ac:dyDescent="0.25">
      <c r="B46" s="4" t="s">
        <v>11</v>
      </c>
      <c r="C46" s="5" t="e">
        <f>DEVSQ(Range_08a2936d57dc472e886a0cd359d84ad8)</f>
      </c>
      <c r="D46" s="5" t="e">
        <f>DEVSQ(Range_6c34f528bf9141c9a78c9ed3dbcb9643)</f>
      </c>
      <c r="E46" s="5" t="e">
        <f>DEVSQ(Range_a8701d7510b44b94b185f1b4648d027e)</f>
      </c>
      <c r="F46" s="5" t="e">
        <f>DEVSQ(Range_30d0d4c782724daea81f4dbea1b577c8)</f>
      </c>
      <c r="G46" s="5" t="e">
        <f>DEVSQ(Range_0eefb3a4d2664b70bcd974dbedd3686d)</f>
      </c>
      <c r="H46" s="5" t="e">
        <f>DEVSQ(Range_16b04d9c0795452fa651c287e2899fa8)</f>
      </c>
      <c r="I46" s="6" t="e">
        <f>DEVSQ(Range_aaf7d70ec26e496ca6f3db9d98ccd76e)</f>
      </c>
    </row>
    <row r="47" spans="2:11" x14ac:dyDescent="0.25">
      <c r="B47" s="10" t="s">
        <v>13</v>
      </c>
      <c r="C47" s="12" t="e">
        <f>DEVSQ(Range_32bbc9cf2e7f4a83884ca128e37bf058)</f>
      </c>
      <c r="D47" s="12" t="e">
        <f>DEVSQ(Range_71bd7e550aa443538db8184c73221eb6)</f>
      </c>
      <c r="E47" s="12" t="e">
        <f>DEVSQ(Range_b6443d9308694b7b8cfab31f4dd60099)</f>
      </c>
      <c r="F47" s="12" t="e">
        <f>DEVSQ(Range_373f38d173f54f85ad73cad26a133994)</f>
      </c>
      <c r="G47" s="12" t="e">
        <f>DEVSQ(Range_b3cd81fce41e4eba9c68011797b7d289)</f>
      </c>
      <c r="H47" s="12" t="e">
        <f>DEVSQ(Range_2575238dec6e45508ebc9eef72b85cd4)</f>
      </c>
      <c r="I47" s="13" t="e">
        <f>DEVSQ(Range_6fa4e507d366412ea9b6dba1d239548b)</f>
      </c>
    </row>
    <row r="48" spans="2:11" x14ac:dyDescent="0.25">
      <c r="C48" s="14"/>
      <c r="D48" s="14"/>
      <c r="E48" s="14"/>
      <c r="F48" s="14"/>
      <c r="G48" s="14"/>
    </row>
    <row r="50" spans="2:15" x14ac:dyDescent="0.25">
      <c r="B50" s="15" t="s">
        <v>16</v>
      </c>
    </row>
    <row r="51" spans="2:15" x14ac:dyDescent="0.25">
      <c r="B51" s="1" t="s">
        <v>17</v>
      </c>
      <c r="C51" s="2" t="s">
        <v>18</v>
      </c>
      <c r="D51" s="2" t="s">
        <v>19</v>
      </c>
      <c r="E51" s="2" t="s">
        <v>20</v>
      </c>
      <c r="F51" s="2" t="s">
        <v>21</v>
      </c>
      <c r="G51" s="2" t="s">
        <v>22</v>
      </c>
      <c r="H51" s="2" t="s">
        <v>23</v>
      </c>
      <c r="I51" s="2" t="s">
        <v>24</v>
      </c>
      <c r="J51" s="2" t="s">
        <v>25</v>
      </c>
      <c r="K51" s="2" t="s">
        <v>26</v>
      </c>
      <c r="L51" s="2" t="s">
        <v>27</v>
      </c>
      <c r="M51" s="2" t="s">
        <v>28</v>
      </c>
      <c r="N51" s="2" t="s">
        <v>29</v>
      </c>
      <c r="O51" s="3" t="s">
        <v>30</v>
      </c>
    </row>
    <row r="52" spans="2:15" x14ac:dyDescent="0.25">
      <c r="B52" s="16">
        <v>185.0</v>
      </c>
      <c r="C52" s="17">
        <v>4777768.0</v>
      </c>
      <c r="D52" s="17">
        <v>73.0</v>
      </c>
      <c r="E52" s="17">
        <v>4777780.0</v>
      </c>
      <c r="F52" s="17">
        <v>59.0</v>
      </c>
      <c r="G52" s="17">
        <v>4777768.0</v>
      </c>
      <c r="H52" s="17">
        <v>203.0</v>
      </c>
      <c r="I52" s="17">
        <v>4777780.0</v>
      </c>
      <c r="J52" s="17">
        <v>62.0</v>
      </c>
      <c r="K52" s="17">
        <v>4777780.0</v>
      </c>
      <c r="L52" s="17">
        <v>47.0</v>
      </c>
      <c r="M52" s="17">
        <v>4777768.0</v>
      </c>
      <c r="N52" s="17">
        <v>87.0</v>
      </c>
      <c r="O52" s="18">
        <v>2372376.0</v>
      </c>
    </row>
    <row r="53" spans="2:15" x14ac:dyDescent="0.25">
      <c r="B53" s="16">
        <v>185.0</v>
      </c>
      <c r="C53" s="17">
        <v>4777768.0</v>
      </c>
      <c r="D53" s="17">
        <v>59.0</v>
      </c>
      <c r="E53" s="17">
        <v>4777780.0</v>
      </c>
      <c r="F53" s="17">
        <v>60.0</v>
      </c>
      <c r="G53" s="17">
        <v>4777768.0</v>
      </c>
      <c r="H53" s="17">
        <v>250.0</v>
      </c>
      <c r="I53" s="17">
        <v>4777780.0</v>
      </c>
      <c r="J53" s="17">
        <v>62.0</v>
      </c>
      <c r="K53" s="17">
        <v>4777780.0</v>
      </c>
      <c r="L53" s="17">
        <v>62.0</v>
      </c>
      <c r="M53" s="17">
        <v>4777768.0</v>
      </c>
      <c r="N53" s="17">
        <v>87.0</v>
      </c>
      <c r="O53" s="18">
        <v>2372376.0</v>
      </c>
    </row>
    <row r="54" spans="2:15" x14ac:dyDescent="0.25">
      <c r="B54" s="16">
        <v>188.0</v>
      </c>
      <c r="C54" s="17">
        <v>4777768.0</v>
      </c>
      <c r="D54" s="17">
        <v>58.0</v>
      </c>
      <c r="E54" s="17">
        <v>4777780.0</v>
      </c>
      <c r="F54" s="17">
        <v>58.0</v>
      </c>
      <c r="G54" s="17">
        <v>4777768.0</v>
      </c>
      <c r="H54" s="17">
        <v>218.0</v>
      </c>
      <c r="I54" s="17">
        <v>4777780.0</v>
      </c>
      <c r="J54" s="17">
        <v>62.0</v>
      </c>
      <c r="K54" s="17">
        <v>4777780.0</v>
      </c>
      <c r="L54" s="17">
        <v>47.0</v>
      </c>
      <c r="M54" s="17">
        <v>4777768.0</v>
      </c>
      <c r="N54" s="17">
        <v>86.0</v>
      </c>
      <c r="O54" s="18">
        <v>2372376.0</v>
      </c>
    </row>
    <row r="55" spans="2:15" x14ac:dyDescent="0.25"/>
    <row r="56" spans="2:15" x14ac:dyDescent="0.25">
      <c r="B56" s="15" t="s">
        <v>45</v>
      </c>
      <c r="C56"/>
      <c r="D56"/>
      <c r="E56"/>
      <c r="F56"/>
      <c r="G56"/>
      <c r="H56"/>
      <c r="I56"/>
      <c r="J56"/>
      <c r="K56"/>
      <c r="L56"/>
      <c r="M56"/>
      <c r="N56"/>
      <c r="O56"/>
    </row>
    <row r="57" spans="2:15" x14ac:dyDescent="0.25">
      <c r="B57" s="1" t="s">
        <v>17</v>
      </c>
      <c r="C57" s="2" t="s">
        <v>19</v>
      </c>
      <c r="D57" s="2" t="s">
        <v>21</v>
      </c>
      <c r="E57" s="2" t="s">
        <v>23</v>
      </c>
      <c r="F57" s="2" t="s">
        <v>25</v>
      </c>
      <c r="G57" s="2" t="s">
        <v>27</v>
      </c>
      <c r="H57" s="2" t="s">
        <v>29</v>
      </c>
      <c r="I57" s="2" t="s">
        <v>9</v>
      </c>
      <c r="J57" s="3" t="s">
        <v>10</v>
      </c>
      <c r="K57"/>
      <c r="L57"/>
      <c r="M57"/>
      <c r="N57"/>
      <c r="O57"/>
    </row>
    <row r="58" spans="2:15" x14ac:dyDescent="0.25">
      <c r="B58" s="16">
        <v>548.0</v>
      </c>
      <c r="C58" s="17">
        <v>121.0</v>
      </c>
      <c r="D58" s="17">
        <v>127.0</v>
      </c>
      <c r="E58" s="17">
        <v>437.0</v>
      </c>
      <c r="F58" s="17">
        <v>109.0</v>
      </c>
      <c r="G58" s="17">
        <v>109.0</v>
      </c>
      <c r="H58" s="17">
        <v>151.0</v>
      </c>
      <c r="I58" s="17">
        <v>15.0</v>
      </c>
      <c r="J58" s="18">
        <v>31.0</v>
      </c>
    </row>
    <row r="59" spans="2:15" x14ac:dyDescent="0.25">
      <c r="B59" s="16">
        <v>574.0</v>
      </c>
      <c r="C59" s="17">
        <v>128.0</v>
      </c>
      <c r="D59" s="17">
        <v>128.0</v>
      </c>
      <c r="E59" s="17">
        <v>406.0</v>
      </c>
      <c r="F59" s="17">
        <v>109.0</v>
      </c>
      <c r="G59" s="17">
        <v>109.0</v>
      </c>
      <c r="H59" s="17">
        <v>151.0</v>
      </c>
      <c r="I59" s="17">
        <v>14.0</v>
      </c>
      <c r="J59" s="18">
        <v>31.0</v>
      </c>
    </row>
    <row r="60" spans="2:15" x14ac:dyDescent="0.25">
      <c r="B60" s="16">
        <v>593.0</v>
      </c>
      <c r="C60" s="17">
        <v>123.0</v>
      </c>
      <c r="D60" s="17">
        <v>123.0</v>
      </c>
      <c r="E60" s="17">
        <v>421.0</v>
      </c>
      <c r="F60" s="17">
        <v>110.0</v>
      </c>
      <c r="G60" s="17">
        <v>110.0</v>
      </c>
      <c r="H60" s="17">
        <v>154.0</v>
      </c>
      <c r="I60" s="17">
        <v>14.0</v>
      </c>
      <c r="J60" s="18">
        <v>31.0</v>
      </c>
    </row>
  </sheetData>
  <pageMargins bottom="0.75" footer="0.51180555555555496" header="0.51180555555555496" left="0.7" right="0.7" top="0.75"/>
  <pageSetup copies="0" firstPageNumber="0" horizontalDpi="0" orientation="portrait" paperSize="0" scale="0" usePrinterDefaults="0" verticalDpi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B1:O56"/>
  <sheetViews>
    <sheetView workbookViewId="0" zoomScaleNormal="100">
      <selection activeCell="B1" sqref="B1"/>
    </sheetView>
  </sheetViews>
  <sheetFormatPr defaultRowHeight="15" x14ac:dyDescent="0.25"/>
  <cols>
    <col max="1" min="1" width="5"/>
    <col max="2" min="2" width="19.85546875"/>
    <col max="3" min="3" width="18.7109375"/>
    <col max="5" min="4" width="22.85546875"/>
    <col max="6" min="6" width="18.7109375"/>
    <col max="7" min="7" width="19.5703125"/>
    <col max="8" min="8" width="19"/>
    <col max="9" min="9" width="21.140625"/>
    <col max="10" min="10" width="24.42578125"/>
    <col max="11" min="11" width="22.5703125"/>
    <col max="12" min="12" width="30.28515625"/>
    <col max="13" min="13" width="25.85546875"/>
    <col max="14" min="14" width="24.5703125"/>
    <col max="15" min="15" width="22.140625"/>
    <col max="1025" min="16" width="8.7109375"/>
  </cols>
  <sheetData>
    <row r="1" spans="2:2" x14ac:dyDescent="0.25">
      <c r="B1" t="s">
        <v>58</v>
      </c>
    </row>
    <row r="37" spans="2:11" x14ac:dyDescent="0.25">
      <c r="B37" s="1" t="s">
        <v>1</v>
      </c>
      <c r="C37" s="2" t="s">
        <v>2</v>
      </c>
      <c r="D37" s="2" t="s">
        <v>3</v>
      </c>
      <c r="E37" s="2" t="s">
        <v>4</v>
      </c>
      <c r="F37" s="2" t="s">
        <v>5</v>
      </c>
      <c r="G37" s="2" t="s">
        <v>6</v>
      </c>
      <c r="H37" s="2" t="s">
        <v>7</v>
      </c>
      <c r="I37" s="2" t="s">
        <v>8</v>
      </c>
      <c r="J37" s="2" t="s">
        <v>9</v>
      </c>
      <c r="K37" s="3" t="s">
        <v>10</v>
      </c>
    </row>
    <row r="38" spans="2:11" x14ac:dyDescent="0.25">
      <c r="B38" s="4" t="s">
        <v>11</v>
      </c>
      <c r="C38" s="5" t="e">
        <f>AVERAGE(Range_161cb27afc39459c87ed409c3bb481cd) - J38</f>
      </c>
      <c r="D38" s="5" t="e">
        <f>AVERAGE(Range_b9db1a2904cb49a48530b09d6983b955) - J38</f>
      </c>
      <c r="E38" s="5" t="e">
        <f>AVERAGE(Range_107cc11faabf43fdbf27347034bf77cd) - J38</f>
      </c>
      <c r="F38" s="5" t="e">
        <f>AVERAGE(Range_07a7dfd917c84b8993978cb9520e8c65) - J39</f>
      </c>
      <c r="G38" s="5" t="e">
        <f>AVERAGE(Range_b3e91a1db55540a98e7fdc8e844d1959) - J39</f>
      </c>
      <c r="H38" s="5" t="e">
        <f>AVERAGE(Range_7f8ff31d46d8464ab55f49e1e7fdaae7) - J39</f>
      </c>
      <c r="I38" s="5" t="e">
        <f>AVERAGE(Range_4f53634dd72742cb83bf859ae93c99a2) - J38</f>
      </c>
      <c r="J38" s="5" t="e">
        <f>AVERAGE(Range_90bf2b9f25fc4a97a640645156950f61)</f>
      </c>
      <c r="K38" s="6" t="e">
        <f>AVERAGE(Range_45ec6e94dcd148409ac538fefa79942a)</f>
      </c>
    </row>
    <row r="39" spans="2:11" x14ac:dyDescent="0.25">
      <c r="B39" s="7" t="s">
        <v>12</v>
      </c>
      <c r="C39" s="8" t="e">
        <f ref="C39:I39" si="0" t="shared">C40-C38</f>
      </c>
      <c r="D39" s="8" t="e">
        <f si="0" t="shared"/>
      </c>
      <c r="E39" s="8" t="e">
        <f si="0" t="shared"/>
      </c>
      <c r="F39" s="8" t="e">
        <f si="0" t="shared"/>
      </c>
      <c r="G39" s="8" t="e">
        <f si="0" t="shared"/>
      </c>
      <c r="H39" s="8" t="e">
        <f si="0" t="shared"/>
      </c>
      <c r="I39" s="8" t="e">
        <f si="0" t="shared"/>
      </c>
      <c r="J39" s="8"/>
      <c r="K39" s="9"/>
    </row>
    <row r="40" spans="2:11" x14ac:dyDescent="0.25">
      <c r="B40" s="4" t="s">
        <v>13</v>
      </c>
      <c r="C40" s="5" t="e">
        <f>AVERAGE(Range_b83e3b7dbc1845fda316edb1365f338e) - J38</f>
      </c>
      <c r="D40" s="5" t="e">
        <f>AVERAGE(Range_dc770cdadc784746935e4675a5b4e883) - J38</f>
      </c>
      <c r="E40" s="5" t="e">
        <f>AVERAGE(Range_3d05d38a5dd84d8fad9f184730c44da6) - J38</f>
      </c>
      <c r="F40" s="5" t="e">
        <f>AVERAGE(Range_b2a2b25af0ba4cb39eb62f2463131ecb) - J39</f>
      </c>
      <c r="G40" s="5" t="e">
        <f>AVERAGE(Range_edbdc82d2dd64eaf8dc551a319a231ee) - J39</f>
      </c>
      <c r="H40" s="5" t="e">
        <f>AVERAGE(Range_363bb153b8e7437ebf7ca46e90576045) - J39</f>
      </c>
      <c r="I40" s="5" t="e">
        <f>AVERAGE(Range_cf735f70924a423998c3b1d9d67afa15) - J38</f>
      </c>
      <c r="J40" s="5"/>
      <c r="K40" s="6"/>
    </row>
    <row r="41" spans="2:11" x14ac:dyDescent="0.25">
      <c r="B41" s="10" t="s">
        <v>14</v>
      </c>
      <c r="C41" s="11" t="e">
        <f>AVERAGE(Range_efa41b605cad4539af11def632c7feae)</f>
      </c>
      <c r="D41" s="11" t="e">
        <f>AVERAGE(Range_f38e3bd32ca846ba85a4c75d26872480)</f>
      </c>
      <c r="E41" s="11" t="e">
        <f>AVERAGE(Range_e78d2a4aa1634007bd18607614e780d7)</f>
      </c>
      <c r="F41" s="11" t="e">
        <f>AVERAGE(Range_403e8a7a582848768e69f7378faa242f)</f>
      </c>
      <c r="G41" s="11" t="e">
        <f>AVERAGE(Range_930b7a8bc0e246aa908df8c29cc459cb)</f>
      </c>
      <c r="H41" s="11" t="e">
        <f>AVERAGE(Range_343adc128ed4487386cc79fdaf1ecc5b)</f>
      </c>
      <c r="I41" s="11" t="e">
        <f>AVERAGE(Range_6514f108f5be40db9ab233e36d404151)</f>
      </c>
      <c r="J41" s="12"/>
      <c r="K41" s="13"/>
    </row>
    <row r="42" spans="2:11" x14ac:dyDescent="0.25">
      <c r="C42" s="14"/>
      <c r="D42" s="14"/>
      <c r="E42" s="14"/>
      <c r="F42" s="14"/>
      <c r="G42" s="14"/>
      <c r="H42" s="14"/>
      <c r="I42" s="14"/>
    </row>
    <row r="45" spans="2:11" x14ac:dyDescent="0.25">
      <c r="B45" s="1" t="s">
        <v>15</v>
      </c>
      <c r="C45" s="2" t="s">
        <v>2</v>
      </c>
      <c r="D45" s="2" t="s">
        <v>3</v>
      </c>
      <c r="E45" s="2" t="s">
        <v>4</v>
      </c>
      <c r="F45" s="2" t="s">
        <v>5</v>
      </c>
      <c r="G45" s="2" t="s">
        <v>6</v>
      </c>
      <c r="H45" s="2" t="s">
        <v>7</v>
      </c>
      <c r="I45" s="3" t="s">
        <v>8</v>
      </c>
    </row>
    <row r="46" spans="2:11" x14ac:dyDescent="0.25">
      <c r="B46" s="4" t="s">
        <v>11</v>
      </c>
      <c r="C46" s="5" t="e">
        <f>DEVSQ(Range_161cb27afc39459c87ed409c3bb481cd)</f>
      </c>
      <c r="D46" s="5" t="e">
        <f>DEVSQ(Range_b9db1a2904cb49a48530b09d6983b955)</f>
      </c>
      <c r="E46" s="5" t="e">
        <f>DEVSQ(Range_107cc11faabf43fdbf27347034bf77cd)</f>
      </c>
      <c r="F46" s="5" t="e">
        <f>DEVSQ(Range_07a7dfd917c84b8993978cb9520e8c65)</f>
      </c>
      <c r="G46" s="5" t="e">
        <f>DEVSQ(Range_b3e91a1db55540a98e7fdc8e844d1959)</f>
      </c>
      <c r="H46" s="5" t="e">
        <f>DEVSQ(Range_7f8ff31d46d8464ab55f49e1e7fdaae7)</f>
      </c>
      <c r="I46" s="6" t="e">
        <f>DEVSQ(Range_4f53634dd72742cb83bf859ae93c99a2)</f>
      </c>
    </row>
    <row r="47" spans="2:11" x14ac:dyDescent="0.25">
      <c r="B47" s="10" t="s">
        <v>13</v>
      </c>
      <c r="C47" s="12" t="e">
        <f>DEVSQ(Range_b83e3b7dbc1845fda316edb1365f338e)</f>
      </c>
      <c r="D47" s="12" t="e">
        <f>DEVSQ(Range_dc770cdadc784746935e4675a5b4e883)</f>
      </c>
      <c r="E47" s="12" t="e">
        <f>DEVSQ(Range_3d05d38a5dd84d8fad9f184730c44da6)</f>
      </c>
      <c r="F47" s="12" t="e">
        <f>DEVSQ(Range_b2a2b25af0ba4cb39eb62f2463131ecb)</f>
      </c>
      <c r="G47" s="12" t="e">
        <f>DEVSQ(Range_edbdc82d2dd64eaf8dc551a319a231ee)</f>
      </c>
      <c r="H47" s="12" t="e">
        <f>DEVSQ(Range_363bb153b8e7437ebf7ca46e90576045)</f>
      </c>
      <c r="I47" s="13" t="e">
        <f>DEVSQ(Range_cf735f70924a423998c3b1d9d67afa15)</f>
      </c>
    </row>
    <row r="48" spans="2:11" x14ac:dyDescent="0.25">
      <c r="C48" s="14"/>
      <c r="D48" s="14"/>
      <c r="E48" s="14"/>
      <c r="F48" s="14"/>
      <c r="G48" s="14"/>
    </row>
    <row r="50" spans="2:15" x14ac:dyDescent="0.25">
      <c r="B50" s="15" t="s">
        <v>16</v>
      </c>
    </row>
    <row r="51" spans="2:15" x14ac:dyDescent="0.25">
      <c r="B51" s="1" t="s">
        <v>17</v>
      </c>
      <c r="C51" s="2" t="s">
        <v>18</v>
      </c>
      <c r="D51" s="2" t="s">
        <v>19</v>
      </c>
      <c r="E51" s="2" t="s">
        <v>20</v>
      </c>
      <c r="F51" s="2" t="s">
        <v>21</v>
      </c>
      <c r="G51" s="2" t="s">
        <v>22</v>
      </c>
      <c r="H51" s="2" t="s">
        <v>23</v>
      </c>
      <c r="I51" s="2" t="s">
        <v>24</v>
      </c>
      <c r="J51" s="2" t="s">
        <v>25</v>
      </c>
      <c r="K51" s="2" t="s">
        <v>26</v>
      </c>
      <c r="L51" s="2" t="s">
        <v>27</v>
      </c>
      <c r="M51" s="2" t="s">
        <v>28</v>
      </c>
      <c r="N51" s="2" t="s">
        <v>29</v>
      </c>
      <c r="O51" s="3" t="s">
        <v>30</v>
      </c>
    </row>
    <row r="52" spans="2:15" x14ac:dyDescent="0.25">
      <c r="B52" s="16">
        <v>1097.0</v>
      </c>
      <c r="C52" s="17">
        <v>4.9777768E7</v>
      </c>
      <c r="D52" s="17">
        <v>547.0</v>
      </c>
      <c r="E52" s="17">
        <v>4.977778E7</v>
      </c>
      <c r="F52" s="17">
        <v>549.0</v>
      </c>
      <c r="G52" s="17">
        <v>4.9777768E7</v>
      </c>
      <c r="H52" s="17">
        <v>484.0</v>
      </c>
      <c r="I52" s="17">
        <v>4.977778E7</v>
      </c>
      <c r="J52" s="17">
        <v>203.0</v>
      </c>
      <c r="K52" s="17">
        <v>4.977778E7</v>
      </c>
      <c r="L52" s="17">
        <v>218.0</v>
      </c>
      <c r="M52" s="17">
        <v>4.9777768E7</v>
      </c>
      <c r="N52" s="17">
        <v>495.0</v>
      </c>
      <c r="O52" s="18">
        <v>2.4872376E7</v>
      </c>
    </row>
    <row r="53" spans="2:15" x14ac:dyDescent="0.25">
      <c r="B53" s="16">
        <v>1190.0</v>
      </c>
      <c r="C53" s="17">
        <v>4.9777768E7</v>
      </c>
      <c r="D53" s="17">
        <v>549.0</v>
      </c>
      <c r="E53" s="17">
        <v>4.977778E7</v>
      </c>
      <c r="F53" s="17">
        <v>632.0</v>
      </c>
      <c r="G53" s="17">
        <v>4.9777768E7</v>
      </c>
      <c r="H53" s="17">
        <v>514.0</v>
      </c>
      <c r="I53" s="17">
        <v>4.977778E7</v>
      </c>
      <c r="J53" s="17">
        <v>203.0</v>
      </c>
      <c r="K53" s="17">
        <v>4.977778E7</v>
      </c>
      <c r="L53" s="17">
        <v>203.0</v>
      </c>
      <c r="M53" s="17">
        <v>4.9777768E7</v>
      </c>
      <c r="N53" s="17">
        <v>497.0</v>
      </c>
      <c r="O53" s="18">
        <v>2.4872376E7</v>
      </c>
    </row>
    <row r="54" spans="2:15" x14ac:dyDescent="0.25">
      <c r="B54" s="16">
        <v>1183.0</v>
      </c>
      <c r="C54" s="17">
        <v>4.9777768E7</v>
      </c>
      <c r="D54" s="17">
        <v>621.0</v>
      </c>
      <c r="E54" s="17">
        <v>4.977778E7</v>
      </c>
      <c r="F54" s="17">
        <v>556.0</v>
      </c>
      <c r="G54" s="17">
        <v>4.9777768E7</v>
      </c>
      <c r="H54" s="17">
        <v>499.0</v>
      </c>
      <c r="I54" s="17">
        <v>4.977778E7</v>
      </c>
      <c r="J54" s="17">
        <v>218.0</v>
      </c>
      <c r="K54" s="17">
        <v>4.977778E7</v>
      </c>
      <c r="L54" s="17">
        <v>218.0</v>
      </c>
      <c r="M54" s="17">
        <v>4.9777768E7</v>
      </c>
      <c r="N54" s="17">
        <v>498.0</v>
      </c>
      <c r="O54" s="18">
        <v>2.4872376E7</v>
      </c>
    </row>
    <row r="55" spans="2:15" x14ac:dyDescent="0.25"/>
    <row r="56" spans="2:15" x14ac:dyDescent="0.25">
      <c r="B56" s="15" t="s">
        <v>45</v>
      </c>
      <c r="C56"/>
      <c r="D56"/>
      <c r="E56"/>
      <c r="F56"/>
      <c r="G56"/>
      <c r="H56"/>
      <c r="I56"/>
      <c r="J56"/>
      <c r="K56"/>
      <c r="L56"/>
      <c r="M56"/>
      <c r="N56"/>
      <c r="O56"/>
    </row>
    <row r="57" spans="2:15" x14ac:dyDescent="0.25">
      <c r="B57" s="1" t="s">
        <v>17</v>
      </c>
      <c r="C57" s="2" t="s">
        <v>19</v>
      </c>
      <c r="D57" s="2" t="s">
        <v>21</v>
      </c>
      <c r="E57" s="2" t="s">
        <v>23</v>
      </c>
      <c r="F57" s="2" t="s">
        <v>25</v>
      </c>
      <c r="G57" s="2" t="s">
        <v>27</v>
      </c>
      <c r="H57" s="2" t="s">
        <v>29</v>
      </c>
      <c r="I57" s="2" t="s">
        <v>9</v>
      </c>
      <c r="J57" s="3" t="s">
        <v>10</v>
      </c>
      <c r="K57"/>
      <c r="L57"/>
      <c r="M57"/>
      <c r="N57"/>
      <c r="O57"/>
    </row>
    <row r="58" spans="2:15" x14ac:dyDescent="0.25">
      <c r="B58" s="16">
        <v>4656.0</v>
      </c>
      <c r="C58" s="17">
        <v>1249.0</v>
      </c>
      <c r="D58" s="17">
        <v>1089.0</v>
      </c>
      <c r="E58" s="17">
        <v>1030.0</v>
      </c>
      <c r="F58" s="17">
        <v>390.0</v>
      </c>
      <c r="G58" s="17">
        <v>390.0</v>
      </c>
      <c r="H58" s="17">
        <v>1097.0</v>
      </c>
      <c r="I58" s="17">
        <v>130.0</v>
      </c>
      <c r="J58" s="18">
        <v>78.0</v>
      </c>
    </row>
    <row r="59" spans="2:15" x14ac:dyDescent="0.25">
      <c r="B59" s="16">
        <v>4394.0</v>
      </c>
      <c r="C59" s="17">
        <v>1126.0</v>
      </c>
      <c r="D59" s="17">
        <v>1087.0</v>
      </c>
      <c r="E59" s="17">
        <v>1092.0</v>
      </c>
      <c r="F59" s="17">
        <v>374.0</v>
      </c>
      <c r="G59" s="17">
        <v>374.0</v>
      </c>
      <c r="H59" s="17">
        <v>1139.0</v>
      </c>
      <c r="I59" s="17">
        <v>132.0</v>
      </c>
      <c r="J59" s="18">
        <v>63.0</v>
      </c>
    </row>
    <row r="60" spans="2:15" x14ac:dyDescent="0.25">
      <c r="B60" s="16">
        <v>4372.0</v>
      </c>
      <c r="C60" s="17">
        <v>1091.0</v>
      </c>
      <c r="D60" s="17">
        <v>1115.0</v>
      </c>
      <c r="E60" s="17">
        <v>998.0</v>
      </c>
      <c r="F60" s="17">
        <v>375.0</v>
      </c>
      <c r="G60" s="17">
        <v>390.0</v>
      </c>
      <c r="H60" s="17">
        <v>1105.0</v>
      </c>
      <c r="I60" s="17">
        <v>131.0</v>
      </c>
      <c r="J60" s="18">
        <v>78.0</v>
      </c>
    </row>
  </sheetData>
  <pageMargins bottom="0.75" footer="0.51180555555555496" header="0.51180555555555496" left="0.7" right="0.7" top="0.75"/>
  <pageSetup copies="0" firstPageNumber="0" horizontalDpi="0" orientation="portrait" paperSize="0" scale="0" usePrinterDefaults="0" verticalDpi="0"/>
  <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B1:O56"/>
  <sheetViews>
    <sheetView workbookViewId="0" zoomScaleNormal="100">
      <selection activeCell="B1" sqref="B1"/>
    </sheetView>
  </sheetViews>
  <sheetFormatPr defaultRowHeight="15" x14ac:dyDescent="0.25"/>
  <cols>
    <col max="1" min="1" width="5"/>
    <col max="2" min="2" width="19.85546875"/>
    <col max="3" min="3" width="18.7109375"/>
    <col max="5" min="4" width="22.85546875"/>
    <col max="6" min="6" width="18.7109375"/>
    <col max="7" min="7" width="19.5703125"/>
    <col max="8" min="8" width="19"/>
    <col max="9" min="9" width="21.140625"/>
    <col max="10" min="10" width="24.42578125"/>
    <col max="11" min="11" width="22.5703125"/>
    <col max="12" min="12" width="30.28515625"/>
    <col max="13" min="13" width="25.85546875"/>
    <col max="14" min="14" width="24.5703125"/>
    <col max="15" min="15" width="22.140625"/>
    <col max="1025" min="16" width="8.7109375"/>
  </cols>
  <sheetData>
    <row r="1" spans="2:2" x14ac:dyDescent="0.25">
      <c r="B1" t="s">
        <v>59</v>
      </c>
    </row>
    <row r="37" spans="2:11" x14ac:dyDescent="0.25">
      <c r="B37" s="1" t="s">
        <v>1</v>
      </c>
      <c r="C37" s="2" t="s">
        <v>2</v>
      </c>
      <c r="D37" s="2" t="s">
        <v>3</v>
      </c>
      <c r="E37" s="2" t="s">
        <v>4</v>
      </c>
      <c r="F37" s="2" t="s">
        <v>5</v>
      </c>
      <c r="G37" s="2" t="s">
        <v>6</v>
      </c>
      <c r="H37" s="2" t="s">
        <v>7</v>
      </c>
      <c r="I37" s="2" t="s">
        <v>8</v>
      </c>
      <c r="J37" s="2" t="s">
        <v>9</v>
      </c>
      <c r="K37" s="3" t="s">
        <v>10</v>
      </c>
    </row>
    <row r="38" spans="2:11" x14ac:dyDescent="0.25">
      <c r="B38" s="4" t="s">
        <v>11</v>
      </c>
      <c r="C38" s="5" t="e">
        <f>AVERAGE(Range_bad9061a413940be9ed325c4810fa26f) - J38</f>
      </c>
      <c r="D38" s="5" t="e">
        <f>AVERAGE(Range_b38849e30e9e42e39072d3053b7f03e8) - J38</f>
      </c>
      <c r="E38" s="5" t="e">
        <f>AVERAGE(Range_017cd57eced542ec82bb9a1a7481c8e7) - J38</f>
      </c>
      <c r="F38" s="5" t="e">
        <f>AVERAGE(Range_b7a28cde54b04b08a95624fc7f26394d) - J39</f>
      </c>
      <c r="G38" s="5" t="e">
        <f>AVERAGE(Range_8c9bbf87a531416da06c279d72e6bd5f) - J39</f>
      </c>
      <c r="H38" s="5" t="e">
        <f>AVERAGE(Range_65fb71a09d3e4bce9a1377906c3d4611) - J39</f>
      </c>
      <c r="I38" s="5" t="e">
        <f>AVERAGE(Range_9e7a7677968646f380c8112f1e8e3706) - J38</f>
      </c>
      <c r="J38" s="5" t="e">
        <f>AVERAGE(Range_11743807d2d241f59d1a8269220c0cf5)</f>
      </c>
      <c r="K38" s="6" t="e">
        <f>AVERAGE(Range_ff8a1698fd72464bb81c08314a3ba3f1)</f>
      </c>
    </row>
    <row r="39" spans="2:11" x14ac:dyDescent="0.25">
      <c r="B39" s="7" t="s">
        <v>12</v>
      </c>
      <c r="C39" s="8" t="e">
        <f ref="C39:I39" si="0" t="shared">C40-C38</f>
      </c>
      <c r="D39" s="8" t="e">
        <f si="0" t="shared"/>
      </c>
      <c r="E39" s="8" t="e">
        <f si="0" t="shared"/>
      </c>
      <c r="F39" s="8" t="e">
        <f si="0" t="shared"/>
      </c>
      <c r="G39" s="8" t="e">
        <f si="0" t="shared"/>
      </c>
      <c r="H39" s="8" t="e">
        <f si="0" t="shared"/>
      </c>
      <c r="I39" s="8" t="e">
        <f si="0" t="shared"/>
      </c>
      <c r="J39" s="8"/>
      <c r="K39" s="9"/>
    </row>
    <row r="40" spans="2:11" x14ac:dyDescent="0.25">
      <c r="B40" s="4" t="s">
        <v>13</v>
      </c>
      <c r="C40" s="5" t="e">
        <f>AVERAGE(Range_cc7941a2d224494a90d8c17d06fa3e8d) - J38</f>
      </c>
      <c r="D40" s="5" t="e">
        <f>AVERAGE(Range_1179d392baae4b21974a9f6f203dfd98) - J38</f>
      </c>
      <c r="E40" s="5" t="e">
        <f>AVERAGE(Range_b08a37616c4f456d888b31d39556adec) - J38</f>
      </c>
      <c r="F40" s="5" t="e">
        <f>AVERAGE(Range_42d1616403c44a878c9f7efaa454a76b) - J39</f>
      </c>
      <c r="G40" s="5" t="e">
        <f>AVERAGE(Range_d7ab8878c5134c8b97bc4ed30b784678) - J39</f>
      </c>
      <c r="H40" s="5" t="e">
        <f>AVERAGE(Range_69eaeeecbb744940a9b4f6c420ccfd53) - J39</f>
      </c>
      <c r="I40" s="5" t="e">
        <f>AVERAGE(Range_3d04a0d884c4478992643e9c26be1b51) - J38</f>
      </c>
      <c r="J40" s="5"/>
      <c r="K40" s="6"/>
    </row>
    <row r="41" spans="2:11" x14ac:dyDescent="0.25">
      <c r="B41" s="10" t="s">
        <v>14</v>
      </c>
      <c r="C41" s="11" t="e">
        <f>AVERAGE(Range_7fa0242639c545b2a47e4551540b8549)</f>
      </c>
      <c r="D41" s="11" t="e">
        <f>AVERAGE(Range_b0da247abd1c473a857d6ebf328149a4)</f>
      </c>
      <c r="E41" s="11" t="e">
        <f>AVERAGE(Range_f9106e3875a64ebd8ae181d28d280cd7)</f>
      </c>
      <c r="F41" s="11" t="e">
        <f>AVERAGE(Range_75fa256a2994436c983c0cc9138161e2)</f>
      </c>
      <c r="G41" s="11" t="e">
        <f>AVERAGE(Range_42e3d6dde56a462abbdac31d158cef3e)</f>
      </c>
      <c r="H41" s="11" t="e">
        <f>AVERAGE(Range_cec4590ddbd94e8f88f45fd4a26289ef)</f>
      </c>
      <c r="I41" s="11" t="e">
        <f>AVERAGE(Range_ddb99b82be7e4b46946e3566d05ef043)</f>
      </c>
      <c r="J41" s="12"/>
      <c r="K41" s="13"/>
    </row>
    <row r="42" spans="2:11" x14ac:dyDescent="0.25">
      <c r="C42" s="14"/>
      <c r="D42" s="14"/>
      <c r="E42" s="14"/>
      <c r="F42" s="14"/>
      <c r="G42" s="14"/>
      <c r="H42" s="14"/>
      <c r="I42" s="14"/>
    </row>
    <row r="45" spans="2:11" x14ac:dyDescent="0.25">
      <c r="B45" s="1" t="s">
        <v>15</v>
      </c>
      <c r="C45" s="2" t="s">
        <v>2</v>
      </c>
      <c r="D45" s="2" t="s">
        <v>3</v>
      </c>
      <c r="E45" s="2" t="s">
        <v>4</v>
      </c>
      <c r="F45" s="2" t="s">
        <v>5</v>
      </c>
      <c r="G45" s="2" t="s">
        <v>6</v>
      </c>
      <c r="H45" s="2" t="s">
        <v>7</v>
      </c>
      <c r="I45" s="3" t="s">
        <v>8</v>
      </c>
    </row>
    <row r="46" spans="2:11" x14ac:dyDescent="0.25">
      <c r="B46" s="4" t="s">
        <v>11</v>
      </c>
      <c r="C46" s="5" t="e">
        <f>DEVSQ(Range_bad9061a413940be9ed325c4810fa26f)</f>
      </c>
      <c r="D46" s="5" t="e">
        <f>DEVSQ(Range_b38849e30e9e42e39072d3053b7f03e8)</f>
      </c>
      <c r="E46" s="5" t="e">
        <f>DEVSQ(Range_017cd57eced542ec82bb9a1a7481c8e7)</f>
      </c>
      <c r="F46" s="5" t="e">
        <f>DEVSQ(Range_b7a28cde54b04b08a95624fc7f26394d)</f>
      </c>
      <c r="G46" s="5" t="e">
        <f>DEVSQ(Range_8c9bbf87a531416da06c279d72e6bd5f)</f>
      </c>
      <c r="H46" s="5" t="e">
        <f>DEVSQ(Range_65fb71a09d3e4bce9a1377906c3d4611)</f>
      </c>
      <c r="I46" s="6" t="e">
        <f>DEVSQ(Range_9e7a7677968646f380c8112f1e8e3706)</f>
      </c>
    </row>
    <row r="47" spans="2:11" x14ac:dyDescent="0.25">
      <c r="B47" s="10" t="s">
        <v>13</v>
      </c>
      <c r="C47" s="12" t="e">
        <f>DEVSQ(Range_cc7941a2d224494a90d8c17d06fa3e8d)</f>
      </c>
      <c r="D47" s="12" t="e">
        <f>DEVSQ(Range_1179d392baae4b21974a9f6f203dfd98)</f>
      </c>
      <c r="E47" s="12" t="e">
        <f>DEVSQ(Range_b08a37616c4f456d888b31d39556adec)</f>
      </c>
      <c r="F47" s="12" t="e">
        <f>DEVSQ(Range_42d1616403c44a878c9f7efaa454a76b)</f>
      </c>
      <c r="G47" s="12" t="e">
        <f>DEVSQ(Range_d7ab8878c5134c8b97bc4ed30b784678)</f>
      </c>
      <c r="H47" s="12" t="e">
        <f>DEVSQ(Range_69eaeeecbb744940a9b4f6c420ccfd53)</f>
      </c>
      <c r="I47" s="13" t="e">
        <f>DEVSQ(Range_3d04a0d884c4478992643e9c26be1b51)</f>
      </c>
    </row>
    <row r="48" spans="2:11" x14ac:dyDescent="0.25">
      <c r="C48" s="14"/>
      <c r="D48" s="14"/>
      <c r="E48" s="14"/>
      <c r="F48" s="14"/>
      <c r="G48" s="14"/>
    </row>
    <row r="50" spans="2:15" x14ac:dyDescent="0.25">
      <c r="B50" s="15" t="s">
        <v>16</v>
      </c>
    </row>
    <row r="51" spans="2:15" x14ac:dyDescent="0.25">
      <c r="B51" s="1" t="s">
        <v>17</v>
      </c>
      <c r="C51" s="2" t="s">
        <v>18</v>
      </c>
      <c r="D51" s="2" t="s">
        <v>19</v>
      </c>
      <c r="E51" s="2" t="s">
        <v>20</v>
      </c>
      <c r="F51" s="2" t="s">
        <v>21</v>
      </c>
      <c r="G51" s="2" t="s">
        <v>22</v>
      </c>
      <c r="H51" s="2" t="s">
        <v>23</v>
      </c>
      <c r="I51" s="2" t="s">
        <v>24</v>
      </c>
      <c r="J51" s="2" t="s">
        <v>25</v>
      </c>
      <c r="K51" s="2" t="s">
        <v>26</v>
      </c>
      <c r="L51" s="2" t="s">
        <v>27</v>
      </c>
      <c r="M51" s="2" t="s">
        <v>28</v>
      </c>
      <c r="N51" s="2" t="s">
        <v>29</v>
      </c>
      <c r="O51" s="3" t="s">
        <v>30</v>
      </c>
    </row>
    <row r="52" spans="2:15" x14ac:dyDescent="0.25">
      <c r="B52" s="16">
        <v>12045.0</v>
      </c>
      <c r="C52" s="17">
        <v>5.17777768E8</v>
      </c>
      <c r="D52" s="17">
        <v>5572.0</v>
      </c>
      <c r="E52" s="17">
        <v>5.1777778E8</v>
      </c>
      <c r="F52" s="17">
        <v>5989.0</v>
      </c>
      <c r="G52" s="17">
        <v>5.17777768E8</v>
      </c>
      <c r="H52" s="17">
        <v>3183.0</v>
      </c>
      <c r="I52" s="17">
        <v>5.1777778E8</v>
      </c>
      <c r="J52" s="17">
        <v>1607.0</v>
      </c>
      <c r="K52" s="17">
        <v>5.1777778E8</v>
      </c>
      <c r="L52" s="17">
        <v>1622.0</v>
      </c>
      <c r="M52" s="17">
        <v>5.17777768E8</v>
      </c>
      <c r="N52" s="17">
        <v>4658.0</v>
      </c>
      <c r="O52" s="18">
        <v>2.66775224E8</v>
      </c>
    </row>
    <row r="53" spans="2:15" x14ac:dyDescent="0.25">
      <c r="B53" s="16">
        <v>10415.0</v>
      </c>
      <c r="C53" s="17">
        <v>5.17777768E8</v>
      </c>
      <c r="D53" s="17">
        <v>5592.0</v>
      </c>
      <c r="E53" s="17">
        <v>5.1777778E8</v>
      </c>
      <c r="F53" s="17">
        <v>5544.0</v>
      </c>
      <c r="G53" s="17">
        <v>5.17777768E8</v>
      </c>
      <c r="H53" s="17">
        <v>3198.0</v>
      </c>
      <c r="I53" s="17">
        <v>5.1777778E8</v>
      </c>
      <c r="J53" s="17">
        <v>1638.0</v>
      </c>
      <c r="K53" s="17">
        <v>5.1777778E8</v>
      </c>
      <c r="L53" s="17">
        <v>1623.0</v>
      </c>
      <c r="M53" s="17">
        <v>5.17777768E8</v>
      </c>
      <c r="N53" s="17">
        <v>4665.0</v>
      </c>
      <c r="O53" s="18">
        <v>2.66775224E8</v>
      </c>
    </row>
    <row r="54" spans="2:15" x14ac:dyDescent="0.25">
      <c r="B54" s="16">
        <v>10397.0</v>
      </c>
      <c r="C54" s="17">
        <v>5.17777768E8</v>
      </c>
      <c r="D54" s="17">
        <v>5581.0</v>
      </c>
      <c r="E54" s="17">
        <v>5.1777778E8</v>
      </c>
      <c r="F54" s="17">
        <v>6582.0</v>
      </c>
      <c r="G54" s="17">
        <v>5.17777768E8</v>
      </c>
      <c r="H54" s="17">
        <v>3463.0</v>
      </c>
      <c r="I54" s="17">
        <v>5.1777778E8</v>
      </c>
      <c r="J54" s="17">
        <v>1638.0</v>
      </c>
      <c r="K54" s="17">
        <v>5.1777778E8</v>
      </c>
      <c r="L54" s="17">
        <v>1591.0</v>
      </c>
      <c r="M54" s="17">
        <v>5.17777768E8</v>
      </c>
      <c r="N54" s="17">
        <v>4659.0</v>
      </c>
      <c r="O54" s="18">
        <v>2.66775224E8</v>
      </c>
    </row>
    <row r="55" spans="2:15" x14ac:dyDescent="0.25"/>
    <row r="56" spans="2:15" x14ac:dyDescent="0.25">
      <c r="B56" s="15" t="s">
        <v>45</v>
      </c>
      <c r="C56"/>
      <c r="D56"/>
      <c r="E56"/>
      <c r="F56"/>
      <c r="G56"/>
      <c r="H56"/>
      <c r="I56"/>
      <c r="J56"/>
      <c r="K56"/>
      <c r="L56"/>
      <c r="M56"/>
      <c r="N56"/>
      <c r="O56"/>
    </row>
    <row r="57" spans="2:15" x14ac:dyDescent="0.25">
      <c r="B57" s="1" t="s">
        <v>17</v>
      </c>
      <c r="C57" s="2" t="s">
        <v>19</v>
      </c>
      <c r="D57" s="2" t="s">
        <v>21</v>
      </c>
      <c r="E57" s="2" t="s">
        <v>23</v>
      </c>
      <c r="F57" s="2" t="s">
        <v>25</v>
      </c>
      <c r="G57" s="2" t="s">
        <v>27</v>
      </c>
      <c r="H57" s="2" t="s">
        <v>29</v>
      </c>
      <c r="I57" s="2" t="s">
        <v>9</v>
      </c>
      <c r="J57" s="3" t="s">
        <v>10</v>
      </c>
      <c r="K57"/>
      <c r="L57"/>
      <c r="M57"/>
      <c r="N57"/>
      <c r="O57"/>
    </row>
    <row r="58" spans="2:15" x14ac:dyDescent="0.25">
      <c r="B58" s="16">
        <v>42906.0</v>
      </c>
      <c r="C58" s="17">
        <v>11752.0</v>
      </c>
      <c r="D58" s="17">
        <v>11172.0</v>
      </c>
      <c r="E58" s="17">
        <v>6755.0</v>
      </c>
      <c r="F58" s="17">
        <v>3026.0</v>
      </c>
      <c r="G58" s="17">
        <v>3057.0</v>
      </c>
      <c r="H58" s="17">
        <v>10744.0</v>
      </c>
      <c r="I58" s="17">
        <v>1370.0</v>
      </c>
      <c r="J58" s="18">
        <v>421.0</v>
      </c>
    </row>
    <row r="59" spans="2:15" x14ac:dyDescent="0.25">
      <c r="B59" s="16">
        <v>43499.0</v>
      </c>
      <c r="C59" s="17">
        <v>12983.0</v>
      </c>
      <c r="D59" s="17">
        <v>10838.0</v>
      </c>
      <c r="E59" s="17">
        <v>6568.0</v>
      </c>
      <c r="F59" s="17">
        <v>3058.0</v>
      </c>
      <c r="G59" s="17">
        <v>3089.0</v>
      </c>
      <c r="H59" s="17">
        <v>10673.0</v>
      </c>
      <c r="I59" s="17">
        <v>1358.0</v>
      </c>
      <c r="J59" s="18">
        <v>422.0</v>
      </c>
    </row>
    <row r="60" spans="2:15" x14ac:dyDescent="0.25">
      <c r="B60" s="16">
        <v>42490.0</v>
      </c>
      <c r="C60" s="17">
        <v>11555.0</v>
      </c>
      <c r="D60" s="17">
        <v>11267.0</v>
      </c>
      <c r="E60" s="17">
        <v>6786.0</v>
      </c>
      <c r="F60" s="17">
        <v>3058.0</v>
      </c>
      <c r="G60" s="17">
        <v>3089.0</v>
      </c>
      <c r="H60" s="17">
        <v>10680.0</v>
      </c>
      <c r="I60" s="17">
        <v>1493.0</v>
      </c>
      <c r="J60" s="18">
        <v>437.0</v>
      </c>
    </row>
  </sheetData>
  <pageMargins bottom="0.75" footer="0.51180555555555496" header="0.51180555555555496" left="0.7" right="0.7" top="0.75"/>
  <pageSetup copies="0" firstPageNumber="0" horizontalDpi="0" orientation="portrait" paperSize="0" scale="0" usePrinterDefaults="0" verticalDpi="0"/>
  <drawing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B1:O56"/>
  <sheetViews>
    <sheetView workbookViewId="0" zoomScaleNormal="100">
      <selection activeCell="B1" sqref="B1"/>
    </sheetView>
  </sheetViews>
  <sheetFormatPr defaultRowHeight="15" x14ac:dyDescent="0.25"/>
  <cols>
    <col max="1" min="1" width="5"/>
    <col max="2" min="2" width="19.85546875"/>
    <col max="3" min="3" width="18.7109375"/>
    <col max="5" min="4" width="22.85546875"/>
    <col max="6" min="6" width="18.7109375"/>
    <col max="7" min="7" width="19.5703125"/>
    <col max="8" min="8" width="19"/>
    <col max="9" min="9" width="21.140625"/>
    <col max="10" min="10" width="24.42578125"/>
    <col max="11" min="11" width="22.5703125"/>
    <col max="12" min="12" width="30.28515625"/>
    <col max="13" min="13" width="25.85546875"/>
    <col max="14" min="14" width="24.5703125"/>
    <col max="15" min="15" width="22.140625"/>
    <col max="1025" min="16" width="8.7109375"/>
  </cols>
  <sheetData>
    <row r="1" spans="2:2" x14ac:dyDescent="0.25">
      <c r="B1" t="s">
        <v>60</v>
      </c>
    </row>
    <row r="37" spans="2:11" x14ac:dyDescent="0.25">
      <c r="B37" s="1" t="s">
        <v>1</v>
      </c>
      <c r="C37" s="2" t="s">
        <v>2</v>
      </c>
      <c r="D37" s="2" t="s">
        <v>3</v>
      </c>
      <c r="E37" s="2" t="s">
        <v>4</v>
      </c>
      <c r="F37" s="2" t="s">
        <v>5</v>
      </c>
      <c r="G37" s="2" t="s">
        <v>6</v>
      </c>
      <c r="H37" s="2" t="s">
        <v>7</v>
      </c>
      <c r="I37" s="2" t="s">
        <v>8</v>
      </c>
      <c r="J37" s="2" t="s">
        <v>9</v>
      </c>
      <c r="K37" s="3" t="s">
        <v>10</v>
      </c>
    </row>
    <row r="38" spans="2:11" x14ac:dyDescent="0.25">
      <c r="B38" s="4" t="s">
        <v>11</v>
      </c>
      <c r="C38" s="5" t="e">
        <f>AVERAGE(Range_d2553dec4e0e440bb957f92d287b86ee) - J38</f>
      </c>
      <c r="D38" s="5" t="e">
        <f>AVERAGE(Range_8edd51ef71ad4c1ab85915f8d413203f) - J38</f>
      </c>
      <c r="E38" s="5" t="e">
        <f>AVERAGE(Range_3ea00e57b31942a385b0e1bcb5decaef) - J38</f>
      </c>
      <c r="F38" s="5" t="e">
        <f>AVERAGE(Range_9c04623cefaa43ad9ea7b1a20208ccd3) - J39</f>
      </c>
      <c r="G38" s="5" t="e">
        <f>AVERAGE(Range_39da57363f2a47e396f0f3953d482c92) - J39</f>
      </c>
      <c r="H38" s="5" t="e">
        <f>AVERAGE(Range_3bd443371dbe43bdbebb974e3f60cc32) - J39</f>
      </c>
      <c r="I38" s="5" t="e">
        <f>AVERAGE(Range_5dee8ce5111d4cd3bbf39f59571d6e0d) - J38</f>
      </c>
      <c r="J38" s="5" t="e">
        <f>AVERAGE(Range_7354ee008ca648c38935373079a99ab2)</f>
      </c>
      <c r="K38" s="6" t="e">
        <f>AVERAGE(Range_1de76b09823f47c0b9ca2596895acd7e)</f>
      </c>
    </row>
    <row r="39" spans="2:11" x14ac:dyDescent="0.25">
      <c r="B39" s="7" t="s">
        <v>12</v>
      </c>
      <c r="C39" s="8" t="e">
        <f ref="C39:I39" si="0" t="shared">C40-C38</f>
      </c>
      <c r="D39" s="8" t="e">
        <f si="0" t="shared"/>
      </c>
      <c r="E39" s="8" t="e">
        <f si="0" t="shared"/>
      </c>
      <c r="F39" s="8" t="e">
        <f si="0" t="shared"/>
      </c>
      <c r="G39" s="8" t="e">
        <f si="0" t="shared"/>
      </c>
      <c r="H39" s="8" t="e">
        <f si="0" t="shared"/>
      </c>
      <c r="I39" s="8" t="e">
        <f si="0" t="shared"/>
      </c>
      <c r="J39" s="8"/>
      <c r="K39" s="9"/>
    </row>
    <row r="40" spans="2:11" x14ac:dyDescent="0.25">
      <c r="B40" s="4" t="s">
        <v>13</v>
      </c>
      <c r="C40" s="5" t="e">
        <f>AVERAGE(Range_4595fe3a5fe24d2cab34ee4203c80df3) - J38</f>
      </c>
      <c r="D40" s="5" t="e">
        <f>AVERAGE(Range_9c092cb39ef44ca687eaa6f1060a1f81) - J38</f>
      </c>
      <c r="E40" s="5" t="e">
        <f>AVERAGE(Range_61bcdbbd804448aabdf702d2b885007d) - J38</f>
      </c>
      <c r="F40" s="5" t="e">
        <f>AVERAGE(Range_6a8eeca7ef7842449670df01a09e6964) - J39</f>
      </c>
      <c r="G40" s="5" t="e">
        <f>AVERAGE(Range_c16be78a67324e22bf4c6ed9465df7d6) - J39</f>
      </c>
      <c r="H40" s="5" t="e">
        <f>AVERAGE(Range_db0aa4e4a1de41319505fafeae9e71b6) - J39</f>
      </c>
      <c r="I40" s="5" t="e">
        <f>AVERAGE(Range_9b04fbbb597941579ed05c3e11b22a24) - J38</f>
      </c>
      <c r="J40" s="5"/>
      <c r="K40" s="6"/>
    </row>
    <row r="41" spans="2:11" x14ac:dyDescent="0.25">
      <c r="B41" s="10" t="s">
        <v>14</v>
      </c>
      <c r="C41" s="11" t="e">
        <f>AVERAGE(Range_736f6557693d427ebc953d80dbeb8b5b)</f>
      </c>
      <c r="D41" s="11" t="e">
        <f>AVERAGE(Range_2540545e81e3417f8a6a102e66672ace)</f>
      </c>
      <c r="E41" s="11" t="e">
        <f>AVERAGE(Range_41682b86a6964b5f906648dd1b18391e)</f>
      </c>
      <c r="F41" s="11" t="e">
        <f>AVERAGE(Range_d87429b6798247cba6b9dab2dc89d392)</f>
      </c>
      <c r="G41" s="11" t="e">
        <f>AVERAGE(Range_2760b24788bd490d98ea5ef633dc7334)</f>
      </c>
      <c r="H41" s="11" t="e">
        <f>AVERAGE(Range_4a5247072a704141a57ad3fc7e2a6573)</f>
      </c>
      <c r="I41" s="11" t="e">
        <f>AVERAGE(Range_0f55f72c6a034f2eab4b89baff554324)</f>
      </c>
      <c r="J41" s="12"/>
      <c r="K41" s="13"/>
    </row>
    <row r="42" spans="2:11" x14ac:dyDescent="0.25">
      <c r="C42" s="14"/>
      <c r="D42" s="14"/>
      <c r="E42" s="14"/>
      <c r="F42" s="14"/>
      <c r="G42" s="14"/>
      <c r="H42" s="14"/>
      <c r="I42" s="14"/>
    </row>
    <row r="45" spans="2:11" x14ac:dyDescent="0.25">
      <c r="B45" s="1" t="s">
        <v>15</v>
      </c>
      <c r="C45" s="2" t="s">
        <v>2</v>
      </c>
      <c r="D45" s="2" t="s">
        <v>3</v>
      </c>
      <c r="E45" s="2" t="s">
        <v>4</v>
      </c>
      <c r="F45" s="2" t="s">
        <v>5</v>
      </c>
      <c r="G45" s="2" t="s">
        <v>6</v>
      </c>
      <c r="H45" s="2" t="s">
        <v>7</v>
      </c>
      <c r="I45" s="3" t="s">
        <v>8</v>
      </c>
    </row>
    <row r="46" spans="2:11" x14ac:dyDescent="0.25">
      <c r="B46" s="4" t="s">
        <v>11</v>
      </c>
      <c r="C46" s="5" t="e">
        <f>DEVSQ(Range_d2553dec4e0e440bb957f92d287b86ee)</f>
      </c>
      <c r="D46" s="5" t="e">
        <f>DEVSQ(Range_8edd51ef71ad4c1ab85915f8d413203f)</f>
      </c>
      <c r="E46" s="5" t="e">
        <f>DEVSQ(Range_3ea00e57b31942a385b0e1bcb5decaef)</f>
      </c>
      <c r="F46" s="5" t="e">
        <f>DEVSQ(Range_9c04623cefaa43ad9ea7b1a20208ccd3)</f>
      </c>
      <c r="G46" s="5" t="e">
        <f>DEVSQ(Range_39da57363f2a47e396f0f3953d482c92)</f>
      </c>
      <c r="H46" s="5" t="e">
        <f>DEVSQ(Range_3bd443371dbe43bdbebb974e3f60cc32)</f>
      </c>
      <c r="I46" s="6" t="e">
        <f>DEVSQ(Range_5dee8ce5111d4cd3bbf39f59571d6e0d)</f>
      </c>
    </row>
    <row r="47" spans="2:11" x14ac:dyDescent="0.25">
      <c r="B47" s="10" t="s">
        <v>13</v>
      </c>
      <c r="C47" s="12" t="e">
        <f>DEVSQ(Range_4595fe3a5fe24d2cab34ee4203c80df3)</f>
      </c>
      <c r="D47" s="12" t="e">
        <f>DEVSQ(Range_9c092cb39ef44ca687eaa6f1060a1f81)</f>
      </c>
      <c r="E47" s="12" t="e">
        <f>DEVSQ(Range_61bcdbbd804448aabdf702d2b885007d)</f>
      </c>
      <c r="F47" s="12" t="e">
        <f>DEVSQ(Range_6a8eeca7ef7842449670df01a09e6964)</f>
      </c>
      <c r="G47" s="12" t="e">
        <f>DEVSQ(Range_c16be78a67324e22bf4c6ed9465df7d6)</f>
      </c>
      <c r="H47" s="12" t="e">
        <f>DEVSQ(Range_db0aa4e4a1de41319505fafeae9e71b6)</f>
      </c>
      <c r="I47" s="13" t="e">
        <f>DEVSQ(Range_9b04fbbb597941579ed05c3e11b22a24)</f>
      </c>
    </row>
    <row r="48" spans="2:11" x14ac:dyDescent="0.25">
      <c r="C48" s="14"/>
      <c r="D48" s="14"/>
      <c r="E48" s="14"/>
      <c r="F48" s="14"/>
      <c r="G48" s="14"/>
    </row>
    <row r="50" spans="2:15" x14ac:dyDescent="0.25">
      <c r="B50" s="15" t="s">
        <v>16</v>
      </c>
    </row>
    <row r="51" spans="2:15" x14ac:dyDescent="0.25">
      <c r="B51" s="1" t="s">
        <v>17</v>
      </c>
      <c r="C51" s="2" t="s">
        <v>18</v>
      </c>
      <c r="D51" s="2" t="s">
        <v>19</v>
      </c>
      <c r="E51" s="2" t="s">
        <v>20</v>
      </c>
      <c r="F51" s="2" t="s">
        <v>21</v>
      </c>
      <c r="G51" s="2" t="s">
        <v>22</v>
      </c>
      <c r="H51" s="2" t="s">
        <v>23</v>
      </c>
      <c r="I51" s="2" t="s">
        <v>24</v>
      </c>
      <c r="J51" s="2" t="s">
        <v>25</v>
      </c>
      <c r="K51" s="2" t="s">
        <v>26</v>
      </c>
      <c r="L51" s="2" t="s">
        <v>27</v>
      </c>
      <c r="M51" s="2" t="s">
        <v>28</v>
      </c>
      <c r="N51" s="2" t="s">
        <v>29</v>
      </c>
      <c r="O51" s="3" t="s">
        <v>30</v>
      </c>
    </row>
    <row r="52" spans="2:15" x14ac:dyDescent="0.25">
      <c r="B52" s="16">
        <v>162.0</v>
      </c>
      <c r="C52" s="17">
        <v>3346868.0</v>
      </c>
      <c r="D52" s="17">
        <v>71.0</v>
      </c>
      <c r="E52" s="17">
        <v>3346489.0</v>
      </c>
      <c r="F52" s="17">
        <v>73.0</v>
      </c>
      <c r="G52" s="17">
        <v>3346472.0</v>
      </c>
      <c r="H52" s="17">
        <v>234.0</v>
      </c>
      <c r="I52" s="17">
        <v>4477194.0</v>
      </c>
      <c r="J52" s="17">
        <v>156.0</v>
      </c>
      <c r="K52" s="17">
        <v>4477190.0</v>
      </c>
      <c r="L52" s="17">
        <v>171.0</v>
      </c>
      <c r="M52" s="17">
        <v>4477173.0</v>
      </c>
      <c r="N52" s="17">
        <v>55.0</v>
      </c>
      <c r="O52" s="18">
        <v>1658087.0</v>
      </c>
    </row>
    <row r="53" spans="2:15" x14ac:dyDescent="0.25">
      <c r="B53" s="16">
        <v>160.0</v>
      </c>
      <c r="C53" s="17">
        <v>3346868.0</v>
      </c>
      <c r="D53" s="17">
        <v>73.0</v>
      </c>
      <c r="E53" s="17">
        <v>3346489.0</v>
      </c>
      <c r="F53" s="17">
        <v>73.0</v>
      </c>
      <c r="G53" s="17">
        <v>3346472.0</v>
      </c>
      <c r="H53" s="17">
        <v>218.0</v>
      </c>
      <c r="I53" s="17">
        <v>4477194.0</v>
      </c>
      <c r="J53" s="17">
        <v>156.0</v>
      </c>
      <c r="K53" s="17">
        <v>4477190.0</v>
      </c>
      <c r="L53" s="17">
        <v>156.0</v>
      </c>
      <c r="M53" s="17">
        <v>4477173.0</v>
      </c>
      <c r="N53" s="17">
        <v>57.0</v>
      </c>
      <c r="O53" s="18">
        <v>1658087.0</v>
      </c>
    </row>
    <row r="54" spans="2:15" x14ac:dyDescent="0.25">
      <c r="B54" s="16">
        <v>162.0</v>
      </c>
      <c r="C54" s="17">
        <v>3346868.0</v>
      </c>
      <c r="D54" s="17">
        <v>72.0</v>
      </c>
      <c r="E54" s="17">
        <v>3346489.0</v>
      </c>
      <c r="F54" s="17">
        <v>86.0</v>
      </c>
      <c r="G54" s="17">
        <v>3346472.0</v>
      </c>
      <c r="H54" s="17">
        <v>265.0</v>
      </c>
      <c r="I54" s="17">
        <v>4477194.0</v>
      </c>
      <c r="J54" s="17">
        <v>172.0</v>
      </c>
      <c r="K54" s="17">
        <v>4477190.0</v>
      </c>
      <c r="L54" s="17">
        <v>156.0</v>
      </c>
      <c r="M54" s="17">
        <v>4477173.0</v>
      </c>
      <c r="N54" s="17">
        <v>55.0</v>
      </c>
      <c r="O54" s="18">
        <v>1658087.0</v>
      </c>
    </row>
    <row r="55" spans="2:15" x14ac:dyDescent="0.25"/>
    <row r="56" spans="2:15" x14ac:dyDescent="0.25">
      <c r="B56" s="15" t="s">
        <v>45</v>
      </c>
      <c r="C56"/>
      <c r="D56"/>
      <c r="E56"/>
      <c r="F56"/>
      <c r="G56"/>
      <c r="H56"/>
      <c r="I56"/>
      <c r="J56"/>
      <c r="K56"/>
      <c r="L56"/>
      <c r="M56"/>
      <c r="N56"/>
      <c r="O56"/>
    </row>
    <row r="57" spans="2:15" x14ac:dyDescent="0.25">
      <c r="B57" s="1" t="s">
        <v>17</v>
      </c>
      <c r="C57" s="2" t="s">
        <v>19</v>
      </c>
      <c r="D57" s="2" t="s">
        <v>21</v>
      </c>
      <c r="E57" s="2" t="s">
        <v>23</v>
      </c>
      <c r="F57" s="2" t="s">
        <v>25</v>
      </c>
      <c r="G57" s="2" t="s">
        <v>27</v>
      </c>
      <c r="H57" s="2" t="s">
        <v>29</v>
      </c>
      <c r="I57" s="2" t="s">
        <v>9</v>
      </c>
      <c r="J57" s="3" t="s">
        <v>10</v>
      </c>
      <c r="K57"/>
      <c r="L57"/>
      <c r="M57"/>
      <c r="N57"/>
      <c r="O57"/>
    </row>
    <row r="58" spans="2:15" x14ac:dyDescent="0.25">
      <c r="B58" s="16">
        <v>706.0</v>
      </c>
      <c r="C58" s="17">
        <v>184.0</v>
      </c>
      <c r="D58" s="17">
        <v>197.0</v>
      </c>
      <c r="E58" s="17">
        <v>406.0</v>
      </c>
      <c r="F58" s="17">
        <v>234.0</v>
      </c>
      <c r="G58" s="17">
        <v>234.0</v>
      </c>
      <c r="H58" s="17">
        <v>114.0</v>
      </c>
      <c r="I58" s="17">
        <v>11.0</v>
      </c>
      <c r="J58" s="18">
        <v>78.0</v>
      </c>
    </row>
    <row r="59" spans="2:15" x14ac:dyDescent="0.25">
      <c r="B59" s="16">
        <v>698.0</v>
      </c>
      <c r="C59" s="17">
        <v>237.0</v>
      </c>
      <c r="D59" s="17">
        <v>193.0</v>
      </c>
      <c r="E59" s="17">
        <v>374.0</v>
      </c>
      <c r="F59" s="17">
        <v>250.0</v>
      </c>
      <c r="G59" s="17">
        <v>234.0</v>
      </c>
      <c r="H59" s="17">
        <v>113.0</v>
      </c>
      <c r="I59" s="17">
        <v>11.0</v>
      </c>
      <c r="J59" s="18">
        <v>78.0</v>
      </c>
    </row>
    <row r="60" spans="2:15" x14ac:dyDescent="0.25">
      <c r="B60" s="16">
        <v>725.0</v>
      </c>
      <c r="C60" s="17">
        <v>192.0</v>
      </c>
      <c r="D60" s="17">
        <v>192.0</v>
      </c>
      <c r="E60" s="17">
        <v>359.0</v>
      </c>
      <c r="F60" s="17">
        <v>249.0</v>
      </c>
      <c r="G60" s="17">
        <v>249.0</v>
      </c>
      <c r="H60" s="17">
        <v>120.0</v>
      </c>
      <c r="I60" s="17">
        <v>11.0</v>
      </c>
      <c r="J60" s="18">
        <v>78.0</v>
      </c>
    </row>
  </sheetData>
  <pageMargins bottom="0.75" footer="0.51180555555555496" header="0.51180555555555496" left="0.7" right="0.7" top="0.75"/>
  <pageSetup copies="0" firstPageNumber="0" horizontalDpi="0" orientation="portrait" paperSize="0" scale="0" usePrinterDefaults="0" verticalDpi="0"/>
  <drawing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B1:O56"/>
  <sheetViews>
    <sheetView workbookViewId="0" zoomScaleNormal="100">
      <selection activeCell="B1" sqref="B1"/>
    </sheetView>
  </sheetViews>
  <sheetFormatPr defaultRowHeight="15" x14ac:dyDescent="0.25"/>
  <cols>
    <col max="1" min="1" width="5"/>
    <col max="2" min="2" width="19.85546875"/>
    <col max="3" min="3" width="18.7109375"/>
    <col max="5" min="4" width="22.85546875"/>
    <col max="6" min="6" width="18.7109375"/>
    <col max="7" min="7" width="19.5703125"/>
    <col max="8" min="8" width="19"/>
    <col max="9" min="9" width="21.140625"/>
    <col max="10" min="10" width="24.42578125"/>
    <col max="11" min="11" width="22.5703125"/>
    <col max="12" min="12" width="30.28515625"/>
    <col max="13" min="13" width="25.85546875"/>
    <col max="14" min="14" width="24.5703125"/>
    <col max="15" min="15" width="22.140625"/>
    <col max="1025" min="16" width="8.7109375"/>
  </cols>
  <sheetData>
    <row r="1" spans="2:2" x14ac:dyDescent="0.25">
      <c r="B1" t="s">
        <v>61</v>
      </c>
    </row>
    <row r="37" spans="2:11" x14ac:dyDescent="0.25">
      <c r="B37" s="1" t="s">
        <v>1</v>
      </c>
      <c r="C37" s="2" t="s">
        <v>2</v>
      </c>
      <c r="D37" s="2" t="s">
        <v>3</v>
      </c>
      <c r="E37" s="2" t="s">
        <v>4</v>
      </c>
      <c r="F37" s="2" t="s">
        <v>5</v>
      </c>
      <c r="G37" s="2" t="s">
        <v>6</v>
      </c>
      <c r="H37" s="2" t="s">
        <v>7</v>
      </c>
      <c r="I37" s="2" t="s">
        <v>8</v>
      </c>
      <c r="J37" s="2" t="s">
        <v>9</v>
      </c>
      <c r="K37" s="3" t="s">
        <v>10</v>
      </c>
    </row>
    <row r="38" spans="2:11" x14ac:dyDescent="0.25">
      <c r="B38" s="4" t="s">
        <v>11</v>
      </c>
      <c r="C38" s="5" t="e">
        <f>AVERAGE(Range_305045020f2c48d89f6f0fc1c1ecb22a) - J38</f>
      </c>
      <c r="D38" s="5" t="e">
        <f>AVERAGE(Range_f43596c7bc39458b832351f733316a08) - J38</f>
      </c>
      <c r="E38" s="5" t="e">
        <f>AVERAGE(Range_9aad86bf32cb49e1b434b604c72f3ea3) - J38</f>
      </c>
      <c r="F38" s="5" t="e">
        <f>AVERAGE(Range_fd116d15cff14393958a38d01bb93c59) - J39</f>
      </c>
      <c r="G38" s="5" t="e">
        <f>AVERAGE(Range_a336439d89e147188018d6ec89904040) - J39</f>
      </c>
      <c r="H38" s="5" t="e">
        <f>AVERAGE(Range_bf09b28140df4c23b1c941c309ba2d23) - J39</f>
      </c>
      <c r="I38" s="5" t="e">
        <f>AVERAGE(Range_07bc4ecb98364f808be469eabb87b633) - J38</f>
      </c>
      <c r="J38" s="5" t="e">
        <f>AVERAGE(Range_d0828b43ac9f46e596cf95cdc284c09b)</f>
      </c>
      <c r="K38" s="6" t="e">
        <f>AVERAGE(Range_ae31c635523f4b7c9eda597d1a5993ca)</f>
      </c>
    </row>
    <row r="39" spans="2:11" x14ac:dyDescent="0.25">
      <c r="B39" s="7" t="s">
        <v>12</v>
      </c>
      <c r="C39" s="8" t="e">
        <f ref="C39:I39" si="0" t="shared">C40-C38</f>
      </c>
      <c r="D39" s="8" t="e">
        <f si="0" t="shared"/>
      </c>
      <c r="E39" s="8" t="e">
        <f si="0" t="shared"/>
      </c>
      <c r="F39" s="8" t="e">
        <f si="0" t="shared"/>
      </c>
      <c r="G39" s="8" t="e">
        <f si="0" t="shared"/>
      </c>
      <c r="H39" s="8" t="e">
        <f si="0" t="shared"/>
      </c>
      <c r="I39" s="8" t="e">
        <f si="0" t="shared"/>
      </c>
      <c r="J39" s="8"/>
      <c r="K39" s="9"/>
    </row>
    <row r="40" spans="2:11" x14ac:dyDescent="0.25">
      <c r="B40" s="4" t="s">
        <v>13</v>
      </c>
      <c r="C40" s="5" t="e">
        <f>AVERAGE(Range_8e318e7abe684396aaed80b835744ca3) - J38</f>
      </c>
      <c r="D40" s="5" t="e">
        <f>AVERAGE(Range_7611b663a5bc4259b7a70afd6f6c8c26) - J38</f>
      </c>
      <c r="E40" s="5" t="e">
        <f>AVERAGE(Range_92da08e569e44b0fa148911e1edd7c6c) - J38</f>
      </c>
      <c r="F40" s="5" t="e">
        <f>AVERAGE(Range_4a09ed879e45478dbe5e6761c9b5d817) - J39</f>
      </c>
      <c r="G40" s="5" t="e">
        <f>AVERAGE(Range_8994fd20bd05417ba9a9cd44d5a2eaa9) - J39</f>
      </c>
      <c r="H40" s="5" t="e">
        <f>AVERAGE(Range_c3d7945ef8364f0c9a26a072f85911c9) - J39</f>
      </c>
      <c r="I40" s="5" t="e">
        <f>AVERAGE(Range_717405b51f5f4100a9d91b6ffa24568a) - J38</f>
      </c>
      <c r="J40" s="5"/>
      <c r="K40" s="6"/>
    </row>
    <row r="41" spans="2:11" x14ac:dyDescent="0.25">
      <c r="B41" s="10" t="s">
        <v>14</v>
      </c>
      <c r="C41" s="11" t="e">
        <f>AVERAGE(Range_6e255e874d5c468091c5359e6e383ad5)</f>
      </c>
      <c r="D41" s="11" t="e">
        <f>AVERAGE(Range_0fa1134be3cc48148390275c55bb61e6)</f>
      </c>
      <c r="E41" s="11" t="e">
        <f>AVERAGE(Range_64e06aad600944e3af8a02d856e9b616)</f>
      </c>
      <c r="F41" s="11" t="e">
        <f>AVERAGE(Range_a56e18fb8a3147869e7ed443c1c45c08)</f>
      </c>
      <c r="G41" s="11" t="e">
        <f>AVERAGE(Range_118e6d22fed847a28294175f96930bde)</f>
      </c>
      <c r="H41" s="11" t="e">
        <f>AVERAGE(Range_c5385b4796ec4ee8ab55f02d76237fb4)</f>
      </c>
      <c r="I41" s="11" t="e">
        <f>AVERAGE(Range_e07f90d33fe545c789f5c35966fbe368)</f>
      </c>
      <c r="J41" s="12"/>
      <c r="K41" s="13"/>
    </row>
    <row r="42" spans="2:11" x14ac:dyDescent="0.25">
      <c r="C42" s="14"/>
      <c r="D42" s="14"/>
      <c r="E42" s="14"/>
      <c r="F42" s="14"/>
      <c r="G42" s="14"/>
      <c r="H42" s="14"/>
      <c r="I42" s="14"/>
    </row>
    <row r="45" spans="2:11" x14ac:dyDescent="0.25">
      <c r="B45" s="1" t="s">
        <v>15</v>
      </c>
      <c r="C45" s="2" t="s">
        <v>2</v>
      </c>
      <c r="D45" s="2" t="s">
        <v>3</v>
      </c>
      <c r="E45" s="2" t="s">
        <v>4</v>
      </c>
      <c r="F45" s="2" t="s">
        <v>5</v>
      </c>
      <c r="G45" s="2" t="s">
        <v>6</v>
      </c>
      <c r="H45" s="2" t="s">
        <v>7</v>
      </c>
      <c r="I45" s="3" t="s">
        <v>8</v>
      </c>
    </row>
    <row r="46" spans="2:11" x14ac:dyDescent="0.25">
      <c r="B46" s="4" t="s">
        <v>11</v>
      </c>
      <c r="C46" s="5" t="e">
        <f>DEVSQ(Range_305045020f2c48d89f6f0fc1c1ecb22a)</f>
      </c>
      <c r="D46" s="5" t="e">
        <f>DEVSQ(Range_f43596c7bc39458b832351f733316a08)</f>
      </c>
      <c r="E46" s="5" t="e">
        <f>DEVSQ(Range_9aad86bf32cb49e1b434b604c72f3ea3)</f>
      </c>
      <c r="F46" s="5" t="e">
        <f>DEVSQ(Range_fd116d15cff14393958a38d01bb93c59)</f>
      </c>
      <c r="G46" s="5" t="e">
        <f>DEVSQ(Range_a336439d89e147188018d6ec89904040)</f>
      </c>
      <c r="H46" s="5" t="e">
        <f>DEVSQ(Range_bf09b28140df4c23b1c941c309ba2d23)</f>
      </c>
      <c r="I46" s="6" t="e">
        <f>DEVSQ(Range_07bc4ecb98364f808be469eabb87b633)</f>
      </c>
    </row>
    <row r="47" spans="2:11" x14ac:dyDescent="0.25">
      <c r="B47" s="10" t="s">
        <v>13</v>
      </c>
      <c r="C47" s="12" t="e">
        <f>DEVSQ(Range_8e318e7abe684396aaed80b835744ca3)</f>
      </c>
      <c r="D47" s="12" t="e">
        <f>DEVSQ(Range_7611b663a5bc4259b7a70afd6f6c8c26)</f>
      </c>
      <c r="E47" s="12" t="e">
        <f>DEVSQ(Range_92da08e569e44b0fa148911e1edd7c6c)</f>
      </c>
      <c r="F47" s="12" t="e">
        <f>DEVSQ(Range_4a09ed879e45478dbe5e6761c9b5d817)</f>
      </c>
      <c r="G47" s="12" t="e">
        <f>DEVSQ(Range_8994fd20bd05417ba9a9cd44d5a2eaa9)</f>
      </c>
      <c r="H47" s="12" t="e">
        <f>DEVSQ(Range_c3d7945ef8364f0c9a26a072f85911c9)</f>
      </c>
      <c r="I47" s="13" t="e">
        <f>DEVSQ(Range_717405b51f5f4100a9d91b6ffa24568a)</f>
      </c>
    </row>
    <row r="48" spans="2:11" x14ac:dyDescent="0.25">
      <c r="C48" s="14"/>
      <c r="D48" s="14"/>
      <c r="E48" s="14"/>
      <c r="F48" s="14"/>
      <c r="G48" s="14"/>
    </row>
    <row r="50" spans="2:15" x14ac:dyDescent="0.25">
      <c r="B50" s="15" t="s">
        <v>16</v>
      </c>
    </row>
    <row r="51" spans="2:15" x14ac:dyDescent="0.25">
      <c r="B51" s="1" t="s">
        <v>17</v>
      </c>
      <c r="C51" s="2" t="s">
        <v>18</v>
      </c>
      <c r="D51" s="2" t="s">
        <v>19</v>
      </c>
      <c r="E51" s="2" t="s">
        <v>20</v>
      </c>
      <c r="F51" s="2" t="s">
        <v>21</v>
      </c>
      <c r="G51" s="2" t="s">
        <v>22</v>
      </c>
      <c r="H51" s="2" t="s">
        <v>23</v>
      </c>
      <c r="I51" s="2" t="s">
        <v>24</v>
      </c>
      <c r="J51" s="2" t="s">
        <v>25</v>
      </c>
      <c r="K51" s="2" t="s">
        <v>26</v>
      </c>
      <c r="L51" s="2" t="s">
        <v>27</v>
      </c>
      <c r="M51" s="2" t="s">
        <v>28</v>
      </c>
      <c r="N51" s="2" t="s">
        <v>29</v>
      </c>
      <c r="O51" s="3" t="s">
        <v>30</v>
      </c>
    </row>
    <row r="52" spans="2:15" x14ac:dyDescent="0.25">
      <c r="B52" s="16">
        <v>1614.0</v>
      </c>
      <c r="C52" s="17">
        <v>3.6448868E7</v>
      </c>
      <c r="D52" s="17">
        <v>738.0</v>
      </c>
      <c r="E52" s="17">
        <v>3.6444889E7</v>
      </c>
      <c r="F52" s="17">
        <v>735.0</v>
      </c>
      <c r="G52" s="17">
        <v>3.6444872E7</v>
      </c>
      <c r="H52" s="17">
        <v>1076.0</v>
      </c>
      <c r="I52" s="17">
        <v>4.6514394E7</v>
      </c>
      <c r="J52" s="17">
        <v>702.0</v>
      </c>
      <c r="K52" s="17">
        <v>4.651439E7</v>
      </c>
      <c r="L52" s="17">
        <v>702.0</v>
      </c>
      <c r="M52" s="17">
        <v>4.6514373E7</v>
      </c>
      <c r="N52" s="17">
        <v>500.0</v>
      </c>
      <c r="O52" s="18">
        <v>1.6941514E7</v>
      </c>
    </row>
    <row r="53" spans="2:15" x14ac:dyDescent="0.25">
      <c r="B53" s="16">
        <v>1727.0</v>
      </c>
      <c r="C53" s="17">
        <v>3.6448868E7</v>
      </c>
      <c r="D53" s="17">
        <v>734.0</v>
      </c>
      <c r="E53" s="17">
        <v>3.6444889E7</v>
      </c>
      <c r="F53" s="17">
        <v>740.0</v>
      </c>
      <c r="G53" s="17">
        <v>3.6444872E7</v>
      </c>
      <c r="H53" s="17">
        <v>1061.0</v>
      </c>
      <c r="I53" s="17">
        <v>4.6514394E7</v>
      </c>
      <c r="J53" s="17">
        <v>686.0</v>
      </c>
      <c r="K53" s="17">
        <v>4.651439E7</v>
      </c>
      <c r="L53" s="17">
        <v>686.0</v>
      </c>
      <c r="M53" s="17">
        <v>4.6514373E7</v>
      </c>
      <c r="N53" s="17">
        <v>504.0</v>
      </c>
      <c r="O53" s="18">
        <v>1.6941514E7</v>
      </c>
    </row>
    <row r="54" spans="2:15" x14ac:dyDescent="0.25">
      <c r="B54" s="16">
        <v>1725.0</v>
      </c>
      <c r="C54" s="17">
        <v>3.6448868E7</v>
      </c>
      <c r="D54" s="17">
        <v>733.0</v>
      </c>
      <c r="E54" s="17">
        <v>3.6444889E7</v>
      </c>
      <c r="F54" s="17">
        <v>740.0</v>
      </c>
      <c r="G54" s="17">
        <v>3.6444872E7</v>
      </c>
      <c r="H54" s="17">
        <v>1092.0</v>
      </c>
      <c r="I54" s="17">
        <v>4.6514394E7</v>
      </c>
      <c r="J54" s="17">
        <v>671.0</v>
      </c>
      <c r="K54" s="17">
        <v>4.651439E7</v>
      </c>
      <c r="L54" s="17">
        <v>687.0</v>
      </c>
      <c r="M54" s="17">
        <v>4.6514373E7</v>
      </c>
      <c r="N54" s="17">
        <v>501.0</v>
      </c>
      <c r="O54" s="18">
        <v>1.6941514E7</v>
      </c>
    </row>
    <row r="55" spans="2:15" x14ac:dyDescent="0.25"/>
    <row r="56" spans="2:15" x14ac:dyDescent="0.25">
      <c r="B56" s="15" t="s">
        <v>45</v>
      </c>
      <c r="C56"/>
      <c r="D56"/>
      <c r="E56"/>
      <c r="F56"/>
      <c r="G56"/>
      <c r="H56"/>
      <c r="I56"/>
      <c r="J56"/>
      <c r="K56"/>
      <c r="L56"/>
      <c r="M56"/>
      <c r="N56"/>
      <c r="O56"/>
    </row>
    <row r="57" spans="2:15" x14ac:dyDescent="0.25">
      <c r="B57" s="1" t="s">
        <v>17</v>
      </c>
      <c r="C57" s="2" t="s">
        <v>19</v>
      </c>
      <c r="D57" s="2" t="s">
        <v>21</v>
      </c>
      <c r="E57" s="2" t="s">
        <v>23</v>
      </c>
      <c r="F57" s="2" t="s">
        <v>25</v>
      </c>
      <c r="G57" s="2" t="s">
        <v>27</v>
      </c>
      <c r="H57" s="2" t="s">
        <v>29</v>
      </c>
      <c r="I57" s="2" t="s">
        <v>9</v>
      </c>
      <c r="J57" s="3" t="s">
        <v>10</v>
      </c>
      <c r="K57"/>
      <c r="L57"/>
      <c r="M57"/>
      <c r="N57"/>
      <c r="O57"/>
    </row>
    <row r="58" spans="2:15" x14ac:dyDescent="0.25">
      <c r="B58" s="16">
        <v>7080.0</v>
      </c>
      <c r="C58" s="17">
        <v>1968.0</v>
      </c>
      <c r="D58" s="17">
        <v>1874.0</v>
      </c>
      <c r="E58" s="17">
        <v>2090.0</v>
      </c>
      <c r="F58" s="17">
        <v>1045.0</v>
      </c>
      <c r="G58" s="17">
        <v>1029.0</v>
      </c>
      <c r="H58" s="17">
        <v>1060.0</v>
      </c>
      <c r="I58" s="17">
        <v>112.0</v>
      </c>
      <c r="J58" s="18">
        <v>390.0</v>
      </c>
    </row>
    <row r="59" spans="2:15" x14ac:dyDescent="0.25">
      <c r="B59" s="16">
        <v>6836.0</v>
      </c>
      <c r="C59" s="17">
        <v>1980.0</v>
      </c>
      <c r="D59" s="17">
        <v>1877.0</v>
      </c>
      <c r="E59" s="17">
        <v>2060.0</v>
      </c>
      <c r="F59" s="17">
        <v>1045.0</v>
      </c>
      <c r="G59" s="17">
        <v>1045.0</v>
      </c>
      <c r="H59" s="17">
        <v>1075.0</v>
      </c>
      <c r="I59" s="17">
        <v>114.0</v>
      </c>
      <c r="J59" s="18">
        <v>406.0</v>
      </c>
    </row>
    <row r="60" spans="2:15" x14ac:dyDescent="0.25">
      <c r="B60" s="16">
        <v>6892.0</v>
      </c>
      <c r="C60" s="17">
        <v>1879.0</v>
      </c>
      <c r="D60" s="17">
        <v>1972.0</v>
      </c>
      <c r="E60" s="17">
        <v>2247.0</v>
      </c>
      <c r="F60" s="17">
        <v>1045.0</v>
      </c>
      <c r="G60" s="17">
        <v>1030.0</v>
      </c>
      <c r="H60" s="17">
        <v>1064.0</v>
      </c>
      <c r="I60" s="17">
        <v>114.0</v>
      </c>
      <c r="J60" s="18">
        <v>406.0</v>
      </c>
    </row>
  </sheetData>
  <pageMargins bottom="0.75" footer="0.51180555555555496" header="0.51180555555555496" left="0.7" right="0.7" top="0.75"/>
  <pageSetup copies="0" firstPageNumber="0" horizontalDpi="0" orientation="portrait" paperSize="0" scale="0" usePrinterDefaults="0" verticalDpi="0"/>
  <drawing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B1:O56"/>
  <sheetViews>
    <sheetView workbookViewId="0" zoomScaleNormal="100">
      <selection activeCell="B1" sqref="B1"/>
    </sheetView>
  </sheetViews>
  <sheetFormatPr defaultRowHeight="15" x14ac:dyDescent="0.25"/>
  <cols>
    <col max="1" min="1" width="5"/>
    <col max="2" min="2" width="19.85546875"/>
    <col max="3" min="3" width="18.7109375"/>
    <col max="5" min="4" width="22.85546875"/>
    <col max="6" min="6" width="18.7109375"/>
    <col max="7" min="7" width="19.5703125"/>
    <col max="8" min="8" width="19"/>
    <col max="9" min="9" width="21.140625"/>
    <col max="10" min="10" width="24.42578125"/>
    <col max="11" min="11" width="22.5703125"/>
    <col max="12" min="12" width="30.28515625"/>
    <col max="13" min="13" width="25.85546875"/>
    <col max="14" min="14" width="24.5703125"/>
    <col max="15" min="15" width="22.140625"/>
    <col max="1025" min="16" width="8.7109375"/>
  </cols>
  <sheetData>
    <row r="1" spans="2:2" x14ac:dyDescent="0.25">
      <c r="B1" t="s">
        <v>62</v>
      </c>
    </row>
    <row r="37" spans="2:11" x14ac:dyDescent="0.25">
      <c r="B37" s="1" t="s">
        <v>1</v>
      </c>
      <c r="C37" s="2" t="s">
        <v>2</v>
      </c>
      <c r="D37" s="2" t="s">
        <v>3</v>
      </c>
      <c r="E37" s="2" t="s">
        <v>4</v>
      </c>
      <c r="F37" s="2" t="s">
        <v>5</v>
      </c>
      <c r="G37" s="2" t="s">
        <v>6</v>
      </c>
      <c r="H37" s="2" t="s">
        <v>7</v>
      </c>
      <c r="I37" s="2" t="s">
        <v>8</v>
      </c>
      <c r="J37" s="2" t="s">
        <v>9</v>
      </c>
      <c r="K37" s="3" t="s">
        <v>10</v>
      </c>
    </row>
    <row r="38" spans="2:11" x14ac:dyDescent="0.25">
      <c r="B38" s="4" t="s">
        <v>11</v>
      </c>
      <c r="C38" s="5" t="e">
        <f>AVERAGE(Range_c692558e30b347c18e2fbd470352d798) - J38</f>
      </c>
      <c r="D38" s="5" t="e">
        <f>AVERAGE(Range_f485a1efeab94e4a9f73613de6c32dc0) - J38</f>
      </c>
      <c r="E38" s="5" t="e">
        <f>AVERAGE(Range_9f936db4124e400c9b7120a966d0bcf8) - J38</f>
      </c>
      <c r="F38" s="5" t="e">
        <f>AVERAGE(Range_eea58e326f594964a411544af7a1343c) - J39</f>
      </c>
      <c r="G38" s="5" t="e">
        <f>AVERAGE(Range_0ed0a5d342274c81bda07044d0e8e7df) - J39</f>
      </c>
      <c r="H38" s="5" t="e">
        <f>AVERAGE(Range_0042dc8e4bb54a0aa342d51befeec43c) - J39</f>
      </c>
      <c r="I38" s="5" t="e">
        <f>AVERAGE(Range_d9b13a600daa4240a7c51f66179e7fb2) - J38</f>
      </c>
      <c r="J38" s="5" t="e">
        <f>AVERAGE(Range_5fd3a766db0c46e3918869dee6415daa)</f>
      </c>
      <c r="K38" s="6" t="e">
        <f>AVERAGE(Range_a87c15b1021c4638850706f720a9d128)</f>
      </c>
    </row>
    <row r="39" spans="2:11" x14ac:dyDescent="0.25">
      <c r="B39" s="7" t="s">
        <v>12</v>
      </c>
      <c r="C39" s="8" t="e">
        <f ref="C39:I39" si="0" t="shared">C40-C38</f>
      </c>
      <c r="D39" s="8" t="e">
        <f si="0" t="shared"/>
      </c>
      <c r="E39" s="8" t="e">
        <f si="0" t="shared"/>
      </c>
      <c r="F39" s="8" t="e">
        <f si="0" t="shared"/>
      </c>
      <c r="G39" s="8" t="e">
        <f si="0" t="shared"/>
      </c>
      <c r="H39" s="8" t="e">
        <f si="0" t="shared"/>
      </c>
      <c r="I39" s="8" t="e">
        <f si="0" t="shared"/>
      </c>
      <c r="J39" s="8"/>
      <c r="K39" s="9"/>
    </row>
    <row r="40" spans="2:11" x14ac:dyDescent="0.25">
      <c r="B40" s="4" t="s">
        <v>13</v>
      </c>
      <c r="C40" s="5" t="e">
        <f>AVERAGE(Range_e3f1af1c85274bb8bf4a4b7b2d175b5a) - J38</f>
      </c>
      <c r="D40" s="5" t="e">
        <f>AVERAGE(Range_40eeabdcabf34188a267d03c743a95ee) - J38</f>
      </c>
      <c r="E40" s="5" t="e">
        <f>AVERAGE(Range_99dc8c219a8d4bfd8fb81094e6ab85d8) - J38</f>
      </c>
      <c r="F40" s="5" t="e">
        <f>AVERAGE(Range_f7e56dc1e5914dfe89d3912bff09c3c3) - J39</f>
      </c>
      <c r="G40" s="5" t="e">
        <f>AVERAGE(Range_4d6d35529195452f9bc0fedded727093) - J39</f>
      </c>
      <c r="H40" s="5" t="e">
        <f>AVERAGE(Range_4facde514f0847fc93cdcd1a66a5cc91) - J39</f>
      </c>
      <c r="I40" s="5" t="e">
        <f>AVERAGE(Range_03eb304d4f454dd09cbda4509d5ed4a3) - J38</f>
      </c>
      <c r="J40" s="5"/>
      <c r="K40" s="6"/>
    </row>
    <row r="41" spans="2:11" x14ac:dyDescent="0.25">
      <c r="B41" s="10" t="s">
        <v>14</v>
      </c>
      <c r="C41" s="11" t="e">
        <f>AVERAGE(Range_eb4d5870e51146388eae4a475b07e87a)</f>
      </c>
      <c r="D41" s="11" t="e">
        <f>AVERAGE(Range_62151f7019084164a6223969a4b54aaa)</f>
      </c>
      <c r="E41" s="11" t="e">
        <f>AVERAGE(Range_07258b55467241ebb73fb4dc5a7cdddc)</f>
      </c>
      <c r="F41" s="11" t="e">
        <f>AVERAGE(Range_4e9c82a1114348d8b48b67bdfe757ae6)</f>
      </c>
      <c r="G41" s="11" t="e">
        <f>AVERAGE(Range_51660a3cf83a419c883c77553f40f28c)</f>
      </c>
      <c r="H41" s="11" t="e">
        <f>AVERAGE(Range_952a137f75024b2ba7a732991ca18352)</f>
      </c>
      <c r="I41" s="11" t="e">
        <f>AVERAGE(Range_34c42cae472547bd8babd2a9339b4742)</f>
      </c>
      <c r="J41" s="12"/>
      <c r="K41" s="13"/>
    </row>
    <row r="42" spans="2:11" x14ac:dyDescent="0.25">
      <c r="C42" s="14"/>
      <c r="D42" s="14"/>
      <c r="E42" s="14"/>
      <c r="F42" s="14"/>
      <c r="G42" s="14"/>
      <c r="H42" s="14"/>
      <c r="I42" s="14"/>
    </row>
    <row r="45" spans="2:11" x14ac:dyDescent="0.25">
      <c r="B45" s="1" t="s">
        <v>15</v>
      </c>
      <c r="C45" s="2" t="s">
        <v>2</v>
      </c>
      <c r="D45" s="2" t="s">
        <v>3</v>
      </c>
      <c r="E45" s="2" t="s">
        <v>4</v>
      </c>
      <c r="F45" s="2" t="s">
        <v>5</v>
      </c>
      <c r="G45" s="2" t="s">
        <v>6</v>
      </c>
      <c r="H45" s="2" t="s">
        <v>7</v>
      </c>
      <c r="I45" s="3" t="s">
        <v>8</v>
      </c>
    </row>
    <row r="46" spans="2:11" x14ac:dyDescent="0.25">
      <c r="B46" s="4" t="s">
        <v>11</v>
      </c>
      <c r="C46" s="5" t="e">
        <f>DEVSQ(Range_c692558e30b347c18e2fbd470352d798)</f>
      </c>
      <c r="D46" s="5" t="e">
        <f>DEVSQ(Range_f485a1efeab94e4a9f73613de6c32dc0)</f>
      </c>
      <c r="E46" s="5" t="e">
        <f>DEVSQ(Range_9f936db4124e400c9b7120a966d0bcf8)</f>
      </c>
      <c r="F46" s="5" t="e">
        <f>DEVSQ(Range_eea58e326f594964a411544af7a1343c)</f>
      </c>
      <c r="G46" s="5" t="e">
        <f>DEVSQ(Range_0ed0a5d342274c81bda07044d0e8e7df)</f>
      </c>
      <c r="H46" s="5" t="e">
        <f>DEVSQ(Range_0042dc8e4bb54a0aa342d51befeec43c)</f>
      </c>
      <c r="I46" s="6" t="e">
        <f>DEVSQ(Range_d9b13a600daa4240a7c51f66179e7fb2)</f>
      </c>
    </row>
    <row r="47" spans="2:11" x14ac:dyDescent="0.25">
      <c r="B47" s="10" t="s">
        <v>13</v>
      </c>
      <c r="C47" s="12" t="e">
        <f>DEVSQ(Range_e3f1af1c85274bb8bf4a4b7b2d175b5a)</f>
      </c>
      <c r="D47" s="12" t="e">
        <f>DEVSQ(Range_40eeabdcabf34188a267d03c743a95ee)</f>
      </c>
      <c r="E47" s="12" t="e">
        <f>DEVSQ(Range_99dc8c219a8d4bfd8fb81094e6ab85d8)</f>
      </c>
      <c r="F47" s="12" t="e">
        <f>DEVSQ(Range_f7e56dc1e5914dfe89d3912bff09c3c3)</f>
      </c>
      <c r="G47" s="12" t="e">
        <f>DEVSQ(Range_4d6d35529195452f9bc0fedded727093)</f>
      </c>
      <c r="H47" s="12" t="e">
        <f>DEVSQ(Range_4facde514f0847fc93cdcd1a66a5cc91)</f>
      </c>
      <c r="I47" s="13" t="e">
        <f>DEVSQ(Range_03eb304d4f454dd09cbda4509d5ed4a3)</f>
      </c>
    </row>
    <row r="48" spans="2:11" x14ac:dyDescent="0.25">
      <c r="C48" s="14"/>
      <c r="D48" s="14"/>
      <c r="E48" s="14"/>
      <c r="F48" s="14"/>
      <c r="G48" s="14"/>
    </row>
    <row r="50" spans="2:15" x14ac:dyDescent="0.25">
      <c r="B50" s="15" t="s">
        <v>16</v>
      </c>
    </row>
    <row r="51" spans="2:15" x14ac:dyDescent="0.25">
      <c r="B51" s="1" t="s">
        <v>17</v>
      </c>
      <c r="C51" s="2" t="s">
        <v>18</v>
      </c>
      <c r="D51" s="2" t="s">
        <v>19</v>
      </c>
      <c r="E51" s="2" t="s">
        <v>20</v>
      </c>
      <c r="F51" s="2" t="s">
        <v>21</v>
      </c>
      <c r="G51" s="2" t="s">
        <v>22</v>
      </c>
      <c r="H51" s="2" t="s">
        <v>23</v>
      </c>
      <c r="I51" s="2" t="s">
        <v>24</v>
      </c>
      <c r="J51" s="2" t="s">
        <v>25</v>
      </c>
      <c r="K51" s="2" t="s">
        <v>26</v>
      </c>
      <c r="L51" s="2" t="s">
        <v>27</v>
      </c>
      <c r="M51" s="2" t="s">
        <v>28</v>
      </c>
      <c r="N51" s="2" t="s">
        <v>29</v>
      </c>
      <c r="O51" s="3" t="s">
        <v>30</v>
      </c>
    </row>
    <row r="52" spans="2:15" x14ac:dyDescent="0.25">
      <c r="B52" s="16">
        <v>18011.0</v>
      </c>
      <c r="C52" s="17">
        <v>3.94468868E8</v>
      </c>
      <c r="D52" s="17">
        <v>7483.0</v>
      </c>
      <c r="E52" s="17">
        <v>3.94428889E8</v>
      </c>
      <c r="F52" s="17">
        <v>7464.0</v>
      </c>
      <c r="G52" s="17">
        <v>3.94428872E8</v>
      </c>
      <c r="H52" s="17">
        <v>9282.0</v>
      </c>
      <c r="I52" s="17">
        <v>4.7101561E8</v>
      </c>
      <c r="J52" s="17">
        <v>5928.0</v>
      </c>
      <c r="K52" s="17">
        <v>4.71015606E8</v>
      </c>
      <c r="L52" s="17">
        <v>5881.0</v>
      </c>
      <c r="M52" s="17">
        <v>4.71015589E8</v>
      </c>
      <c r="N52" s="17">
        <v>5021.0</v>
      </c>
      <c r="O52" s="18">
        <v>1.84924181E8</v>
      </c>
    </row>
    <row r="53" spans="2:15" x14ac:dyDescent="0.25">
      <c r="B53" s="16">
        <v>16680.0</v>
      </c>
      <c r="C53" s="17">
        <v>3.94468868E8</v>
      </c>
      <c r="D53" s="17">
        <v>7473.0</v>
      </c>
      <c r="E53" s="17">
        <v>3.94428889E8</v>
      </c>
      <c r="F53" s="17">
        <v>7439.0</v>
      </c>
      <c r="G53" s="17">
        <v>3.94428872E8</v>
      </c>
      <c r="H53" s="17">
        <v>9173.0</v>
      </c>
      <c r="I53" s="17">
        <v>4.7101561E8</v>
      </c>
      <c r="J53" s="17">
        <v>5913.0</v>
      </c>
      <c r="K53" s="17">
        <v>4.71015606E8</v>
      </c>
      <c r="L53" s="17">
        <v>5881.0</v>
      </c>
      <c r="M53" s="17">
        <v>4.71015589E8</v>
      </c>
      <c r="N53" s="17">
        <v>5001.0</v>
      </c>
      <c r="O53" s="18">
        <v>1.84924181E8</v>
      </c>
    </row>
    <row r="54" spans="2:15" x14ac:dyDescent="0.25">
      <c r="B54" s="16">
        <v>16611.0</v>
      </c>
      <c r="C54" s="17">
        <v>3.94468868E8</v>
      </c>
      <c r="D54" s="17">
        <v>7459.0</v>
      </c>
      <c r="E54" s="17">
        <v>3.94428889E8</v>
      </c>
      <c r="F54" s="17">
        <v>7529.0</v>
      </c>
      <c r="G54" s="17">
        <v>3.94428872E8</v>
      </c>
      <c r="H54" s="17">
        <v>9236.0</v>
      </c>
      <c r="I54" s="17">
        <v>4.7101561E8</v>
      </c>
      <c r="J54" s="17">
        <v>5959.0</v>
      </c>
      <c r="K54" s="17">
        <v>4.71015606E8</v>
      </c>
      <c r="L54" s="17">
        <v>5975.0</v>
      </c>
      <c r="M54" s="17">
        <v>4.71015589E8</v>
      </c>
      <c r="N54" s="17">
        <v>4990.0</v>
      </c>
      <c r="O54" s="18">
        <v>1.84924181E8</v>
      </c>
    </row>
    <row r="55" spans="2:15" x14ac:dyDescent="0.25"/>
    <row r="56" spans="2:15" x14ac:dyDescent="0.25">
      <c r="B56" s="15" t="s">
        <v>45</v>
      </c>
      <c r="C56"/>
      <c r="D56"/>
      <c r="E56"/>
      <c r="F56"/>
      <c r="G56"/>
      <c r="H56"/>
      <c r="I56"/>
      <c r="J56"/>
      <c r="K56"/>
      <c r="L56"/>
      <c r="M56"/>
      <c r="N56"/>
      <c r="O56"/>
    </row>
    <row r="57" spans="2:15" x14ac:dyDescent="0.25">
      <c r="B57" s="1" t="s">
        <v>17</v>
      </c>
      <c r="C57" s="2" t="s">
        <v>19</v>
      </c>
      <c r="D57" s="2" t="s">
        <v>21</v>
      </c>
      <c r="E57" s="2" t="s">
        <v>23</v>
      </c>
      <c r="F57" s="2" t="s">
        <v>25</v>
      </c>
      <c r="G57" s="2" t="s">
        <v>27</v>
      </c>
      <c r="H57" s="2" t="s">
        <v>29</v>
      </c>
      <c r="I57" s="2" t="s">
        <v>9</v>
      </c>
      <c r="J57" s="3" t="s">
        <v>10</v>
      </c>
      <c r="K57"/>
      <c r="L57"/>
      <c r="M57"/>
      <c r="N57"/>
      <c r="O57"/>
    </row>
    <row r="58" spans="2:15" x14ac:dyDescent="0.25">
      <c r="B58" s="16">
        <v>69458.0</v>
      </c>
      <c r="C58" s="17">
        <v>19827.0</v>
      </c>
      <c r="D58" s="17">
        <v>20665.0</v>
      </c>
      <c r="E58" s="17">
        <v>18954.0</v>
      </c>
      <c r="F58" s="17">
        <v>9048.0</v>
      </c>
      <c r="G58" s="17">
        <v>9080.0</v>
      </c>
      <c r="H58" s="17">
        <v>10513.0</v>
      </c>
      <c r="I58" s="17">
        <v>1127.0</v>
      </c>
      <c r="J58" s="18">
        <v>3198.0</v>
      </c>
    </row>
    <row r="59" spans="2:15" x14ac:dyDescent="0.25">
      <c r="B59" s="16">
        <v>69807.0</v>
      </c>
      <c r="C59" s="17">
        <v>20742.0</v>
      </c>
      <c r="D59" s="17">
        <v>19384.0</v>
      </c>
      <c r="E59" s="17">
        <v>19468.0</v>
      </c>
      <c r="F59" s="17">
        <v>9157.0</v>
      </c>
      <c r="G59" s="17">
        <v>9313.0</v>
      </c>
      <c r="H59" s="17">
        <v>10526.0</v>
      </c>
      <c r="I59" s="17">
        <v>1127.0</v>
      </c>
      <c r="J59" s="18">
        <v>3338.0</v>
      </c>
    </row>
    <row r="60" spans="2:15" x14ac:dyDescent="0.25">
      <c r="B60" s="16">
        <v>68585.0</v>
      </c>
      <c r="C60" s="17">
        <v>20657.0</v>
      </c>
      <c r="D60" s="17">
        <v>20710.0</v>
      </c>
      <c r="E60" s="17">
        <v>19126.0</v>
      </c>
      <c r="F60" s="17">
        <v>9391.0</v>
      </c>
      <c r="G60" s="17">
        <v>9235.0</v>
      </c>
      <c r="H60" s="17">
        <v>10539.0</v>
      </c>
      <c r="I60" s="17">
        <v>1148.0</v>
      </c>
      <c r="J60" s="18">
        <v>3276.0</v>
      </c>
    </row>
  </sheetData>
  <pageMargins bottom="0.75" footer="0.51180555555555496" header="0.51180555555555496" left="0.7" right="0.7" top="0.75"/>
  <pageSetup copies="0" firstPageNumber="0" horizontalDpi="0" orientation="portrait" paperSize="0" scale="0" usePrinterDefaults="0" verticalDpi="0"/>
  <drawing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B1:O56"/>
  <sheetViews>
    <sheetView workbookViewId="0" zoomScaleNormal="100">
      <selection activeCell="B1" sqref="B1"/>
    </sheetView>
  </sheetViews>
  <sheetFormatPr defaultRowHeight="15" x14ac:dyDescent="0.25"/>
  <cols>
    <col max="1" min="1" width="5"/>
    <col max="2" min="2" width="19.85546875"/>
    <col max="3" min="3" width="18.7109375"/>
    <col max="5" min="4" width="22.85546875"/>
    <col max="6" min="6" width="18.7109375"/>
    <col max="7" min="7" width="19.5703125"/>
    <col max="8" min="8" width="19"/>
    <col max="9" min="9" width="21.140625"/>
    <col max="10" min="10" width="24.42578125"/>
    <col max="11" min="11" width="22.5703125"/>
    <col max="12" min="12" width="30.28515625"/>
    <col max="13" min="13" width="25.85546875"/>
    <col max="14" min="14" width="24.5703125"/>
    <col max="15" min="15" width="22.140625"/>
    <col max="1025" min="16" width="8.7109375"/>
  </cols>
  <sheetData>
    <row r="1" spans="2:2" x14ac:dyDescent="0.25">
      <c r="B1" t="s">
        <v>63</v>
      </c>
    </row>
    <row r="37" spans="2:11" x14ac:dyDescent="0.25">
      <c r="B37" s="1" t="s">
        <v>1</v>
      </c>
      <c r="C37" s="2" t="s">
        <v>2</v>
      </c>
      <c r="D37" s="2" t="s">
        <v>3</v>
      </c>
      <c r="E37" s="2" t="s">
        <v>4</v>
      </c>
      <c r="F37" s="2" t="s">
        <v>5</v>
      </c>
      <c r="G37" s="2" t="s">
        <v>6</v>
      </c>
      <c r="H37" s="2" t="s">
        <v>7</v>
      </c>
      <c r="I37" s="2" t="s">
        <v>8</v>
      </c>
      <c r="J37" s="2" t="s">
        <v>9</v>
      </c>
      <c r="K37" s="3" t="s">
        <v>10</v>
      </c>
    </row>
    <row r="38" spans="2:11" x14ac:dyDescent="0.25">
      <c r="B38" s="4" t="s">
        <v>11</v>
      </c>
      <c r="C38" s="5" t="e">
        <f>AVERAGE(Range_f8dc5198d1954b57b035fd0dfcfdd179) - J38</f>
      </c>
      <c r="D38" s="5" t="e">
        <f>AVERAGE(Range_21d1bf9fbd994730b1b47a188c9c49ac) - J38</f>
      </c>
      <c r="E38" s="5" t="e">
        <f>AVERAGE(Range_fea2dcd2eed647dd9f5bbc51da2bf88c) - J38</f>
      </c>
      <c r="F38" s="5" t="e">
        <f>AVERAGE(Range_d45734ae9279450da7a6c696cd6eecea) - J39</f>
      </c>
      <c r="G38" s="5" t="e">
        <f>AVERAGE(Range_7dfe9d4a73d64184998064686f37b2de) - J39</f>
      </c>
      <c r="H38" s="5" t="e">
        <f>AVERAGE(Range_f35da6be114e43e69d3ad8f869f69c20) - J39</f>
      </c>
      <c r="I38" s="5" t="e">
        <f>AVERAGE(Range_015771c354a34367b7c972343018c5ff) - J38</f>
      </c>
      <c r="J38" s="5" t="e">
        <f>AVERAGE(Range_424a9246de7c456cb444958353311f4e)</f>
      </c>
      <c r="K38" s="6" t="e">
        <f>AVERAGE(Range_77fb2fe370644409b2fe0591f72fb28b)</f>
      </c>
    </row>
    <row r="39" spans="2:11" x14ac:dyDescent="0.25">
      <c r="B39" s="7" t="s">
        <v>12</v>
      </c>
      <c r="C39" s="8" t="e">
        <f ref="C39:I39" si="0" t="shared">C40-C38</f>
      </c>
      <c r="D39" s="8" t="e">
        <f si="0" t="shared"/>
      </c>
      <c r="E39" s="8" t="e">
        <f si="0" t="shared"/>
      </c>
      <c r="F39" s="8" t="e">
        <f si="0" t="shared"/>
      </c>
      <c r="G39" s="8" t="e">
        <f si="0" t="shared"/>
      </c>
      <c r="H39" s="8" t="e">
        <f si="0" t="shared"/>
      </c>
      <c r="I39" s="8" t="e">
        <f si="0" t="shared"/>
      </c>
      <c r="J39" s="8"/>
      <c r="K39" s="9"/>
    </row>
    <row r="40" spans="2:11" x14ac:dyDescent="0.25">
      <c r="B40" s="4" t="s">
        <v>13</v>
      </c>
      <c r="C40" s="5" t="e">
        <f>AVERAGE(Range_92cc32d877714bdf93d1a70520ce3725) - J38</f>
      </c>
      <c r="D40" s="5" t="e">
        <f>AVERAGE(Range_4df92158cae54d15a3cb082faa076e83) - J38</f>
      </c>
      <c r="E40" s="5" t="e">
        <f>AVERAGE(Range_be44d2d35f6646d797a425d00f2da5ca) - J38</f>
      </c>
      <c r="F40" s="5" t="e">
        <f>AVERAGE(Range_dd3cdd3aa1024ce3832a3330f16e3b8b) - J39</f>
      </c>
      <c r="G40" s="5" t="e">
        <f>AVERAGE(Range_0644771ee0ba44ca81357118e519cf07) - J39</f>
      </c>
      <c r="H40" s="5" t="e">
        <f>AVERAGE(Range_daa2db8cb3d74ebc87f5a89c105e9bd5) - J39</f>
      </c>
      <c r="I40" s="5" t="e">
        <f>AVERAGE(Range_a55e717cc9734bd2ab4104484fa08883) - J38</f>
      </c>
      <c r="J40" s="5"/>
      <c r="K40" s="6"/>
    </row>
    <row r="41" spans="2:11" x14ac:dyDescent="0.25">
      <c r="B41" s="10" t="s">
        <v>14</v>
      </c>
      <c r="C41" s="11" t="e">
        <f>AVERAGE(Range_f92319437760459083443d39ac85670c)</f>
      </c>
      <c r="D41" s="11" t="e">
        <f>AVERAGE(Range_4ab056ca49664fdbb2017435f467147e)</f>
      </c>
      <c r="E41" s="11" t="e">
        <f>AVERAGE(Range_b3e5f0a529d84bb8a9ea2f4029cacc1e)</f>
      </c>
      <c r="F41" s="11" t="e">
        <f>AVERAGE(Range_5b1754580cdb4988958254cc768bb758)</f>
      </c>
      <c r="G41" s="11" t="e">
        <f>AVERAGE(Range_f35bf33edce34ea7ba0fed768efa2536)</f>
      </c>
      <c r="H41" s="11" t="e">
        <f>AVERAGE(Range_9cd87e5263f048cc9f2e7d6fc352863b)</f>
      </c>
      <c r="I41" s="11" t="e">
        <f>AVERAGE(Range_f385c9bdeb9943afbdb677913db03c17)</f>
      </c>
      <c r="J41" s="12"/>
      <c r="K41" s="13"/>
    </row>
    <row r="42" spans="2:11" x14ac:dyDescent="0.25">
      <c r="C42" s="14"/>
      <c r="D42" s="14"/>
      <c r="E42" s="14"/>
      <c r="F42" s="14"/>
      <c r="G42" s="14"/>
      <c r="H42" s="14"/>
      <c r="I42" s="14"/>
    </row>
    <row r="45" spans="2:11" x14ac:dyDescent="0.25">
      <c r="B45" s="1" t="s">
        <v>15</v>
      </c>
      <c r="C45" s="2" t="s">
        <v>2</v>
      </c>
      <c r="D45" s="2" t="s">
        <v>3</v>
      </c>
      <c r="E45" s="2" t="s">
        <v>4</v>
      </c>
      <c r="F45" s="2" t="s">
        <v>5</v>
      </c>
      <c r="G45" s="2" t="s">
        <v>6</v>
      </c>
      <c r="H45" s="2" t="s">
        <v>7</v>
      </c>
      <c r="I45" s="3" t="s">
        <v>8</v>
      </c>
    </row>
    <row r="46" spans="2:11" x14ac:dyDescent="0.25">
      <c r="B46" s="4" t="s">
        <v>11</v>
      </c>
      <c r="C46" s="5" t="e">
        <f>DEVSQ(Range_f8dc5198d1954b57b035fd0dfcfdd179)</f>
      </c>
      <c r="D46" s="5" t="e">
        <f>DEVSQ(Range_21d1bf9fbd994730b1b47a188c9c49ac)</f>
      </c>
      <c r="E46" s="5" t="e">
        <f>DEVSQ(Range_fea2dcd2eed647dd9f5bbc51da2bf88c)</f>
      </c>
      <c r="F46" s="5" t="e">
        <f>DEVSQ(Range_d45734ae9279450da7a6c696cd6eecea)</f>
      </c>
      <c r="G46" s="5" t="e">
        <f>DEVSQ(Range_7dfe9d4a73d64184998064686f37b2de)</f>
      </c>
      <c r="H46" s="5" t="e">
        <f>DEVSQ(Range_f35da6be114e43e69d3ad8f869f69c20)</f>
      </c>
      <c r="I46" s="6" t="e">
        <f>DEVSQ(Range_015771c354a34367b7c972343018c5ff)</f>
      </c>
    </row>
    <row r="47" spans="2:11" x14ac:dyDescent="0.25">
      <c r="B47" s="10" t="s">
        <v>13</v>
      </c>
      <c r="C47" s="12" t="e">
        <f>DEVSQ(Range_92cc32d877714bdf93d1a70520ce3725)</f>
      </c>
      <c r="D47" s="12" t="e">
        <f>DEVSQ(Range_4df92158cae54d15a3cb082faa076e83)</f>
      </c>
      <c r="E47" s="12" t="e">
        <f>DEVSQ(Range_be44d2d35f6646d797a425d00f2da5ca)</f>
      </c>
      <c r="F47" s="12" t="e">
        <f>DEVSQ(Range_dd3cdd3aa1024ce3832a3330f16e3b8b)</f>
      </c>
      <c r="G47" s="12" t="e">
        <f>DEVSQ(Range_0644771ee0ba44ca81357118e519cf07)</f>
      </c>
      <c r="H47" s="12" t="e">
        <f>DEVSQ(Range_daa2db8cb3d74ebc87f5a89c105e9bd5)</f>
      </c>
      <c r="I47" s="13" t="e">
        <f>DEVSQ(Range_a55e717cc9734bd2ab4104484fa08883)</f>
      </c>
    </row>
    <row r="48" spans="2:11" x14ac:dyDescent="0.25">
      <c r="C48" s="14"/>
      <c r="D48" s="14"/>
      <c r="E48" s="14"/>
      <c r="F48" s="14"/>
      <c r="G48" s="14"/>
    </row>
    <row r="50" spans="2:15" x14ac:dyDescent="0.25">
      <c r="B50" s="15" t="s">
        <v>16</v>
      </c>
    </row>
    <row r="51" spans="2:15" x14ac:dyDescent="0.25">
      <c r="B51" s="1" t="s">
        <v>17</v>
      </c>
      <c r="C51" s="2" t="s">
        <v>18</v>
      </c>
      <c r="D51" s="2" t="s">
        <v>19</v>
      </c>
      <c r="E51" s="2" t="s">
        <v>20</v>
      </c>
      <c r="F51" s="2" t="s">
        <v>21</v>
      </c>
      <c r="G51" s="2" t="s">
        <v>22</v>
      </c>
      <c r="H51" s="2" t="s">
        <v>23</v>
      </c>
      <c r="I51" s="2" t="s">
        <v>24</v>
      </c>
      <c r="J51" s="2" t="s">
        <v>25</v>
      </c>
      <c r="K51" s="2" t="s">
        <v>26</v>
      </c>
      <c r="L51" s="2" t="s">
        <v>27</v>
      </c>
      <c r="M51" s="2" t="s">
        <v>28</v>
      </c>
      <c r="N51" s="2" t="s">
        <v>29</v>
      </c>
      <c r="O51" s="3" t="s">
        <v>30</v>
      </c>
    </row>
    <row r="52" spans="2:15" x14ac:dyDescent="0.25">
      <c r="B52" s="16">
        <v>374.0</v>
      </c>
      <c r="C52" s="17">
        <v>1.2872468E7</v>
      </c>
      <c r="D52" s="17">
        <v>218.0</v>
      </c>
      <c r="E52" s="17">
        <v>1.2622475E7</v>
      </c>
      <c r="F52" s="17">
        <v>217.0</v>
      </c>
      <c r="G52" s="17">
        <v>1.1872475E7</v>
      </c>
      <c r="H52" s="17">
        <v>374.0</v>
      </c>
      <c r="I52" s="17">
        <v>1.2787102E7</v>
      </c>
      <c r="J52" s="17">
        <v>234.0</v>
      </c>
      <c r="K52" s="17">
        <v>1.2787087E7</v>
      </c>
      <c r="L52" s="17">
        <v>265.0</v>
      </c>
      <c r="M52" s="17">
        <v>1.2037087E7</v>
      </c>
      <c r="N52" s="17">
        <v>201.0</v>
      </c>
      <c r="O52" s="18">
        <v>5472477.0</v>
      </c>
    </row>
    <row r="53" spans="2:15" x14ac:dyDescent="0.25">
      <c r="B53" s="16">
        <v>378.0</v>
      </c>
      <c r="C53" s="17">
        <v>1.2872468E7</v>
      </c>
      <c r="D53" s="17">
        <v>226.0</v>
      </c>
      <c r="E53" s="17">
        <v>1.2622475E7</v>
      </c>
      <c r="F53" s="17">
        <v>216.0</v>
      </c>
      <c r="G53" s="17">
        <v>1.1872475E7</v>
      </c>
      <c r="H53" s="17">
        <v>359.0</v>
      </c>
      <c r="I53" s="17">
        <v>1.2787102E7</v>
      </c>
      <c r="J53" s="17">
        <v>250.0</v>
      </c>
      <c r="K53" s="17">
        <v>1.2787087E7</v>
      </c>
      <c r="L53" s="17">
        <v>250.0</v>
      </c>
      <c r="M53" s="17">
        <v>1.2037087E7</v>
      </c>
      <c r="N53" s="17">
        <v>201.0</v>
      </c>
      <c r="O53" s="18">
        <v>5472477.0</v>
      </c>
    </row>
    <row r="54" spans="2:15" x14ac:dyDescent="0.25">
      <c r="B54" s="16">
        <v>374.0</v>
      </c>
      <c r="C54" s="17">
        <v>1.2872468E7</v>
      </c>
      <c r="D54" s="17">
        <v>216.0</v>
      </c>
      <c r="E54" s="17">
        <v>1.2622475E7</v>
      </c>
      <c r="F54" s="17">
        <v>215.0</v>
      </c>
      <c r="G54" s="17">
        <v>1.1872475E7</v>
      </c>
      <c r="H54" s="17">
        <v>375.0</v>
      </c>
      <c r="I54" s="17">
        <v>1.2787102E7</v>
      </c>
      <c r="J54" s="17">
        <v>203.0</v>
      </c>
      <c r="K54" s="17">
        <v>1.2787087E7</v>
      </c>
      <c r="L54" s="17">
        <v>266.0</v>
      </c>
      <c r="M54" s="17">
        <v>1.2037087E7</v>
      </c>
      <c r="N54" s="17">
        <v>197.0</v>
      </c>
      <c r="O54" s="18">
        <v>5472477.0</v>
      </c>
    </row>
    <row r="55" spans="2:15" x14ac:dyDescent="0.25"/>
    <row r="56" spans="2:15" x14ac:dyDescent="0.25">
      <c r="B56" s="15" t="s">
        <v>45</v>
      </c>
      <c r="C56"/>
      <c r="D56"/>
      <c r="E56"/>
      <c r="F56"/>
      <c r="G56"/>
      <c r="H56"/>
      <c r="I56"/>
      <c r="J56"/>
      <c r="K56"/>
      <c r="L56"/>
      <c r="M56"/>
      <c r="N56"/>
      <c r="O56"/>
    </row>
    <row r="57" spans="2:15" x14ac:dyDescent="0.25">
      <c r="B57" s="1" t="s">
        <v>17</v>
      </c>
      <c r="C57" s="2" t="s">
        <v>19</v>
      </c>
      <c r="D57" s="2" t="s">
        <v>21</v>
      </c>
      <c r="E57" s="2" t="s">
        <v>23</v>
      </c>
      <c r="F57" s="2" t="s">
        <v>25</v>
      </c>
      <c r="G57" s="2" t="s">
        <v>27</v>
      </c>
      <c r="H57" s="2" t="s">
        <v>29</v>
      </c>
      <c r="I57" s="2" t="s">
        <v>9</v>
      </c>
      <c r="J57" s="3" t="s">
        <v>10</v>
      </c>
      <c r="K57"/>
      <c r="L57"/>
      <c r="M57"/>
      <c r="N57"/>
      <c r="O57"/>
    </row>
    <row r="58" spans="2:15" x14ac:dyDescent="0.25">
      <c r="B58" s="16">
        <v>1193.0</v>
      </c>
      <c r="C58" s="17">
        <v>343.0</v>
      </c>
      <c r="D58" s="17">
        <v>346.0</v>
      </c>
      <c r="E58" s="17">
        <v>842.0</v>
      </c>
      <c r="F58" s="17">
        <v>312.0</v>
      </c>
      <c r="G58" s="17">
        <v>281.0</v>
      </c>
      <c r="H58" s="17">
        <v>444.0</v>
      </c>
      <c r="I58" s="17">
        <v>115.0</v>
      </c>
      <c r="J58" s="18">
        <v>156.0</v>
      </c>
    </row>
    <row r="59" spans="2:15" x14ac:dyDescent="0.25">
      <c r="B59" s="16">
        <v>1225.0</v>
      </c>
      <c r="C59" s="17">
        <v>354.0</v>
      </c>
      <c r="D59" s="17">
        <v>340.0</v>
      </c>
      <c r="E59" s="17">
        <v>952.0</v>
      </c>
      <c r="F59" s="17">
        <v>297.0</v>
      </c>
      <c r="G59" s="17">
        <v>296.0</v>
      </c>
      <c r="H59" s="17">
        <v>488.0</v>
      </c>
      <c r="I59" s="17">
        <v>116.0</v>
      </c>
      <c r="J59" s="18">
        <v>156.0</v>
      </c>
    </row>
    <row r="60" spans="2:15" x14ac:dyDescent="0.25">
      <c r="B60" s="16">
        <v>1261.0</v>
      </c>
      <c r="C60" s="17">
        <v>350.0</v>
      </c>
      <c r="D60" s="17">
        <v>339.0</v>
      </c>
      <c r="E60" s="17">
        <v>904.0</v>
      </c>
      <c r="F60" s="17">
        <v>296.0</v>
      </c>
      <c r="G60" s="17">
        <v>281.0</v>
      </c>
      <c r="H60" s="17">
        <v>464.0</v>
      </c>
      <c r="I60" s="17">
        <v>116.0</v>
      </c>
      <c r="J60" s="18">
        <v>172.0</v>
      </c>
    </row>
  </sheetData>
  <pageMargins bottom="0.75" footer="0.51180555555555496" header="0.51180555555555496" left="0.7" right="0.7" top="0.75"/>
  <pageSetup copies="0" firstPageNumber="0" horizontalDpi="0" orientation="portrait" paperSize="0" scale="0" usePrinterDefaults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23</vt:i4>
      </vt:variant>
    </vt:vector>
  </HeadingPairs>
  <TitlesOfParts>
    <vt:vector baseType="lpstr" size="24">
      <vt:lpstr>Sheet1</vt:lpstr>
      <vt:lpstr>_.NET__instance_only</vt:lpstr>
      <vt:lpstr>DSL_client_Java_full__duration__both</vt:lpstr>
      <vt:lpstr>DSL_client_Java_full__duration__serialization</vt:lpstr>
      <vt:lpstr>DSL_client_Java_full__size</vt:lpstr>
      <vt:lpstr>DSL_client_Java_minimal__duration__both</vt:lpstr>
      <vt:lpstr>DSL_client_Java_minimal__duration__serialization</vt:lpstr>
      <vt:lpstr>DSL_client_Java_minimal__size</vt:lpstr>
      <vt:lpstr>Jackson__duration__both</vt:lpstr>
      <vt:lpstr>Jackson__duration__serialization</vt:lpstr>
      <vt:lpstr>Jackson__size</vt:lpstr>
      <vt:lpstr>JVM__instance_only</vt:lpstr>
      <vt:lpstr>Newtonsoft__duration__both</vt:lpstr>
      <vt:lpstr>Newtonsoft__duration__serialization</vt:lpstr>
      <vt:lpstr>Newtonsoft__size</vt:lpstr>
      <vt:lpstr>Protobuf.NET__duration__both</vt:lpstr>
      <vt:lpstr>Protobuf.NET__duration__serialization</vt:lpstr>
      <vt:lpstr>Protobuf.NET__size</vt:lpstr>
      <vt:lpstr>Revenj.NET_full__duration__serialization</vt:lpstr>
      <vt:lpstr>Revenj.NET_full__duration_both</vt:lpstr>
      <vt:lpstr>Revenj.NET_full__size</vt:lpstr>
      <vt:lpstr>Revenj.NET_minimal__duration__both</vt:lpstr>
      <vt:lpstr>Revenj.NET_minimal__duration__serialization</vt:lpstr>
      <vt:lpstr>Revenj.NET_minimal__size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Rikard Pavelic</dc:creator>
  <cp:lastModifiedBy>Rikard Pavelic</cp:lastModifiedBy>
  <cp:revision>1</cp:revision>
  <dcterms:created xsi:type="dcterms:W3CDTF">2014-10-11T07:45:31Z</dcterms:created>
  <dcterms:modified xsi:type="dcterms:W3CDTF">2015-02-02T16:00:12Z</dcterms:modified>
  <dc:language>hr-HR</dc:language>
</cp:coreProperties>
</file>